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30.xml" ContentType="application/vnd.openxmlformats-officedocument.spreadsheetml.table+xml"/>
  <Override PartName="/xl/drawings/drawing6.xml" ContentType="application/vnd.openxmlformats-officedocument.drawing+xml"/>
  <Override PartName="/xl/tables/table3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35904" documentId="6_{0C144BF2-91C6-47E3-AD50-2E5AD885E8AB}" xr6:coauthVersionLast="47" xr6:coauthVersionMax="47" xr10:uidLastSave="{7F190E81-F0CF-4F32-978A-CF2C6F5BD012}"/>
  <bookViews>
    <workbookView xWindow="-120" yWindow="-120" windowWidth="29040" windowHeight="15840" tabRatio="531" xr2:uid="{F5100735-E665-4D69-A493-CDE68146409E}"/>
  </bookViews>
  <sheets>
    <sheet name="Semanal" sheetId="6" r:id="rId1"/>
    <sheet name="Efectivo" sheetId="78" r:id="rId2"/>
    <sheet name="Pago Semana" sheetId="69" r:id="rId3"/>
    <sheet name="Deuda Fruta" sheetId="56" r:id="rId4"/>
    <sheet name="Deuda Proveedores" sheetId="53" r:id="rId5"/>
    <sheet name="P Nuevo" sheetId="57" r:id="rId6"/>
    <sheet name="Plustec" sheetId="33" state="hidden" r:id="rId7"/>
    <sheet name="Serv" sheetId="49" r:id="rId8"/>
  </sheets>
  <definedNames>
    <definedName name="_xlnm._FilterDatabase" localSheetId="0" hidden="1">Semanal!$A$8:$L$8</definedName>
  </definedNames>
  <calcPr calcId="191028"/>
  <pivotCaches>
    <pivotCache cacheId="45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53" i="78" l="1"/>
  <c r="J551" i="78"/>
  <c r="J534" i="78"/>
  <c r="J3916" i="6"/>
  <c r="K3916" i="6" s="1"/>
  <c r="N3916" i="6"/>
  <c r="J3937" i="6"/>
  <c r="K3937" i="6" s="1"/>
  <c r="N3937" i="6"/>
  <c r="J3939" i="6" l="1"/>
  <c r="K3939" i="6" s="1"/>
  <c r="N3939" i="6"/>
  <c r="J3938" i="6"/>
  <c r="K3938" i="6" s="1"/>
  <c r="N3938" i="6"/>
  <c r="J3842" i="6"/>
  <c r="K3842" i="6" s="1"/>
  <c r="N3842" i="6"/>
  <c r="J3841" i="6"/>
  <c r="K3841" i="6" s="1"/>
  <c r="N3841" i="6"/>
  <c r="J3839" i="6"/>
  <c r="K3839" i="6" s="1"/>
  <c r="N3839" i="6"/>
  <c r="J3762" i="6"/>
  <c r="K3762" i="6" s="1"/>
  <c r="N3762" i="6"/>
  <c r="J3858" i="6"/>
  <c r="K3858" i="6" s="1"/>
  <c r="N3858" i="6"/>
  <c r="J3622" i="6"/>
  <c r="K3622" i="6" s="1"/>
  <c r="N3622" i="6"/>
  <c r="J3932" i="6"/>
  <c r="K3932" i="6" s="1"/>
  <c r="N3932" i="6"/>
  <c r="J3186" i="6"/>
  <c r="K3186" i="6" s="1"/>
  <c r="N3186" i="6"/>
  <c r="J3002" i="6"/>
  <c r="K3002" i="6" s="1"/>
  <c r="N3002" i="6"/>
  <c r="J3894" i="6"/>
  <c r="K3894" i="6" s="1"/>
  <c r="N3894" i="6"/>
  <c r="J3905" i="6"/>
  <c r="K3905" i="6" s="1"/>
  <c r="N3905" i="6"/>
  <c r="J3878" i="6"/>
  <c r="K3878" i="6" s="1"/>
  <c r="N3878" i="6"/>
  <c r="I3807" i="6"/>
  <c r="I3618" i="6"/>
  <c r="J3618" i="6" s="1"/>
  <c r="K3618" i="6" s="1"/>
  <c r="N3618" i="6"/>
  <c r="J3662" i="6"/>
  <c r="K3662" i="6" s="1"/>
  <c r="N3662" i="6"/>
  <c r="J3847" i="6" l="1"/>
  <c r="K3847" i="6" s="1"/>
  <c r="N3847" i="6"/>
  <c r="J3836" i="6"/>
  <c r="K3836" i="6" s="1"/>
  <c r="N3836" i="6"/>
  <c r="J3822" i="6"/>
  <c r="K3822" i="6" s="1"/>
  <c r="N3822" i="6"/>
  <c r="J3615" i="6"/>
  <c r="K3615" i="6" s="1"/>
  <c r="N3615" i="6"/>
  <c r="J3910" i="6" l="1"/>
  <c r="K3910" i="6" s="1"/>
  <c r="N3910" i="6"/>
  <c r="J3909" i="6"/>
  <c r="K3909" i="6" s="1"/>
  <c r="N3909" i="6"/>
  <c r="J3817" i="6"/>
  <c r="K3817" i="6" s="1"/>
  <c r="N3817" i="6"/>
  <c r="J3845" i="6"/>
  <c r="K3845" i="6" s="1"/>
  <c r="N3845" i="6"/>
  <c r="J3917" i="6"/>
  <c r="K3917" i="6" s="1"/>
  <c r="N3917" i="6"/>
  <c r="I3463" i="6"/>
  <c r="J3463" i="6" s="1"/>
  <c r="K3463" i="6" s="1"/>
  <c r="J3462" i="6"/>
  <c r="K3462" i="6" s="1"/>
  <c r="N3462" i="6"/>
  <c r="N3463" i="6"/>
  <c r="J3875" i="6" l="1"/>
  <c r="K3875" i="6" s="1"/>
  <c r="N3875" i="6"/>
  <c r="J3892" i="6"/>
  <c r="K3892" i="6" s="1"/>
  <c r="N3892" i="6"/>
  <c r="J3850" i="6"/>
  <c r="K3850" i="6" s="1"/>
  <c r="N3850" i="6"/>
  <c r="J3743" i="6"/>
  <c r="K3743" i="6" s="1"/>
  <c r="N3743" i="6"/>
  <c r="J3659" i="6"/>
  <c r="K3659" i="6" s="1"/>
  <c r="N3659" i="6"/>
  <c r="J3900" i="6"/>
  <c r="K3900" i="6" s="1"/>
  <c r="N3900" i="6"/>
  <c r="J3899" i="6"/>
  <c r="K3899" i="6" s="1"/>
  <c r="N3899" i="6"/>
  <c r="J3883" i="6"/>
  <c r="K3883" i="6" s="1"/>
  <c r="N3883" i="6"/>
  <c r="J3907" i="6"/>
  <c r="K3907" i="6" s="1"/>
  <c r="N3907" i="6"/>
  <c r="J3819" i="6"/>
  <c r="K3819" i="6" s="1"/>
  <c r="N3819" i="6"/>
  <c r="J3746" i="6" l="1"/>
  <c r="K3746" i="6" s="1"/>
  <c r="N3746" i="6"/>
  <c r="J3718" i="6"/>
  <c r="K3718" i="6" s="1"/>
  <c r="N3718" i="6"/>
  <c r="J3153" i="6"/>
  <c r="K3153" i="6" s="1"/>
  <c r="N3153" i="6"/>
  <c r="J3922" i="6"/>
  <c r="K3922" i="6" s="1"/>
  <c r="N3922" i="6"/>
  <c r="J3821" i="6"/>
  <c r="K3821" i="6" s="1"/>
  <c r="N3821" i="6"/>
  <c r="J3820" i="6"/>
  <c r="K3820" i="6" s="1"/>
  <c r="N3820" i="6"/>
  <c r="J3906" i="6"/>
  <c r="K3906" i="6" s="1"/>
  <c r="N3906" i="6"/>
  <c r="J3208" i="6"/>
  <c r="K3208" i="6" s="1"/>
  <c r="N3208" i="6"/>
  <c r="J3895" i="6"/>
  <c r="K3895" i="6" s="1"/>
  <c r="N3895" i="6"/>
  <c r="J3713" i="6"/>
  <c r="K3713" i="6" s="1"/>
  <c r="N3713" i="6"/>
  <c r="J3889" i="6"/>
  <c r="K3889" i="6" s="1"/>
  <c r="N3889" i="6"/>
  <c r="J3613" i="6"/>
  <c r="K3613" i="6" s="1"/>
  <c r="N3613" i="6"/>
  <c r="J3614" i="6"/>
  <c r="K3614" i="6" s="1"/>
  <c r="N3614" i="6"/>
  <c r="J3004" i="6"/>
  <c r="K3004" i="6" s="1"/>
  <c r="N3004" i="6"/>
  <c r="J2818" i="6"/>
  <c r="K2818" i="6" s="1"/>
  <c r="N2818" i="6"/>
  <c r="J3843" i="6"/>
  <c r="K3843" i="6" s="1"/>
  <c r="J3852" i="6"/>
  <c r="K3852" i="6" s="1"/>
  <c r="J3882" i="6"/>
  <c r="K3882" i="6" s="1"/>
  <c r="J3891" i="6"/>
  <c r="K3891" i="6" s="1"/>
  <c r="J3924" i="6"/>
  <c r="K3924" i="6" s="1"/>
  <c r="J3926" i="6"/>
  <c r="K3926" i="6" s="1"/>
  <c r="J3927" i="6"/>
  <c r="K3927" i="6" s="1"/>
  <c r="N3843" i="6"/>
  <c r="N3852" i="6"/>
  <c r="N3882" i="6"/>
  <c r="N3891" i="6"/>
  <c r="N3924" i="6"/>
  <c r="N3926" i="6"/>
  <c r="N3927" i="6"/>
  <c r="J3716" i="6"/>
  <c r="K3716" i="6" s="1"/>
  <c r="N3716" i="6"/>
  <c r="J3643" i="6"/>
  <c r="K3643" i="6" s="1"/>
  <c r="N3643" i="6"/>
  <c r="J3865" i="6"/>
  <c r="K3865" i="6" s="1"/>
  <c r="J3866" i="6"/>
  <c r="K3866" i="6" s="1"/>
  <c r="J3867" i="6"/>
  <c r="K3867" i="6" s="1"/>
  <c r="N3865" i="6"/>
  <c r="N3866" i="6"/>
  <c r="N3867" i="6"/>
  <c r="J3868" i="6"/>
  <c r="K3868" i="6" s="1"/>
  <c r="N3868" i="6"/>
  <c r="J3869" i="6"/>
  <c r="K3869" i="6" s="1"/>
  <c r="N3869" i="6"/>
  <c r="J3870" i="6"/>
  <c r="K3870" i="6" s="1"/>
  <c r="N3870" i="6"/>
  <c r="J3887" i="6"/>
  <c r="K3887" i="6" s="1"/>
  <c r="N3887" i="6"/>
  <c r="J3814" i="6"/>
  <c r="K3814" i="6" s="1"/>
  <c r="N3814" i="6"/>
  <c r="J3812" i="6"/>
  <c r="K3812" i="6" s="1"/>
  <c r="N3812" i="6"/>
  <c r="J515" i="78"/>
  <c r="J503" i="78"/>
  <c r="J3190" i="6"/>
  <c r="K3190" i="6" s="1"/>
  <c r="N3190" i="6"/>
  <c r="J3920" i="6"/>
  <c r="K3920" i="6" s="1"/>
  <c r="N3920" i="6"/>
  <c r="J3710" i="6"/>
  <c r="K3710" i="6" s="1"/>
  <c r="N3710" i="6"/>
  <c r="J3816" i="6"/>
  <c r="K3816" i="6" s="1"/>
  <c r="N3816" i="6"/>
  <c r="J517" i="78" l="1"/>
  <c r="J3774" i="6"/>
  <c r="K3774" i="6" s="1"/>
  <c r="N3774" i="6"/>
  <c r="J3773" i="6"/>
  <c r="K3773" i="6" s="1"/>
  <c r="N3773" i="6"/>
  <c r="I3563" i="6"/>
  <c r="J3563" i="6" s="1"/>
  <c r="K3563" i="6" s="1"/>
  <c r="N3563" i="6"/>
  <c r="J3556" i="6"/>
  <c r="K3556" i="6" s="1"/>
  <c r="N3556" i="6"/>
  <c r="J3553" i="6"/>
  <c r="K3553" i="6" s="1"/>
  <c r="N3553" i="6"/>
  <c r="J3898" i="6" l="1"/>
  <c r="K3898" i="6" s="1"/>
  <c r="N3898" i="6"/>
  <c r="J3919" i="6"/>
  <c r="K3919" i="6" s="1"/>
  <c r="N3919" i="6"/>
  <c r="J3881" i="6"/>
  <c r="K3881" i="6" s="1"/>
  <c r="N3881" i="6"/>
  <c r="J3880" i="6"/>
  <c r="K3880" i="6" s="1"/>
  <c r="N3880" i="6"/>
  <c r="J3879" i="6"/>
  <c r="K3879" i="6" s="1"/>
  <c r="N3879" i="6"/>
  <c r="J3796" i="6"/>
  <c r="K3796" i="6" s="1"/>
  <c r="N3796" i="6"/>
  <c r="J3791" i="6"/>
  <c r="K3791" i="6" s="1"/>
  <c r="N3791" i="6"/>
  <c r="J3921" i="6"/>
  <c r="K3921" i="6" s="1"/>
  <c r="N3921" i="6"/>
  <c r="J3407" i="6"/>
  <c r="K3407" i="6" s="1"/>
  <c r="N3407" i="6"/>
  <c r="J3406" i="6"/>
  <c r="K3406" i="6" s="1"/>
  <c r="N3406" i="6"/>
  <c r="J3624" i="6" l="1"/>
  <c r="K3624" i="6" s="1"/>
  <c r="N3624" i="6"/>
  <c r="J3896" i="6"/>
  <c r="K3896" i="6" s="1"/>
  <c r="N3896" i="6"/>
  <c r="J3818" i="6" l="1"/>
  <c r="K3818" i="6" s="1"/>
  <c r="N3818" i="6"/>
  <c r="J3864" i="6" l="1"/>
  <c r="K3864" i="6" s="1"/>
  <c r="N3864" i="6"/>
  <c r="J3152" i="6"/>
  <c r="K3152" i="6" s="1"/>
  <c r="N3152" i="6"/>
  <c r="J3813" i="6"/>
  <c r="K3813" i="6" s="1"/>
  <c r="N3813" i="6"/>
  <c r="N3863" i="6"/>
  <c r="J3863" i="6"/>
  <c r="K3863" i="6" s="1"/>
  <c r="J3862" i="6"/>
  <c r="K3862" i="6" s="1"/>
  <c r="N3862" i="6"/>
  <c r="J3793" i="6"/>
  <c r="K3793" i="6" s="1"/>
  <c r="N3793" i="6"/>
  <c r="J3794" i="6"/>
  <c r="K3794" i="6" s="1"/>
  <c r="N3794" i="6"/>
  <c r="J3795" i="6"/>
  <c r="K3795" i="6" s="1"/>
  <c r="N3795" i="6"/>
  <c r="J3259" i="6" l="1"/>
  <c r="K3259" i="6" s="1"/>
  <c r="N3259" i="6"/>
  <c r="I3789" i="6" l="1"/>
  <c r="J3789" i="6"/>
  <c r="K3789" i="6" s="1"/>
  <c r="N3789" i="6"/>
  <c r="J3660" i="6"/>
  <c r="K3660" i="6" s="1"/>
  <c r="N3660" i="6"/>
  <c r="J3918" i="6"/>
  <c r="K3918" i="6" s="1"/>
  <c r="N3918" i="6"/>
  <c r="J3923" i="6"/>
  <c r="K3923" i="6" s="1"/>
  <c r="N3923" i="6"/>
  <c r="J3857" i="6"/>
  <c r="K3857" i="6" s="1"/>
  <c r="N3857" i="6"/>
  <c r="J3566" i="6"/>
  <c r="K3566" i="6" s="1"/>
  <c r="N3566" i="6"/>
  <c r="J3901" i="6"/>
  <c r="K3901" i="6" s="1"/>
  <c r="N3901" i="6"/>
  <c r="J3667" i="6"/>
  <c r="K3667" i="6" s="1"/>
  <c r="N3667" i="6"/>
  <c r="J3856" i="6"/>
  <c r="K3856" i="6" s="1"/>
  <c r="N3856" i="6"/>
  <c r="J3257" i="6"/>
  <c r="K3257" i="6" s="1"/>
  <c r="N3257" i="6"/>
  <c r="J3258" i="6"/>
  <c r="K3258" i="6" s="1"/>
  <c r="N3258" i="6"/>
  <c r="J487" i="78" l="1"/>
  <c r="J470" i="78"/>
  <c r="J3800" i="6"/>
  <c r="K3800" i="6" s="1"/>
  <c r="N3800" i="6"/>
  <c r="J3799" i="6"/>
  <c r="K3799" i="6" s="1"/>
  <c r="N3799" i="6"/>
  <c r="J3798" i="6"/>
  <c r="K3798" i="6" s="1"/>
  <c r="N3798" i="6"/>
  <c r="J3848" i="6"/>
  <c r="K3848" i="6" s="1"/>
  <c r="N3848" i="6"/>
  <c r="J3846" i="6"/>
  <c r="K3846" i="6" s="1"/>
  <c r="N3846" i="6"/>
  <c r="J3849" i="6"/>
  <c r="K3849" i="6" s="1"/>
  <c r="N3849" i="6"/>
  <c r="J3668" i="6"/>
  <c r="K3668" i="6" s="1"/>
  <c r="N3668" i="6"/>
  <c r="J3712" i="6"/>
  <c r="K3712" i="6" s="1"/>
  <c r="N3712" i="6"/>
  <c r="J3750" i="6"/>
  <c r="K3750" i="6" s="1"/>
  <c r="N3750" i="6"/>
  <c r="J3792" i="6"/>
  <c r="K3792" i="6" s="1"/>
  <c r="N3792" i="6"/>
  <c r="J3541" i="6"/>
  <c r="K3541" i="6" s="1"/>
  <c r="N3541" i="6"/>
  <c r="J3837" i="6"/>
  <c r="K3837" i="6" s="1"/>
  <c r="N3837" i="6"/>
  <c r="J3838" i="6"/>
  <c r="K3838" i="6" s="1"/>
  <c r="N3838" i="6"/>
  <c r="J3747" i="6"/>
  <c r="K3747" i="6" s="1"/>
  <c r="N3747" i="6"/>
  <c r="J3748" i="6"/>
  <c r="K3748" i="6" s="1"/>
  <c r="N3748" i="6"/>
  <c r="J3805" i="6"/>
  <c r="K3805" i="6" s="1"/>
  <c r="N3805" i="6"/>
  <c r="J3806" i="6"/>
  <c r="K3806" i="6" s="1"/>
  <c r="N3806" i="6"/>
  <c r="J3804" i="6"/>
  <c r="K3804" i="6" s="1"/>
  <c r="N3804" i="6"/>
  <c r="J489" i="78" l="1"/>
  <c r="J3465" i="6"/>
  <c r="K3465" i="6" s="1"/>
  <c r="N3465" i="6"/>
  <c r="J3683" i="6"/>
  <c r="K3683" i="6" s="1"/>
  <c r="N3683" i="6"/>
  <c r="J3678" i="6"/>
  <c r="K3678" i="6" s="1"/>
  <c r="N3678" i="6"/>
  <c r="J3645" i="6"/>
  <c r="K3645" i="6" s="1"/>
  <c r="N3645" i="6"/>
  <c r="J3551" i="6"/>
  <c r="K3551" i="6" s="1"/>
  <c r="J3552" i="6"/>
  <c r="K3552" i="6" s="1"/>
  <c r="N3551" i="6"/>
  <c r="N3552" i="6"/>
  <c r="J3546" i="6"/>
  <c r="K3546" i="6" s="1"/>
  <c r="N3546" i="6"/>
  <c r="J3711" i="6"/>
  <c r="K3711" i="6" s="1"/>
  <c r="N3711" i="6"/>
  <c r="J3855" i="6"/>
  <c r="K3855" i="6" s="1"/>
  <c r="N3855" i="6"/>
  <c r="J3439" i="6" l="1"/>
  <c r="K3439" i="6" s="1"/>
  <c r="N3439" i="6"/>
  <c r="J3438" i="6"/>
  <c r="K3438" i="6" s="1"/>
  <c r="N3438" i="6"/>
  <c r="J3719" i="6"/>
  <c r="K3719" i="6" s="1"/>
  <c r="N3719" i="6"/>
  <c r="J3738" i="6"/>
  <c r="K3738" i="6" s="1"/>
  <c r="N3738" i="6"/>
  <c r="J3715" i="6"/>
  <c r="K3715" i="6" s="1"/>
  <c r="N3715" i="6"/>
  <c r="J3714" i="6"/>
  <c r="K3714" i="6" s="1"/>
  <c r="N3714" i="6"/>
  <c r="J3854" i="6"/>
  <c r="K3854" i="6" s="1"/>
  <c r="N3854" i="6"/>
  <c r="J3853" i="6"/>
  <c r="K3853" i="6" s="1"/>
  <c r="N3853" i="6"/>
  <c r="J3835" i="6" l="1"/>
  <c r="K3835" i="6" s="1"/>
  <c r="N3835" i="6"/>
  <c r="J3834" i="6"/>
  <c r="K3834" i="6" s="1"/>
  <c r="N3834" i="6"/>
  <c r="J3876" i="6"/>
  <c r="K3876" i="6" s="1"/>
  <c r="N3876" i="6"/>
  <c r="J3763" i="6"/>
  <c r="K3763" i="6" s="1"/>
  <c r="N3763" i="6"/>
  <c r="J3833" i="6"/>
  <c r="K3833" i="6" s="1"/>
  <c r="N3833" i="6"/>
  <c r="J3832" i="6"/>
  <c r="K3832" i="6" s="1"/>
  <c r="N3832" i="6"/>
  <c r="J3831" i="6"/>
  <c r="K3831" i="6" s="1"/>
  <c r="N3831" i="6"/>
  <c r="J3877" i="6"/>
  <c r="K3877" i="6" s="1"/>
  <c r="N3877" i="6"/>
  <c r="J3830" i="6"/>
  <c r="K3830" i="6" s="1"/>
  <c r="N3830" i="6"/>
  <c r="J3829" i="6"/>
  <c r="K3829" i="6" s="1"/>
  <c r="N3829" i="6"/>
  <c r="J3828" i="6"/>
  <c r="K3828" i="6" s="1"/>
  <c r="N3828" i="6"/>
  <c r="J3827" i="6"/>
  <c r="K3827" i="6" s="1"/>
  <c r="N3827" i="6"/>
  <c r="J3826" i="6"/>
  <c r="K3826" i="6" s="1"/>
  <c r="N3826" i="6"/>
  <c r="J3825" i="6"/>
  <c r="K3825" i="6" s="1"/>
  <c r="N3825" i="6"/>
  <c r="J3707" i="6"/>
  <c r="K3707" i="6" s="1"/>
  <c r="N3707" i="6"/>
  <c r="J3824" i="6"/>
  <c r="K3824" i="6" s="1"/>
  <c r="N3824" i="6"/>
  <c r="J3815" i="6" l="1"/>
  <c r="K3815" i="6" s="1"/>
  <c r="N3815" i="6"/>
  <c r="J3741" i="6"/>
  <c r="K3741" i="6" s="1"/>
  <c r="N3741" i="6"/>
  <c r="J3740" i="6"/>
  <c r="K3740" i="6" s="1"/>
  <c r="N3740" i="6"/>
  <c r="J3739" i="6"/>
  <c r="K3739" i="6" s="1"/>
  <c r="N3739" i="6"/>
  <c r="J3691" i="6"/>
  <c r="K3691" i="6" s="1"/>
  <c r="N3691" i="6"/>
  <c r="J3690" i="6"/>
  <c r="K3690" i="6" s="1"/>
  <c r="N3690" i="6"/>
  <c r="J3802" i="6"/>
  <c r="K3802" i="6" s="1"/>
  <c r="N3802" i="6"/>
  <c r="J3687" i="6"/>
  <c r="K3687" i="6" s="1"/>
  <c r="N3687" i="6"/>
  <c r="J3686" i="6"/>
  <c r="K3686" i="6" s="1"/>
  <c r="N3686" i="6"/>
  <c r="J3788" i="6"/>
  <c r="K3788" i="6" s="1"/>
  <c r="N3788" i="6"/>
  <c r="J3695" i="6"/>
  <c r="K3695" i="6" s="1"/>
  <c r="N3695" i="6"/>
  <c r="J3554" i="6" l="1"/>
  <c r="K3554" i="6" s="1"/>
  <c r="N3554" i="6"/>
  <c r="J3405" i="6"/>
  <c r="K3405" i="6" s="1"/>
  <c r="N3405" i="6"/>
  <c r="J3765" i="6" l="1"/>
  <c r="K3765" i="6" s="1"/>
  <c r="N3765" i="6"/>
  <c r="J3764" i="6"/>
  <c r="K3764" i="6" s="1"/>
  <c r="N3764" i="6"/>
  <c r="J3753" i="6"/>
  <c r="K3753" i="6" s="1"/>
  <c r="N3753" i="6"/>
  <c r="J3754" i="6"/>
  <c r="K3754" i="6" s="1"/>
  <c r="N3754" i="6"/>
  <c r="J3760" i="6"/>
  <c r="K3760" i="6" s="1"/>
  <c r="N3760" i="6"/>
  <c r="J3726" i="6"/>
  <c r="K3726" i="6" s="1"/>
  <c r="N3726" i="6"/>
  <c r="J3727" i="6"/>
  <c r="K3727" i="6" s="1"/>
  <c r="N3727" i="6"/>
  <c r="J3728" i="6"/>
  <c r="K3728" i="6" s="1"/>
  <c r="N3728" i="6"/>
  <c r="J3729" i="6"/>
  <c r="K3729" i="6" s="1"/>
  <c r="N3729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2" i="6"/>
  <c r="K3092" i="6" s="1"/>
  <c r="N3092" i="6"/>
  <c r="J3093" i="6"/>
  <c r="K3093" i="6" s="1"/>
  <c r="N3093" i="6"/>
  <c r="J3094" i="6"/>
  <c r="K3094" i="6" s="1"/>
  <c r="N3094" i="6"/>
  <c r="J3768" i="6"/>
  <c r="K3768" i="6" s="1"/>
  <c r="N3768" i="6"/>
  <c r="J3771" i="6"/>
  <c r="K3771" i="6" s="1"/>
  <c r="N3771" i="6"/>
  <c r="J3609" i="6"/>
  <c r="K3609" i="6" s="1"/>
  <c r="N3609" i="6"/>
  <c r="J3823" i="6"/>
  <c r="K3823" i="6" s="1"/>
  <c r="N3823" i="6"/>
  <c r="J449" i="78" l="1"/>
  <c r="J430" i="78"/>
  <c r="J3646" i="6"/>
  <c r="K3646" i="6" s="1"/>
  <c r="J3647" i="6"/>
  <c r="K3647" i="6" s="1"/>
  <c r="J3648" i="6"/>
  <c r="K3648" i="6" s="1"/>
  <c r="N3646" i="6"/>
  <c r="N3647" i="6"/>
  <c r="N3648" i="6"/>
  <c r="J3649" i="6"/>
  <c r="K3649" i="6" s="1"/>
  <c r="N3649" i="6"/>
  <c r="J3656" i="6"/>
  <c r="K3656" i="6" s="1"/>
  <c r="N3656" i="6"/>
  <c r="J3658" i="6"/>
  <c r="K3658" i="6" s="1"/>
  <c r="N3658" i="6"/>
  <c r="J451" i="78" l="1"/>
  <c r="J3767" i="6"/>
  <c r="K3767" i="6" s="1"/>
  <c r="N3767" i="6"/>
  <c r="J3811" i="6"/>
  <c r="K3811" i="6" s="1"/>
  <c r="N3811" i="6"/>
  <c r="J409" i="78"/>
  <c r="J3542" i="6"/>
  <c r="K3542" i="6" s="1"/>
  <c r="N3542" i="6"/>
  <c r="J3730" i="6"/>
  <c r="K3730" i="6" s="1"/>
  <c r="N3730" i="6"/>
  <c r="N3810" i="6"/>
  <c r="J3623" i="6"/>
  <c r="K3623" i="6" s="1"/>
  <c r="N3623" i="6"/>
  <c r="J3095" i="6"/>
  <c r="K3095" i="6" s="1"/>
  <c r="N3095" i="6"/>
  <c r="J3001" i="6"/>
  <c r="K3001" i="6" s="1"/>
  <c r="N3001" i="6"/>
  <c r="J3696" i="6" l="1"/>
  <c r="K3696" i="6" s="1"/>
  <c r="J3693" i="6"/>
  <c r="K3693" i="6" s="1"/>
  <c r="N3696" i="6"/>
  <c r="N3693" i="6"/>
  <c r="J3787" i="6" l="1"/>
  <c r="K3787" i="6" s="1"/>
  <c r="N3787" i="6"/>
  <c r="J3782" i="6"/>
  <c r="K3782" i="6" s="1"/>
  <c r="J3783" i="6"/>
  <c r="K3783" i="6" s="1"/>
  <c r="J3784" i="6"/>
  <c r="K3784" i="6" s="1"/>
  <c r="J3785" i="6"/>
  <c r="K3785" i="6" s="1"/>
  <c r="J3786" i="6"/>
  <c r="K3786" i="6" s="1"/>
  <c r="N3782" i="6"/>
  <c r="N3783" i="6"/>
  <c r="N3784" i="6"/>
  <c r="N3785" i="6"/>
  <c r="N3786" i="6"/>
  <c r="J3781" i="6"/>
  <c r="K3781" i="6" s="1"/>
  <c r="N3781" i="6"/>
  <c r="J3780" i="6"/>
  <c r="K3780" i="6" s="1"/>
  <c r="N3780" i="6"/>
  <c r="J3779" i="6"/>
  <c r="K3779" i="6" s="1"/>
  <c r="N3779" i="6"/>
  <c r="J3778" i="6"/>
  <c r="K3778" i="6" s="1"/>
  <c r="N3778" i="6"/>
  <c r="J3685" i="6"/>
  <c r="K3685" i="6" s="1"/>
  <c r="N3685" i="6"/>
  <c r="J3908" i="6" l="1"/>
  <c r="K3908" i="6" s="1"/>
  <c r="N3908" i="6"/>
  <c r="J3263" i="6"/>
  <c r="K3263" i="6" s="1"/>
  <c r="N3263" i="6"/>
  <c r="J3295" i="6"/>
  <c r="K3295" i="6" s="1"/>
  <c r="N3295" i="6"/>
  <c r="J3479" i="6"/>
  <c r="K3479" i="6" s="1"/>
  <c r="N3479" i="6"/>
  <c r="AA338" i="78"/>
  <c r="N3149" i="6"/>
  <c r="J3149" i="6"/>
  <c r="K3149" i="6" s="1"/>
  <c r="J3112" i="6"/>
  <c r="K3112" i="6" s="1"/>
  <c r="N3112" i="6"/>
  <c r="J3606" i="6"/>
  <c r="K3606" i="6" s="1"/>
  <c r="N3606" i="6"/>
  <c r="J3494" i="6"/>
  <c r="K3494" i="6" s="1"/>
  <c r="N3494" i="6"/>
  <c r="J3503" i="6"/>
  <c r="K3503" i="6" s="1"/>
  <c r="N3503" i="6"/>
  <c r="J3679" i="6"/>
  <c r="K3679" i="6" s="1"/>
  <c r="J3681" i="6"/>
  <c r="K3681" i="6" s="1"/>
  <c r="J3682" i="6"/>
  <c r="K3682" i="6" s="1"/>
  <c r="N3679" i="6"/>
  <c r="N3681" i="6"/>
  <c r="N3682" i="6"/>
  <c r="J3777" i="6"/>
  <c r="K3777" i="6" s="1"/>
  <c r="N3777" i="6"/>
  <c r="J3497" i="6"/>
  <c r="K3497" i="6" s="1"/>
  <c r="N3497" i="6"/>
  <c r="J3717" i="6"/>
  <c r="K3717" i="6" s="1"/>
  <c r="N3717" i="6"/>
  <c r="J3657" i="6"/>
  <c r="K3657" i="6" s="1"/>
  <c r="N3657" i="6"/>
  <c r="J3610" i="6"/>
  <c r="K3610" i="6" s="1"/>
  <c r="N3610" i="6"/>
  <c r="J3547" i="6"/>
  <c r="K3547" i="6" s="1"/>
  <c r="N3547" i="6"/>
  <c r="J3670" i="6"/>
  <c r="K3670" i="6" s="1"/>
  <c r="N3670" i="6"/>
  <c r="J3669" i="6"/>
  <c r="K3669" i="6" s="1"/>
  <c r="N3669" i="6"/>
  <c r="J3677" i="6"/>
  <c r="K3677" i="6" s="1"/>
  <c r="N3677" i="6"/>
  <c r="J3674" i="6" l="1"/>
  <c r="K3674" i="6" s="1"/>
  <c r="N3674" i="6"/>
  <c r="J3673" i="6"/>
  <c r="K3673" i="6" s="1"/>
  <c r="N3673" i="6"/>
  <c r="J3404" i="6"/>
  <c r="K3404" i="6" s="1"/>
  <c r="N3404" i="6"/>
  <c r="J3759" i="6"/>
  <c r="K3759" i="6" s="1"/>
  <c r="N3759" i="6"/>
  <c r="J3758" i="6"/>
  <c r="K3758" i="6" s="1"/>
  <c r="N3758" i="6"/>
  <c r="J3745" i="6"/>
  <c r="K3745" i="6" s="1"/>
  <c r="N3745" i="6"/>
  <c r="J3755" i="6"/>
  <c r="K3755" i="6" s="1"/>
  <c r="N3755" i="6"/>
  <c r="J3756" i="6"/>
  <c r="K3756" i="6" s="1"/>
  <c r="N3756" i="6"/>
  <c r="J3757" i="6"/>
  <c r="K3757" i="6" s="1"/>
  <c r="N3757" i="6"/>
  <c r="J3664" i="6"/>
  <c r="K3664" i="6" s="1"/>
  <c r="N3664" i="6"/>
  <c r="J3535" i="6"/>
  <c r="K3535" i="6" s="1"/>
  <c r="N3535" i="6"/>
  <c r="J3504" i="6"/>
  <c r="K3504" i="6" s="1"/>
  <c r="N3504" i="6"/>
  <c r="J3776" i="6"/>
  <c r="K3776" i="6" s="1"/>
  <c r="N3776" i="6"/>
  <c r="J3775" i="6"/>
  <c r="K3775" i="6" s="1"/>
  <c r="N3775" i="6"/>
  <c r="J3912" i="6"/>
  <c r="K3912" i="6" s="1"/>
  <c r="N3912" i="6"/>
  <c r="J3934" i="6"/>
  <c r="K3934" i="6" s="1"/>
  <c r="N3934" i="6"/>
  <c r="J3770" i="6"/>
  <c r="K3770" i="6" s="1"/>
  <c r="N3770" i="6"/>
  <c r="J359" i="78"/>
  <c r="J374" i="78"/>
  <c r="J3694" i="6"/>
  <c r="K3694" i="6" s="1"/>
  <c r="N3694" i="6"/>
  <c r="J3860" i="6"/>
  <c r="K3860" i="6" s="1"/>
  <c r="N3860" i="6"/>
  <c r="J376" i="78" l="1"/>
  <c r="J3408" i="6"/>
  <c r="K3408" i="6" s="1"/>
  <c r="N3408" i="6"/>
  <c r="J3420" i="6"/>
  <c r="K3420" i="6" s="1"/>
  <c r="N3420" i="6"/>
  <c r="J3415" i="6"/>
  <c r="K3415" i="6" s="1"/>
  <c r="N3415" i="6"/>
  <c r="J3429" i="6"/>
  <c r="K3429" i="6" s="1"/>
  <c r="N3429" i="6"/>
  <c r="N3091" i="6"/>
  <c r="J3091" i="6"/>
  <c r="K3091" i="6" s="1"/>
  <c r="J3055" i="6"/>
  <c r="K3055" i="6" s="1"/>
  <c r="N3055" i="6"/>
  <c r="J3751" i="6"/>
  <c r="J3752" i="6"/>
  <c r="J3559" i="6"/>
  <c r="K3559" i="6" s="1"/>
  <c r="N3559" i="6"/>
  <c r="J3560" i="6"/>
  <c r="K3560" i="6" s="1"/>
  <c r="N3560" i="6"/>
  <c r="J2899" i="6"/>
  <c r="K2899" i="6" s="1"/>
  <c r="N2899" i="6"/>
  <c r="J2898" i="6"/>
  <c r="K2898" i="6" s="1"/>
  <c r="N2898" i="6"/>
  <c r="J2996" i="6"/>
  <c r="K2996" i="6" s="1"/>
  <c r="N2996" i="6"/>
  <c r="J3704" i="6"/>
  <c r="K3704" i="6" s="1"/>
  <c r="N3704" i="6"/>
  <c r="J3705" i="6"/>
  <c r="K3705" i="6" s="1"/>
  <c r="N3705" i="6"/>
  <c r="J3706" i="6"/>
  <c r="K3706" i="6" s="1"/>
  <c r="N3706" i="6"/>
  <c r="N3725" i="6"/>
  <c r="J3725" i="6"/>
  <c r="K3725" i="6" s="1"/>
  <c r="J3724" i="6"/>
  <c r="K3724" i="6" s="1"/>
  <c r="N3724" i="6"/>
  <c r="J3723" i="6"/>
  <c r="K3723" i="6" s="1"/>
  <c r="N3723" i="6"/>
  <c r="J3722" i="6"/>
  <c r="K3722" i="6" s="1"/>
  <c r="N3722" i="6"/>
  <c r="J3409" i="6" l="1"/>
  <c r="K3409" i="6" s="1"/>
  <c r="J3410" i="6"/>
  <c r="K3410" i="6" s="1"/>
  <c r="J3411" i="6"/>
  <c r="K3411" i="6" s="1"/>
  <c r="N3409" i="6"/>
  <c r="N3410" i="6"/>
  <c r="N3411" i="6"/>
  <c r="J3412" i="6"/>
  <c r="K3412" i="6" s="1"/>
  <c r="N3412" i="6"/>
  <c r="J3413" i="6"/>
  <c r="K3413" i="6" s="1"/>
  <c r="N3413" i="6"/>
  <c r="J3414" i="6"/>
  <c r="K3414" i="6" s="1"/>
  <c r="N3414" i="6"/>
  <c r="J3501" i="6" l="1"/>
  <c r="K3501" i="6" s="1"/>
  <c r="J3936" i="6"/>
  <c r="J3935" i="6"/>
  <c r="J3769" i="6"/>
  <c r="J3810" i="6"/>
  <c r="J3933" i="6"/>
  <c r="J3931" i="6"/>
  <c r="K3931" i="6" s="1"/>
  <c r="J3930" i="6"/>
  <c r="J3929" i="6"/>
  <c r="J3928" i="6"/>
  <c r="J3925" i="6"/>
  <c r="J3915" i="6"/>
  <c r="J3914" i="6"/>
  <c r="J3913" i="6"/>
  <c r="J3742" i="6"/>
  <c r="K3742" i="6" s="1"/>
  <c r="J3911" i="6"/>
  <c r="J3888" i="6"/>
  <c r="J3904" i="6"/>
  <c r="J3903" i="6"/>
  <c r="J3902" i="6"/>
  <c r="J3897" i="6"/>
  <c r="J3893" i="6"/>
  <c r="J3890" i="6"/>
  <c r="J3886" i="6"/>
  <c r="J3859" i="6"/>
  <c r="J3885" i="6"/>
  <c r="J3884" i="6"/>
  <c r="J3708" i="6"/>
  <c r="J3873" i="6"/>
  <c r="J3872" i="6"/>
  <c r="J3871" i="6"/>
  <c r="J3861" i="6"/>
  <c r="J3840" i="6"/>
  <c r="J3684" i="6"/>
  <c r="J3851" i="6"/>
  <c r="J3844" i="6"/>
  <c r="J3675" i="6"/>
  <c r="J3809" i="6"/>
  <c r="J3808" i="6"/>
  <c r="J3807" i="6"/>
  <c r="J3803" i="6"/>
  <c r="J3801" i="6"/>
  <c r="J3797" i="6"/>
  <c r="J3790" i="6"/>
  <c r="J3772" i="6"/>
  <c r="K3772" i="6" s="1"/>
  <c r="J3766" i="6"/>
  <c r="K3766" i="6" s="1"/>
  <c r="N3501" i="6"/>
  <c r="N3931" i="6"/>
  <c r="N3736" i="6"/>
  <c r="J3736" i="6"/>
  <c r="K3736" i="6" s="1"/>
  <c r="N3735" i="6"/>
  <c r="J3735" i="6"/>
  <c r="K3735" i="6" s="1"/>
  <c r="J3325" i="6"/>
  <c r="K3325" i="6" s="1"/>
  <c r="N3325" i="6"/>
  <c r="J3320" i="6"/>
  <c r="K3320" i="6" s="1"/>
  <c r="N3320" i="6"/>
  <c r="J3498" i="6"/>
  <c r="K3498" i="6" s="1"/>
  <c r="N3498" i="6"/>
  <c r="J3632" i="6"/>
  <c r="K3632" i="6" s="1"/>
  <c r="N3632" i="6"/>
  <c r="J3296" i="6"/>
  <c r="K3296" i="6" s="1"/>
  <c r="N3296" i="6"/>
  <c r="J3637" i="6"/>
  <c r="K3637" i="6" s="1"/>
  <c r="N3637" i="6"/>
  <c r="J3636" i="6"/>
  <c r="K3636" i="6" s="1"/>
  <c r="N3636" i="6"/>
  <c r="J3487" i="6"/>
  <c r="K3487" i="6" s="1"/>
  <c r="J3488" i="6"/>
  <c r="K3488" i="6" s="1"/>
  <c r="J3489" i="6"/>
  <c r="K3489" i="6" s="1"/>
  <c r="J3490" i="6"/>
  <c r="K3490" i="6" s="1"/>
  <c r="J3492" i="6"/>
  <c r="K3492" i="6" s="1"/>
  <c r="J3493" i="6"/>
  <c r="K3493" i="6" s="1"/>
  <c r="N3487" i="6"/>
  <c r="N3488" i="6"/>
  <c r="N3489" i="6"/>
  <c r="N3490" i="6"/>
  <c r="N3492" i="6"/>
  <c r="N3493" i="6"/>
  <c r="J3485" i="6"/>
  <c r="K3485" i="6" s="1"/>
  <c r="N3485" i="6"/>
  <c r="J3335" i="6"/>
  <c r="K3335" i="6" s="1"/>
  <c r="N3335" i="6"/>
  <c r="J3332" i="6"/>
  <c r="K3332" i="6" s="1"/>
  <c r="N3332" i="6"/>
  <c r="J3689" i="6"/>
  <c r="K3689" i="6" s="1"/>
  <c r="N3689" i="6"/>
  <c r="J3733" i="6"/>
  <c r="K3733" i="6" s="1"/>
  <c r="N3733" i="6"/>
  <c r="J3732" i="6"/>
  <c r="K3732" i="6" s="1"/>
  <c r="N3732" i="6"/>
  <c r="J3731" i="6"/>
  <c r="K3731" i="6" s="1"/>
  <c r="N3731" i="6"/>
  <c r="J3703" i="6"/>
  <c r="K3703" i="6" s="1"/>
  <c r="N3703" i="6"/>
  <c r="J3680" i="6"/>
  <c r="K3680" i="6" s="1"/>
  <c r="N3680" i="6"/>
  <c r="J3665" i="6"/>
  <c r="K3665" i="6" s="1"/>
  <c r="N3665" i="6"/>
  <c r="J3621" i="6"/>
  <c r="K3621" i="6" s="1"/>
  <c r="J3633" i="6"/>
  <c r="K3633" i="6" s="1"/>
  <c r="J3635" i="6"/>
  <c r="K3635" i="6" s="1"/>
  <c r="J3655" i="6"/>
  <c r="K3655" i="6" s="1"/>
  <c r="J3671" i="6"/>
  <c r="K3671" i="6" s="1"/>
  <c r="J3663" i="6"/>
  <c r="K3663" i="6" s="1"/>
  <c r="N3621" i="6"/>
  <c r="N3633" i="6"/>
  <c r="N3635" i="6"/>
  <c r="N3655" i="6"/>
  <c r="N3671" i="6"/>
  <c r="N3663" i="6"/>
  <c r="J3558" i="6"/>
  <c r="K3558" i="6" s="1"/>
  <c r="N3558" i="6"/>
  <c r="J3555" i="6"/>
  <c r="K3555" i="6" s="1"/>
  <c r="N3555" i="6"/>
  <c r="J3260" i="6"/>
  <c r="K3260" i="6" s="1"/>
  <c r="N3260" i="6"/>
  <c r="J3702" i="6"/>
  <c r="K3702" i="6" s="1"/>
  <c r="N3702" i="6"/>
  <c r="J3701" i="6"/>
  <c r="K3701" i="6" s="1"/>
  <c r="N3701" i="6"/>
  <c r="J3109" i="6"/>
  <c r="K3109" i="6" s="1"/>
  <c r="N3109" i="6"/>
  <c r="J3634" i="6"/>
  <c r="K3634" i="6" s="1"/>
  <c r="N3634" i="6"/>
  <c r="J3672" i="6"/>
  <c r="K3672" i="6" s="1"/>
  <c r="N3672" i="6"/>
  <c r="J3110" i="6"/>
  <c r="K3110" i="6" s="1"/>
  <c r="N3110" i="6"/>
  <c r="J3135" i="6"/>
  <c r="K3135" i="6" s="1"/>
  <c r="N3135" i="6"/>
  <c r="J3534" i="6"/>
  <c r="K3534" i="6" s="1"/>
  <c r="N3534" i="6"/>
  <c r="J3508" i="6"/>
  <c r="K3508" i="6" s="1"/>
  <c r="J3512" i="6"/>
  <c r="K3512" i="6" s="1"/>
  <c r="J3513" i="6"/>
  <c r="K3513" i="6" s="1"/>
  <c r="J3514" i="6"/>
  <c r="K3514" i="6" s="1"/>
  <c r="J3533" i="6"/>
  <c r="K3533" i="6" s="1"/>
  <c r="N3508" i="6"/>
  <c r="N3512" i="6"/>
  <c r="N3513" i="6"/>
  <c r="N3514" i="6"/>
  <c r="N3533" i="6"/>
  <c r="J3507" i="6"/>
  <c r="K3507" i="6" s="1"/>
  <c r="N3507" i="6"/>
  <c r="J3666" i="6"/>
  <c r="K3666" i="6" s="1"/>
  <c r="N3666" i="6"/>
  <c r="J341" i="78"/>
  <c r="J321" i="78"/>
  <c r="J3676" i="6"/>
  <c r="K3676" i="6" s="1"/>
  <c r="N3676" i="6"/>
  <c r="N3772" i="6"/>
  <c r="N3742" i="6"/>
  <c r="N3766" i="6"/>
  <c r="J3416" i="6"/>
  <c r="K3416" i="6" s="1"/>
  <c r="N3416" i="6"/>
  <c r="J2904" i="6"/>
  <c r="K2904" i="6" s="1"/>
  <c r="N2904" i="6"/>
  <c r="J3661" i="6"/>
  <c r="K3661" i="6" s="1"/>
  <c r="N3661" i="6"/>
  <c r="J3557" i="6"/>
  <c r="K3557" i="6" s="1"/>
  <c r="N3557" i="6"/>
  <c r="J3437" i="6"/>
  <c r="K3437" i="6" s="1"/>
  <c r="N3437" i="6"/>
  <c r="J3201" i="6"/>
  <c r="K3201" i="6" s="1"/>
  <c r="N3201" i="6"/>
  <c r="J3403" i="6"/>
  <c r="K3403" i="6" s="1"/>
  <c r="N3403" i="6"/>
  <c r="J3356" i="6"/>
  <c r="K3356" i="6" s="1"/>
  <c r="N3356" i="6"/>
  <c r="J343" i="78" l="1"/>
  <c r="J3688" i="6"/>
  <c r="K3688" i="6" s="1"/>
  <c r="N3688" i="6"/>
  <c r="J3496" i="6"/>
  <c r="K3496" i="6" s="1"/>
  <c r="N3496" i="6"/>
  <c r="J3697" i="6"/>
  <c r="K3697" i="6" s="1"/>
  <c r="N3697" i="6"/>
  <c r="J3734" i="6"/>
  <c r="K3734" i="6" s="1"/>
  <c r="N3734" i="6"/>
  <c r="J3651" i="6" l="1"/>
  <c r="K3651" i="6" s="1"/>
  <c r="N3651" i="6"/>
  <c r="J3654" i="6"/>
  <c r="K3654" i="6" s="1"/>
  <c r="N3654" i="6"/>
  <c r="J3567" i="6" l="1"/>
  <c r="K3567" i="6" s="1"/>
  <c r="N3567" i="6"/>
  <c r="J3650" i="6" l="1"/>
  <c r="K3650" i="6" s="1"/>
  <c r="N3650" i="6"/>
  <c r="J3134" i="6"/>
  <c r="K3134" i="6" s="1"/>
  <c r="N3134" i="6"/>
  <c r="J3539" i="6"/>
  <c r="K3539" i="6" s="1"/>
  <c r="N3539" i="6"/>
  <c r="J3653" i="6"/>
  <c r="K3653" i="6" s="1"/>
  <c r="N3653" i="6"/>
  <c r="J3652" i="6"/>
  <c r="K3652" i="6" s="1"/>
  <c r="N3652" i="6"/>
  <c r="J3628" i="6"/>
  <c r="K3628" i="6" s="1"/>
  <c r="N3628" i="6"/>
  <c r="J3003" i="6"/>
  <c r="K3003" i="6" s="1"/>
  <c r="N3003" i="6"/>
  <c r="J3630" i="6"/>
  <c r="K3630" i="6" s="1"/>
  <c r="N3630" i="6"/>
  <c r="J3631" i="6"/>
  <c r="K3631" i="6" s="1"/>
  <c r="N3631" i="6"/>
  <c r="J3629" i="6"/>
  <c r="K3629" i="6" s="1"/>
  <c r="N3629" i="6"/>
  <c r="J2948" i="6"/>
  <c r="K2948" i="6" s="1"/>
  <c r="N2948" i="6"/>
  <c r="J2917" i="6"/>
  <c r="K2917" i="6" s="1"/>
  <c r="N2917" i="6"/>
  <c r="N3431" i="6"/>
  <c r="J3611" i="6"/>
  <c r="K3611" i="6" s="1"/>
  <c r="N3611" i="6"/>
  <c r="J3612" i="6"/>
  <c r="K3612" i="6" s="1"/>
  <c r="N3612" i="6"/>
  <c r="J3431" i="6"/>
  <c r="K3431" i="6" s="1"/>
  <c r="J2897" i="6"/>
  <c r="K2897" i="6" s="1"/>
  <c r="N2897" i="6"/>
  <c r="J3457" i="6"/>
  <c r="K3457" i="6" s="1"/>
  <c r="J3458" i="6"/>
  <c r="K3458" i="6" s="1"/>
  <c r="N3457" i="6"/>
  <c r="N3458" i="6"/>
  <c r="J3455" i="6"/>
  <c r="K3455" i="6" s="1"/>
  <c r="N3455" i="6"/>
  <c r="J3642" i="6"/>
  <c r="K3642" i="6" s="1"/>
  <c r="N3642" i="6"/>
  <c r="J3345" i="6"/>
  <c r="K3345" i="6" s="1"/>
  <c r="N3345" i="6"/>
  <c r="J3582" i="6"/>
  <c r="K3582" i="6" s="1"/>
  <c r="J3583" i="6"/>
  <c r="K3583" i="6" s="1"/>
  <c r="N3582" i="6"/>
  <c r="N3583" i="6"/>
  <c r="J3584" i="6"/>
  <c r="K3584" i="6" s="1"/>
  <c r="J3585" i="6"/>
  <c r="K3585" i="6" s="1"/>
  <c r="N3584" i="6"/>
  <c r="N3585" i="6"/>
  <c r="J3586" i="6"/>
  <c r="K3586" i="6" s="1"/>
  <c r="N3586" i="6"/>
  <c r="J3587" i="6"/>
  <c r="K3587" i="6" s="1"/>
  <c r="N3587" i="6"/>
  <c r="J3480" i="6"/>
  <c r="K3480" i="6" s="1"/>
  <c r="N3480" i="6"/>
  <c r="I3464" i="6"/>
  <c r="J3066" i="6"/>
  <c r="K3066" i="6" s="1"/>
  <c r="N3066" i="6"/>
  <c r="J3453" i="6" l="1"/>
  <c r="K3453" i="6" s="1"/>
  <c r="N3453" i="6"/>
  <c r="J3448" i="6"/>
  <c r="K3448" i="6" s="1"/>
  <c r="N3448" i="6"/>
  <c r="J3495" i="6"/>
  <c r="K3495" i="6" s="1"/>
  <c r="K3935" i="6"/>
  <c r="N3935" i="6"/>
  <c r="J3641" i="6"/>
  <c r="K3641" i="6" s="1"/>
  <c r="N3641" i="6"/>
  <c r="J3640" i="6"/>
  <c r="K3640" i="6" s="1"/>
  <c r="N3640" i="6"/>
  <c r="J3550" i="6"/>
  <c r="K3550" i="6" s="1"/>
  <c r="N3550" i="6"/>
  <c r="N3495" i="6"/>
  <c r="J300" i="78"/>
  <c r="J282" i="78"/>
  <c r="J302" i="78" s="1"/>
  <c r="J3113" i="6"/>
  <c r="K3113" i="6" s="1"/>
  <c r="N3113" i="6"/>
  <c r="K3675" i="6"/>
  <c r="N3675" i="6"/>
  <c r="J3505" i="6"/>
  <c r="K3505" i="6" s="1"/>
  <c r="N3505" i="6"/>
  <c r="K3911" i="6"/>
  <c r="N3911" i="6"/>
  <c r="J3549" i="6"/>
  <c r="K3549" i="6" s="1"/>
  <c r="N3549" i="6"/>
  <c r="J3607" i="6"/>
  <c r="K3607" i="6" s="1"/>
  <c r="N3607" i="6"/>
  <c r="J3544" i="6"/>
  <c r="K3544" i="6" s="1"/>
  <c r="N3544" i="6"/>
  <c r="J3543" i="6"/>
  <c r="K3543" i="6" s="1"/>
  <c r="N3543" i="6"/>
  <c r="J3393" i="6"/>
  <c r="K3393" i="6" s="1"/>
  <c r="N3393" i="6"/>
  <c r="J3379" i="6"/>
  <c r="K3379" i="6" s="1"/>
  <c r="N3379" i="6"/>
  <c r="J3590" i="6"/>
  <c r="K3590" i="6" s="1"/>
  <c r="J3591" i="6"/>
  <c r="K3591" i="6" s="1"/>
  <c r="J3592" i="6"/>
  <c r="K3592" i="6" s="1"/>
  <c r="J3593" i="6"/>
  <c r="K3593" i="6" s="1"/>
  <c r="J3594" i="6"/>
  <c r="K3594" i="6" s="1"/>
  <c r="J3595" i="6"/>
  <c r="K3595" i="6" s="1"/>
  <c r="J3596" i="6"/>
  <c r="K3596" i="6" s="1"/>
  <c r="J3597" i="6"/>
  <c r="K3597" i="6" s="1"/>
  <c r="J3598" i="6"/>
  <c r="K3598" i="6" s="1"/>
  <c r="J3599" i="6"/>
  <c r="K3599" i="6" s="1"/>
  <c r="J3600" i="6"/>
  <c r="K3600" i="6" s="1"/>
  <c r="J3601" i="6"/>
  <c r="K3601" i="6" s="1"/>
  <c r="J3602" i="6"/>
  <c r="K3602" i="6" s="1"/>
  <c r="J3603" i="6"/>
  <c r="K3603" i="6" s="1"/>
  <c r="J3604" i="6"/>
  <c r="K3604" i="6" s="1"/>
  <c r="N3590" i="6"/>
  <c r="N3591" i="6"/>
  <c r="N3592" i="6"/>
  <c r="N3593" i="6"/>
  <c r="N3594" i="6"/>
  <c r="N3595" i="6"/>
  <c r="N3596" i="6"/>
  <c r="N3597" i="6"/>
  <c r="N3598" i="6"/>
  <c r="N3599" i="6"/>
  <c r="N3600" i="6"/>
  <c r="N3601" i="6"/>
  <c r="N3602" i="6"/>
  <c r="N3603" i="6"/>
  <c r="N3604" i="6"/>
  <c r="J3589" i="6" l="1"/>
  <c r="K3589" i="6" s="1"/>
  <c r="N3589" i="6"/>
  <c r="J3491" i="6"/>
  <c r="K3491" i="6" s="1"/>
  <c r="N3491" i="6"/>
  <c r="J3561" i="6" l="1"/>
  <c r="K3561" i="6" s="1"/>
  <c r="N3561" i="6"/>
  <c r="J3588" i="6" l="1"/>
  <c r="K3588" i="6" s="1"/>
  <c r="N3588" i="6"/>
  <c r="J3532" i="6"/>
  <c r="K3532" i="6" s="1"/>
  <c r="N3532" i="6"/>
  <c r="K3893" i="6"/>
  <c r="N3893" i="6"/>
  <c r="K3888" i="6"/>
  <c r="N3888" i="6"/>
  <c r="J3581" i="6"/>
  <c r="K3581" i="6" s="1"/>
  <c r="N3581" i="6"/>
  <c r="J3580" i="6"/>
  <c r="K3580" i="6" s="1"/>
  <c r="N3580" i="6"/>
  <c r="J3579" i="6"/>
  <c r="K3579" i="6" s="1"/>
  <c r="N3579" i="6"/>
  <c r="J3578" i="6"/>
  <c r="K3578" i="6" s="1"/>
  <c r="N3578" i="6"/>
  <c r="J3562" i="6"/>
  <c r="K3562" i="6" s="1"/>
  <c r="N3562" i="6"/>
  <c r="J3577" i="6"/>
  <c r="K3577" i="6" s="1"/>
  <c r="N3577" i="6"/>
  <c r="J3576" i="6"/>
  <c r="K3576" i="6" s="1"/>
  <c r="N3576" i="6"/>
  <c r="J3575" i="6"/>
  <c r="K3575" i="6" s="1"/>
  <c r="N3575" i="6"/>
  <c r="J3574" i="6"/>
  <c r="K3574" i="6" s="1"/>
  <c r="N3574" i="6"/>
  <c r="J3573" i="6"/>
  <c r="K3573" i="6" s="1"/>
  <c r="N3573" i="6"/>
  <c r="J3572" i="6"/>
  <c r="K3572" i="6" s="1"/>
  <c r="N3572" i="6"/>
  <c r="J3336" i="6"/>
  <c r="K3336" i="6" s="1"/>
  <c r="N3336" i="6"/>
  <c r="J3571" i="6"/>
  <c r="K3571" i="6" s="1"/>
  <c r="N3571" i="6"/>
  <c r="J3570" i="6"/>
  <c r="K3570" i="6" s="1"/>
  <c r="N3570" i="6"/>
  <c r="J3065" i="6"/>
  <c r="K3065" i="6" s="1"/>
  <c r="N3065" i="6"/>
  <c r="J3569" i="6" l="1"/>
  <c r="K3569" i="6" s="1"/>
  <c r="N3569" i="6"/>
  <c r="J3294" i="6"/>
  <c r="K3294" i="6" s="1"/>
  <c r="N3294" i="6"/>
  <c r="J3288" i="6"/>
  <c r="K3288" i="6" s="1"/>
  <c r="N3288" i="6"/>
  <c r="J3281" i="6"/>
  <c r="K3281" i="6" s="1"/>
  <c r="N3281" i="6"/>
  <c r="J3484" i="6" l="1"/>
  <c r="K3484" i="6" s="1"/>
  <c r="N3484" i="6"/>
  <c r="J3483" i="6"/>
  <c r="K3483" i="6" s="1"/>
  <c r="N3483" i="6"/>
  <c r="J3378" i="6"/>
  <c r="K3378" i="6" s="1"/>
  <c r="N3378" i="6"/>
  <c r="J3375" i="6"/>
  <c r="K3375" i="6" s="1"/>
  <c r="N3375" i="6"/>
  <c r="J3360" i="6"/>
  <c r="K3360" i="6" s="1"/>
  <c r="N3360" i="6"/>
  <c r="J3276" i="6" l="1"/>
  <c r="K3276" i="6" s="1"/>
  <c r="N3276" i="6"/>
  <c r="J3226" i="6"/>
  <c r="K3226" i="6" s="1"/>
  <c r="N3226" i="6"/>
  <c r="J3515" i="6"/>
  <c r="K3515" i="6" s="1"/>
  <c r="N3515" i="6"/>
  <c r="J3516" i="6"/>
  <c r="K3516" i="6" s="1"/>
  <c r="N3516" i="6"/>
  <c r="J3520" i="6"/>
  <c r="K3520" i="6" s="1"/>
  <c r="N3520" i="6"/>
  <c r="J3521" i="6"/>
  <c r="K3521" i="6" s="1"/>
  <c r="N3521" i="6"/>
  <c r="J3530" i="6"/>
  <c r="K3530" i="6" s="1"/>
  <c r="N3530" i="6"/>
  <c r="J3548" i="6"/>
  <c r="K3548" i="6" s="1"/>
  <c r="N3548" i="6"/>
  <c r="J3545" i="6"/>
  <c r="K3545" i="6" s="1"/>
  <c r="N3545" i="6"/>
  <c r="J3111" i="6"/>
  <c r="K3111" i="6" s="1"/>
  <c r="N3111" i="6"/>
  <c r="J3268" i="6" l="1"/>
  <c r="K3268" i="6" s="1"/>
  <c r="N3268" i="6"/>
  <c r="J3481" i="6" l="1"/>
  <c r="K3481" i="6" s="1"/>
  <c r="N3481" i="6"/>
  <c r="J3426" i="6"/>
  <c r="K3426" i="6" s="1"/>
  <c r="N3426" i="6"/>
  <c r="J3459" i="6"/>
  <c r="K3459" i="6" s="1"/>
  <c r="N3459" i="6"/>
  <c r="J3306" i="6"/>
  <c r="K3306" i="6" s="1"/>
  <c r="J3307" i="6"/>
  <c r="K3307" i="6" s="1"/>
  <c r="J3312" i="6"/>
  <c r="K3312" i="6" s="1"/>
  <c r="N3306" i="6"/>
  <c r="N3307" i="6"/>
  <c r="N3312" i="6"/>
  <c r="J3297" i="6"/>
  <c r="K3297" i="6" s="1"/>
  <c r="N3297" i="6"/>
  <c r="J3461" i="6" l="1"/>
  <c r="K3461" i="6" s="1"/>
  <c r="N3461" i="6"/>
  <c r="J3460" i="6"/>
  <c r="K3460" i="6" s="1"/>
  <c r="N3460" i="6"/>
  <c r="J3568" i="6"/>
  <c r="K3568" i="6" s="1"/>
  <c r="N3568" i="6"/>
  <c r="J3057" i="6"/>
  <c r="K3057" i="6" s="1"/>
  <c r="N3057" i="6"/>
  <c r="J3537" i="6"/>
  <c r="K3537" i="6" s="1"/>
  <c r="N3537" i="6"/>
  <c r="J244" i="78"/>
  <c r="J261" i="78"/>
  <c r="J263" i="78" l="1"/>
  <c r="J3536" i="6"/>
  <c r="K3536" i="6" s="1"/>
  <c r="N3536" i="6"/>
  <c r="J3454" i="6"/>
  <c r="K3454" i="6" s="1"/>
  <c r="N3454" i="6"/>
  <c r="K3684" i="6"/>
  <c r="N3684" i="6"/>
  <c r="J2821" i="6"/>
  <c r="K2821" i="6" s="1"/>
  <c r="N2821" i="6"/>
  <c r="J3427" i="6" l="1"/>
  <c r="K3427" i="6" s="1"/>
  <c r="N3427" i="6"/>
  <c r="J3428" i="6"/>
  <c r="K3428" i="6" s="1"/>
  <c r="N3428" i="6"/>
  <c r="J3529" i="6" l="1"/>
  <c r="K3529" i="6" s="1"/>
  <c r="N3529" i="6"/>
  <c r="J3528" i="6"/>
  <c r="K3528" i="6" s="1"/>
  <c r="N3528" i="6"/>
  <c r="J3527" i="6"/>
  <c r="K3527" i="6" s="1"/>
  <c r="N3527" i="6"/>
  <c r="J3526" i="6"/>
  <c r="K3526" i="6" s="1"/>
  <c r="N3526" i="6"/>
  <c r="J3525" i="6"/>
  <c r="K3525" i="6" s="1"/>
  <c r="N3525" i="6"/>
  <c r="J3509" i="6"/>
  <c r="K3509" i="6" s="1"/>
  <c r="N3509" i="6"/>
  <c r="J3510" i="6"/>
  <c r="K3510" i="6" s="1"/>
  <c r="N3510" i="6"/>
  <c r="J3293" i="6"/>
  <c r="K3293" i="6" s="1"/>
  <c r="N3293" i="6"/>
  <c r="J3486" i="6"/>
  <c r="K3486" i="6" s="1"/>
  <c r="N3486" i="6"/>
  <c r="J3292" i="6"/>
  <c r="K3292" i="6" s="1"/>
  <c r="N3292" i="6"/>
  <c r="J3280" i="6"/>
  <c r="K3280" i="6" s="1"/>
  <c r="N3280" i="6"/>
  <c r="J3524" i="6"/>
  <c r="K3524" i="6" s="1"/>
  <c r="N3524" i="6"/>
  <c r="J3470" i="6"/>
  <c r="K3470" i="6" s="1"/>
  <c r="J3471" i="6"/>
  <c r="K3471" i="6" s="1"/>
  <c r="J3472" i="6"/>
  <c r="K3472" i="6" s="1"/>
  <c r="J3473" i="6"/>
  <c r="K3473" i="6" s="1"/>
  <c r="N3470" i="6"/>
  <c r="N3471" i="6"/>
  <c r="N3472" i="6"/>
  <c r="N3473" i="6"/>
  <c r="J3474" i="6"/>
  <c r="K3474" i="6" s="1"/>
  <c r="J3475" i="6"/>
  <c r="K3475" i="6" s="1"/>
  <c r="J3476" i="6"/>
  <c r="K3476" i="6" s="1"/>
  <c r="J3477" i="6"/>
  <c r="K3477" i="6" s="1"/>
  <c r="N3474" i="6"/>
  <c r="N3475" i="6"/>
  <c r="N3476" i="6"/>
  <c r="N3477" i="6"/>
  <c r="J3478" i="6"/>
  <c r="K3478" i="6" s="1"/>
  <c r="N3478" i="6"/>
  <c r="J3466" i="6"/>
  <c r="K3466" i="6" s="1"/>
  <c r="N3466" i="6"/>
  <c r="J3467" i="6"/>
  <c r="K3467" i="6" s="1"/>
  <c r="N3467" i="6"/>
  <c r="J3468" i="6"/>
  <c r="K3468" i="6" s="1"/>
  <c r="N3468" i="6"/>
  <c r="J3469" i="6"/>
  <c r="K3469" i="6" s="1"/>
  <c r="N3469" i="6"/>
  <c r="J3523" i="6"/>
  <c r="K3523" i="6" s="1"/>
  <c r="N3523" i="6"/>
  <c r="J3522" i="6"/>
  <c r="K3522" i="6" s="1"/>
  <c r="N3522" i="6"/>
  <c r="J3365" i="6"/>
  <c r="K3365" i="6" s="1"/>
  <c r="N3365" i="6"/>
  <c r="J3519" i="6"/>
  <c r="K3519" i="6" s="1"/>
  <c r="N3519" i="6"/>
  <c r="J3511" i="6"/>
  <c r="K3511" i="6" s="1"/>
  <c r="N3511" i="6"/>
  <c r="J3617" i="6"/>
  <c r="K3617" i="6" s="1"/>
  <c r="N3617" i="6"/>
  <c r="J3315" i="6"/>
  <c r="K3315" i="6" s="1"/>
  <c r="N3315" i="6"/>
  <c r="J3482" i="6"/>
  <c r="K3482" i="6" s="1"/>
  <c r="N3482" i="6"/>
  <c r="J3430" i="6"/>
  <c r="K3430" i="6" s="1"/>
  <c r="N3430" i="6"/>
  <c r="J222" i="78"/>
  <c r="J202" i="78"/>
  <c r="J3392" i="6"/>
  <c r="K3392" i="6" s="1"/>
  <c r="N3392" i="6"/>
  <c r="J3382" i="6"/>
  <c r="K3382" i="6" s="1"/>
  <c r="N3382" i="6"/>
  <c r="J3214" i="6"/>
  <c r="K3214" i="6" s="1"/>
  <c r="N3214" i="6"/>
  <c r="J3518" i="6"/>
  <c r="K3518" i="6" s="1"/>
  <c r="N3518" i="6"/>
  <c r="J3517" i="6"/>
  <c r="K3517" i="6" s="1"/>
  <c r="N3517" i="6"/>
  <c r="J3344" i="6"/>
  <c r="K3344" i="6" s="1"/>
  <c r="N3344" i="6"/>
  <c r="J3343" i="6"/>
  <c r="K3343" i="6" s="1"/>
  <c r="N3343" i="6"/>
  <c r="J3342" i="6"/>
  <c r="K3342" i="6" s="1"/>
  <c r="N3342" i="6"/>
  <c r="J3396" i="6"/>
  <c r="K3396" i="6" s="1"/>
  <c r="N3396" i="6"/>
  <c r="J3394" i="6"/>
  <c r="K3394" i="6" s="1"/>
  <c r="N3394" i="6"/>
  <c r="J3436" i="6"/>
  <c r="K3436" i="6" s="1"/>
  <c r="N3436" i="6"/>
  <c r="J3435" i="6"/>
  <c r="K3435" i="6" s="1"/>
  <c r="N3435" i="6"/>
  <c r="J3341" i="6"/>
  <c r="K3341" i="6" s="1"/>
  <c r="N3341" i="6"/>
  <c r="J3337" i="6"/>
  <c r="K3337" i="6" s="1"/>
  <c r="N3337" i="6"/>
  <c r="J224" i="78" l="1"/>
  <c r="J3540" i="6"/>
  <c r="K3540" i="6" s="1"/>
  <c r="N3540" i="6"/>
  <c r="J3381" i="6"/>
  <c r="K3381" i="6" s="1"/>
  <c r="N3381" i="6"/>
  <c r="J3318" i="6"/>
  <c r="K3318" i="6" s="1"/>
  <c r="N3318" i="6"/>
  <c r="J3308" i="6"/>
  <c r="K3308" i="6" s="1"/>
  <c r="N3308" i="6"/>
  <c r="J3017" i="6"/>
  <c r="K3017" i="6" s="1"/>
  <c r="N3017" i="6"/>
  <c r="J3006" i="6"/>
  <c r="K3006" i="6" s="1"/>
  <c r="N3006" i="6"/>
  <c r="J3075" i="6"/>
  <c r="K3075" i="6" s="1"/>
  <c r="N3075" i="6"/>
  <c r="J2905" i="6"/>
  <c r="K2905" i="6" s="1"/>
  <c r="N2905" i="6"/>
  <c r="J3202" i="6"/>
  <c r="K3202" i="6" s="1"/>
  <c r="N3202" i="6"/>
  <c r="J3233" i="6"/>
  <c r="K3233" i="6" s="1"/>
  <c r="N3233" i="6"/>
  <c r="J3229" i="6"/>
  <c r="K3229" i="6" s="1"/>
  <c r="N3229" i="6"/>
  <c r="N3904" i="6" l="1"/>
  <c r="J3456" i="6"/>
  <c r="K3456" i="6" s="1"/>
  <c r="N3456" i="6"/>
  <c r="J3506" i="6"/>
  <c r="K3506" i="6" s="1"/>
  <c r="N3506" i="6"/>
  <c r="J2820" i="6"/>
  <c r="K2820" i="6" s="1"/>
  <c r="N2820" i="6"/>
  <c r="J2819" i="6"/>
  <c r="K2819" i="6" s="1"/>
  <c r="N2819" i="6"/>
  <c r="J3374" i="6" l="1"/>
  <c r="K3374" i="6" s="1"/>
  <c r="J3366" i="6"/>
  <c r="K3366" i="6" s="1"/>
  <c r="N3366" i="6"/>
  <c r="J3349" i="6"/>
  <c r="K3349" i="6" s="1"/>
  <c r="N3349" i="6"/>
  <c r="J3351" i="6"/>
  <c r="K3351" i="6" s="1"/>
  <c r="N3351" i="6"/>
  <c r="K3902" i="6"/>
  <c r="N3902" i="6"/>
  <c r="J3452" i="6" l="1"/>
  <c r="K3452" i="6" s="1"/>
  <c r="N3452" i="6"/>
  <c r="J3450" i="6"/>
  <c r="K3450" i="6" s="1"/>
  <c r="J3451" i="6"/>
  <c r="K3451" i="6" s="1"/>
  <c r="N3450" i="6"/>
  <c r="N3451" i="6"/>
  <c r="J3449" i="6"/>
  <c r="K3449" i="6" s="1"/>
  <c r="N3449" i="6"/>
  <c r="J2947" i="6"/>
  <c r="K2947" i="6" s="1"/>
  <c r="N2947" i="6"/>
  <c r="J3447" i="6" l="1"/>
  <c r="K3447" i="6" s="1"/>
  <c r="N3447" i="6"/>
  <c r="J3446" i="6"/>
  <c r="K3446" i="6" s="1"/>
  <c r="N3446" i="6"/>
  <c r="J3377" i="6"/>
  <c r="K3377" i="6" s="1"/>
  <c r="N3377" i="6"/>
  <c r="J3018" i="6"/>
  <c r="K3018" i="6" s="1"/>
  <c r="N3018" i="6"/>
  <c r="J3254" i="6"/>
  <c r="K3254" i="6" s="1"/>
  <c r="J3255" i="6"/>
  <c r="K3255" i="6" s="1"/>
  <c r="J3256" i="6"/>
  <c r="K3256" i="6" s="1"/>
  <c r="N3254" i="6"/>
  <c r="N3255" i="6"/>
  <c r="N3256" i="6"/>
  <c r="J3253" i="6"/>
  <c r="K3253" i="6" s="1"/>
  <c r="N3253" i="6"/>
  <c r="J3072" i="6"/>
  <c r="K3072" i="6" s="1"/>
  <c r="N3072" i="6"/>
  <c r="J3068" i="6"/>
  <c r="K3068" i="6" s="1"/>
  <c r="N3068" i="6"/>
  <c r="J3444" i="6"/>
  <c r="K3444" i="6" s="1"/>
  <c r="N3444" i="6"/>
  <c r="J3005" i="6"/>
  <c r="K3005" i="6" s="1"/>
  <c r="N3005" i="6"/>
  <c r="J3445" i="6"/>
  <c r="K3445" i="6" s="1"/>
  <c r="N3445" i="6"/>
  <c r="J3267" i="6" l="1"/>
  <c r="K3267" i="6" s="1"/>
  <c r="N3267" i="6"/>
  <c r="J3383" i="6" l="1"/>
  <c r="K3383" i="6" s="1"/>
  <c r="N3383" i="6"/>
  <c r="J3384" i="6"/>
  <c r="K3384" i="6" s="1"/>
  <c r="N3384" i="6"/>
  <c r="J3387" i="6"/>
  <c r="K3387" i="6" s="1"/>
  <c r="N3387" i="6"/>
  <c r="J3388" i="6"/>
  <c r="K3388" i="6" s="1"/>
  <c r="N3388" i="6"/>
  <c r="J3389" i="6"/>
  <c r="K3389" i="6" s="1"/>
  <c r="N3389" i="6"/>
  <c r="J3275" i="6" l="1"/>
  <c r="K3275" i="6" s="1"/>
  <c r="N3275" i="6"/>
  <c r="J3037" i="6" l="1"/>
  <c r="K3037" i="6" s="1"/>
  <c r="N3037" i="6"/>
  <c r="J3019" i="6"/>
  <c r="K3019" i="6" s="1"/>
  <c r="N3019" i="6"/>
  <c r="J3380" i="6"/>
  <c r="K3380" i="6" s="1"/>
  <c r="N3380" i="6"/>
  <c r="J3433" i="6" l="1"/>
  <c r="K3433" i="6" s="1"/>
  <c r="N3433" i="6"/>
  <c r="J3432" i="6"/>
  <c r="K3432" i="6" s="1"/>
  <c r="N3432" i="6"/>
  <c r="J3434" i="6"/>
  <c r="K3434" i="6" s="1"/>
  <c r="N3434" i="6"/>
  <c r="J2995" i="6"/>
  <c r="K2995" i="6" s="1"/>
  <c r="N2995" i="6"/>
  <c r="J3155" i="6"/>
  <c r="K3155" i="6" s="1"/>
  <c r="J3156" i="6"/>
  <c r="K3156" i="6" s="1"/>
  <c r="J3160" i="6"/>
  <c r="K3160" i="6" s="1"/>
  <c r="J3162" i="6"/>
  <c r="K3162" i="6" s="1"/>
  <c r="J3185" i="6"/>
  <c r="K3185" i="6" s="1"/>
  <c r="N3155" i="6"/>
  <c r="N3156" i="6"/>
  <c r="N3160" i="6"/>
  <c r="N3162" i="6"/>
  <c r="N3185" i="6"/>
  <c r="J3154" i="6"/>
  <c r="K3154" i="6" s="1"/>
  <c r="N3154" i="6"/>
  <c r="J3118" i="6"/>
  <c r="K3118" i="6" s="1"/>
  <c r="N3118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398" i="6"/>
  <c r="K3398" i="6" s="1"/>
  <c r="N3398" i="6"/>
  <c r="J3397" i="6"/>
  <c r="K3397" i="6" s="1"/>
  <c r="N3397" i="6"/>
  <c r="J178" i="78"/>
  <c r="J157" i="78"/>
  <c r="J3067" i="6"/>
  <c r="K3067" i="6" s="1"/>
  <c r="N3067" i="6"/>
  <c r="I3417" i="6"/>
  <c r="J3317" i="6"/>
  <c r="K3317" i="6" s="1"/>
  <c r="N3317" i="6"/>
  <c r="J3442" i="6"/>
  <c r="K3442" i="6" s="1"/>
  <c r="N3442" i="6"/>
  <c r="J3441" i="6"/>
  <c r="K3441" i="6" s="1"/>
  <c r="N3441" i="6"/>
  <c r="N3077" i="6"/>
  <c r="J3084" i="6"/>
  <c r="K3084" i="6" s="1"/>
  <c r="N3084" i="6"/>
  <c r="J180" i="78" l="1"/>
  <c r="J3499" i="6"/>
  <c r="K3499" i="6" s="1"/>
  <c r="N3499" i="6"/>
  <c r="J3419" i="6"/>
  <c r="K3419" i="6" s="1"/>
  <c r="N3419" i="6"/>
  <c r="J3274" i="6"/>
  <c r="K3274" i="6" s="1"/>
  <c r="N3274" i="6"/>
  <c r="J3316" i="6"/>
  <c r="K3316" i="6" s="1"/>
  <c r="N3316" i="6"/>
  <c r="J3391" i="6"/>
  <c r="K3391" i="6" s="1"/>
  <c r="N3391" i="6"/>
  <c r="J3390" i="6"/>
  <c r="K3390" i="6" s="1"/>
  <c r="N3390" i="6"/>
  <c r="J3327" i="6"/>
  <c r="K3327" i="6" s="1"/>
  <c r="N3327" i="6"/>
  <c r="J3326" i="6"/>
  <c r="K3326" i="6" s="1"/>
  <c r="N3326" i="6"/>
  <c r="J3056" i="6"/>
  <c r="K3056" i="6" s="1"/>
  <c r="N3056" i="6"/>
  <c r="J3151" i="6"/>
  <c r="K3151" i="6" s="1"/>
  <c r="N3151" i="6"/>
  <c r="J3150" i="6"/>
  <c r="K3150" i="6" s="1"/>
  <c r="N3150" i="6"/>
  <c r="J3386" i="6"/>
  <c r="K3386" i="6" s="1"/>
  <c r="N3386" i="6"/>
  <c r="J3385" i="6"/>
  <c r="K3385" i="6" s="1"/>
  <c r="N3385" i="6"/>
  <c r="J3213" i="6"/>
  <c r="K3213" i="6" s="1"/>
  <c r="N3213" i="6"/>
  <c r="J3350" i="6"/>
  <c r="K3350" i="6" s="1"/>
  <c r="N3350" i="6"/>
  <c r="J3107" i="6"/>
  <c r="K3107" i="6" s="1"/>
  <c r="N3107" i="6"/>
  <c r="J3108" i="6"/>
  <c r="K3108" i="6" s="1"/>
  <c r="N3108" i="6"/>
  <c r="J3421" i="6"/>
  <c r="K3421" i="6" s="1"/>
  <c r="N3421" i="6"/>
  <c r="J3422" i="6"/>
  <c r="K3422" i="6" s="1"/>
  <c r="N3422" i="6"/>
  <c r="J2994" i="6"/>
  <c r="K2994" i="6" s="1"/>
  <c r="N2994" i="6"/>
  <c r="J2991" i="6"/>
  <c r="K2991" i="6" s="1"/>
  <c r="N2991" i="6"/>
  <c r="J2978" i="6"/>
  <c r="K2978" i="6" s="1"/>
  <c r="N2978" i="6"/>
  <c r="J3117" i="6"/>
  <c r="K3117" i="6" s="1"/>
  <c r="N3117" i="6"/>
  <c r="J3369" i="6"/>
  <c r="K3369" i="6" s="1"/>
  <c r="N3369" i="6"/>
  <c r="J3368" i="6"/>
  <c r="K3368" i="6" s="1"/>
  <c r="N3368" i="6"/>
  <c r="J3367" i="6"/>
  <c r="K3367" i="6" s="1"/>
  <c r="N3367" i="6"/>
  <c r="J3324" i="6"/>
  <c r="K3324" i="6" s="1"/>
  <c r="N3324" i="6"/>
  <c r="J3228" i="6"/>
  <c r="K3228" i="6" s="1"/>
  <c r="N3228" i="6"/>
  <c r="J3266" i="6"/>
  <c r="K3266" i="6" s="1"/>
  <c r="N3266" i="6"/>
  <c r="J3216" i="6"/>
  <c r="K3216" i="6" s="1"/>
  <c r="N3216" i="6"/>
  <c r="J3425" i="6"/>
  <c r="K3425" i="6" s="1"/>
  <c r="N3425" i="6"/>
  <c r="J3424" i="6"/>
  <c r="K3424" i="6" s="1"/>
  <c r="N3424" i="6"/>
  <c r="J3364" i="6"/>
  <c r="K3364" i="6" s="1"/>
  <c r="N3364" i="6"/>
  <c r="J3363" i="6"/>
  <c r="K3363" i="6" s="1"/>
  <c r="N3363" i="6"/>
  <c r="J3279" i="6" l="1"/>
  <c r="K3279" i="6" s="1"/>
  <c r="N3279" i="6"/>
  <c r="J3278" i="6"/>
  <c r="K3278" i="6" s="1"/>
  <c r="N3278" i="6"/>
  <c r="J3277" i="6"/>
  <c r="K3277" i="6" s="1"/>
  <c r="N3277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19" i="6"/>
  <c r="K3119" i="6" s="1"/>
  <c r="N3119" i="6"/>
  <c r="J3129" i="6"/>
  <c r="K3129" i="6" s="1"/>
  <c r="N3129" i="6"/>
  <c r="J3130" i="6"/>
  <c r="K3130" i="6" s="1"/>
  <c r="N3130" i="6"/>
  <c r="J3310" i="6"/>
  <c r="K3310" i="6" s="1"/>
  <c r="N3310" i="6"/>
  <c r="J3311" i="6"/>
  <c r="K3311" i="6" s="1"/>
  <c r="N3311" i="6"/>
  <c r="J3322" i="6"/>
  <c r="K3322" i="6" s="1"/>
  <c r="N3322" i="6"/>
  <c r="J3330" i="6"/>
  <c r="K3330" i="6" s="1"/>
  <c r="N3330" i="6"/>
  <c r="J3331" i="6"/>
  <c r="K3331" i="6" s="1"/>
  <c r="N3331" i="6"/>
  <c r="J3338" i="6"/>
  <c r="K3338" i="6" s="1"/>
  <c r="N3338" i="6"/>
  <c r="J3339" i="6"/>
  <c r="K3339" i="6" s="1"/>
  <c r="N3339" i="6"/>
  <c r="J3340" i="6"/>
  <c r="K3340" i="6" s="1"/>
  <c r="N3340" i="6"/>
  <c r="J3211" i="6"/>
  <c r="K3211" i="6" s="1"/>
  <c r="N3211" i="6"/>
  <c r="J3210" i="6"/>
  <c r="K3210" i="6" s="1"/>
  <c r="N3210" i="6"/>
  <c r="J3209" i="6"/>
  <c r="K3209" i="6" s="1"/>
  <c r="N3209" i="6"/>
  <c r="J3319" i="6"/>
  <c r="K3319" i="6" s="1"/>
  <c r="N3319" i="6"/>
  <c r="J3078" i="6"/>
  <c r="K3078" i="6" s="1"/>
  <c r="N3078" i="6"/>
  <c r="J3314" i="6"/>
  <c r="K3314" i="6" s="1"/>
  <c r="N3314" i="6"/>
  <c r="J3313" i="6"/>
  <c r="K3313" i="6" s="1"/>
  <c r="N3313" i="6"/>
  <c r="J3272" i="6"/>
  <c r="K3272" i="6" s="1"/>
  <c r="N3272" i="6"/>
  <c r="J3271" i="6"/>
  <c r="K3271" i="6" s="1"/>
  <c r="N3271" i="6"/>
  <c r="J2771" i="6"/>
  <c r="K2771" i="6" s="1"/>
  <c r="N2771" i="6"/>
  <c r="J2759" i="6"/>
  <c r="K2759" i="6" s="1"/>
  <c r="N2759" i="6"/>
  <c r="J3299" i="6"/>
  <c r="K3299" i="6" s="1"/>
  <c r="N3299" i="6"/>
  <c r="J3300" i="6"/>
  <c r="K3300" i="6" s="1"/>
  <c r="N3300" i="6"/>
  <c r="J3301" i="6"/>
  <c r="K3301" i="6" s="1"/>
  <c r="N3301" i="6"/>
  <c r="J3417" i="6" l="1"/>
  <c r="K3417" i="6" s="1"/>
  <c r="N3417" i="6"/>
  <c r="J3174" i="6"/>
  <c r="K3174" i="6" s="1"/>
  <c r="N3174" i="6"/>
  <c r="J3178" i="6"/>
  <c r="K3178" i="6" s="1"/>
  <c r="N3178" i="6"/>
  <c r="J3166" i="6"/>
  <c r="K3166" i="6" s="1"/>
  <c r="N3166" i="6"/>
  <c r="J3180" i="6"/>
  <c r="K3180" i="6" s="1"/>
  <c r="N3180" i="6"/>
  <c r="J3181" i="6"/>
  <c r="K3181" i="6" s="1"/>
  <c r="N3181" i="6"/>
  <c r="J3358" i="6"/>
  <c r="K3358" i="6" s="1"/>
  <c r="N3358" i="6"/>
  <c r="J3359" i="6"/>
  <c r="K3359" i="6" s="1"/>
  <c r="N3359" i="6"/>
  <c r="J3347" i="6"/>
  <c r="K3347" i="6" s="1"/>
  <c r="N3347" i="6"/>
  <c r="J3346" i="6"/>
  <c r="K3346" i="6" s="1"/>
  <c r="N3346" i="6"/>
  <c r="J3298" i="6"/>
  <c r="K3298" i="6" s="1"/>
  <c r="N3298" i="6"/>
  <c r="J3287" i="6"/>
  <c r="K3287" i="6" s="1"/>
  <c r="N3287" i="6"/>
  <c r="J3184" i="6"/>
  <c r="K3184" i="6" s="1"/>
  <c r="N3184" i="6"/>
  <c r="J3362" i="6"/>
  <c r="K3362" i="6" s="1"/>
  <c r="N3362" i="6"/>
  <c r="J3273" i="6"/>
  <c r="K3273" i="6" s="1"/>
  <c r="N3273" i="6"/>
  <c r="J133" i="78"/>
  <c r="J115" i="78"/>
  <c r="J3334" i="6"/>
  <c r="K3334" i="6" s="1"/>
  <c r="N3334" i="6"/>
  <c r="J134" i="78" l="1"/>
  <c r="J3502" i="6"/>
  <c r="K3502" i="6" s="1"/>
  <c r="N3502" i="6"/>
  <c r="J3373" i="6"/>
  <c r="K3373" i="6" s="1"/>
  <c r="N3373" i="6"/>
  <c r="J3443" i="6"/>
  <c r="K3443" i="6" s="1"/>
  <c r="N3443" i="6"/>
  <c r="J3329" i="6"/>
  <c r="K3329" i="6" s="1"/>
  <c r="N3329" i="6"/>
  <c r="J3328" i="6"/>
  <c r="K3328" i="6" s="1"/>
  <c r="N3328" i="6"/>
  <c r="J3235" i="6"/>
  <c r="K3235" i="6" s="1"/>
  <c r="N3235" i="6"/>
  <c r="J3234" i="6"/>
  <c r="K3234" i="6" s="1"/>
  <c r="N3234" i="6"/>
  <c r="J3361" i="6"/>
  <c r="K3361" i="6" s="1"/>
  <c r="N3361" i="6"/>
  <c r="J3355" i="6"/>
  <c r="K3355" i="6" s="1"/>
  <c r="N3355" i="6"/>
  <c r="J3354" i="6"/>
  <c r="K3354" i="6" s="1"/>
  <c r="N3354" i="6"/>
  <c r="J3353" i="6"/>
  <c r="K3353" i="6" s="1"/>
  <c r="N3353" i="6"/>
  <c r="J3159" i="6"/>
  <c r="K3159" i="6" s="1"/>
  <c r="N3159" i="6"/>
  <c r="J3157" i="6"/>
  <c r="K3157" i="6" s="1"/>
  <c r="N3157" i="6"/>
  <c r="J2756" i="6"/>
  <c r="K2756" i="6" s="1"/>
  <c r="N2756" i="6"/>
  <c r="J2757" i="6"/>
  <c r="K2757" i="6" s="1"/>
  <c r="N2757" i="6"/>
  <c r="J2758" i="6"/>
  <c r="K2758" i="6" s="1"/>
  <c r="N2758" i="6"/>
  <c r="J3116" i="6"/>
  <c r="K3116" i="6" s="1"/>
  <c r="N3116" i="6"/>
  <c r="J3115" i="6"/>
  <c r="K3115" i="6" s="1"/>
  <c r="N3115" i="6"/>
  <c r="J2782" i="6"/>
  <c r="K2782" i="6" s="1"/>
  <c r="N2782" i="6"/>
  <c r="J2776" i="6"/>
  <c r="K2776" i="6" s="1"/>
  <c r="N2776" i="6"/>
  <c r="J3270" i="6"/>
  <c r="K3270" i="6" s="1"/>
  <c r="N3270" i="6"/>
  <c r="J3269" i="6"/>
  <c r="K3269" i="6" s="1"/>
  <c r="N3269" i="6"/>
  <c r="J3639" i="6"/>
  <c r="K3639" i="6" s="1"/>
  <c r="N3639" i="6"/>
  <c r="J3305" i="6" l="1"/>
  <c r="K3305" i="6" s="1"/>
  <c r="N3305" i="6"/>
  <c r="J3304" i="6"/>
  <c r="K3304" i="6" s="1"/>
  <c r="N3304" i="6"/>
  <c r="J3303" i="6"/>
  <c r="K3303" i="6" s="1"/>
  <c r="N3303" i="6"/>
  <c r="J3212" i="6"/>
  <c r="K3212" i="6" s="1"/>
  <c r="N3212" i="6"/>
  <c r="J3302" i="6"/>
  <c r="K3302" i="6" s="1"/>
  <c r="N3302" i="6"/>
  <c r="J3137" i="6"/>
  <c r="K3137" i="6" s="1"/>
  <c r="N3137" i="6"/>
  <c r="J3136" i="6"/>
  <c r="K3136" i="6" s="1"/>
  <c r="N3136" i="6"/>
  <c r="J3285" i="6"/>
  <c r="K3285" i="6" s="1"/>
  <c r="N3285" i="6"/>
  <c r="J3282" i="6"/>
  <c r="K3282" i="6" s="1"/>
  <c r="N3282" i="6"/>
  <c r="J3283" i="6"/>
  <c r="K3283" i="6" s="1"/>
  <c r="N3283" i="6"/>
  <c r="J3284" i="6"/>
  <c r="K3284" i="6" s="1"/>
  <c r="N3284" i="6"/>
  <c r="J3286" i="6"/>
  <c r="K3286" i="6" s="1"/>
  <c r="N3286" i="6"/>
  <c r="J2918" i="6" l="1"/>
  <c r="K2918" i="6" s="1"/>
  <c r="N2918" i="6"/>
  <c r="J3619" i="6"/>
  <c r="K3619" i="6" s="1"/>
  <c r="N3619" i="6"/>
  <c r="J3203" i="6" l="1"/>
  <c r="K3203" i="6" s="1"/>
  <c r="N3203" i="6"/>
  <c r="J3204" i="6"/>
  <c r="K3204" i="6" s="1"/>
  <c r="N3204" i="6"/>
  <c r="J3205" i="6"/>
  <c r="K3205" i="6" s="1"/>
  <c r="N3205" i="6"/>
  <c r="J3206" i="6"/>
  <c r="K3206" i="6" s="1"/>
  <c r="N3206" i="6"/>
  <c r="J3207" i="6"/>
  <c r="K3207" i="6" s="1"/>
  <c r="N3207" i="6"/>
  <c r="J3020" i="6"/>
  <c r="K3020" i="6" s="1"/>
  <c r="N3020" i="6"/>
  <c r="J3021" i="6"/>
  <c r="K3021" i="6" s="1"/>
  <c r="N3021" i="6"/>
  <c r="K3751" i="6" l="1"/>
  <c r="N3751" i="6"/>
  <c r="K3752" i="6"/>
  <c r="N3752" i="6"/>
  <c r="J3232" i="6"/>
  <c r="K3232" i="6" s="1"/>
  <c r="N3232" i="6"/>
  <c r="J3231" i="6"/>
  <c r="K3231" i="6" s="1"/>
  <c r="N3231" i="6"/>
  <c r="J3230" i="6"/>
  <c r="K3230" i="6" s="1"/>
  <c r="N3230" i="6"/>
  <c r="J2681" i="6"/>
  <c r="K2681" i="6" s="1"/>
  <c r="N2681" i="6"/>
  <c r="J3225" i="6" l="1"/>
  <c r="K3225" i="6" s="1"/>
  <c r="N3225" i="6"/>
  <c r="J3252" i="6"/>
  <c r="K3252" i="6" s="1"/>
  <c r="N3252" i="6"/>
  <c r="J3291" i="6" l="1"/>
  <c r="K3291" i="6" s="1"/>
  <c r="J3289" i="6"/>
  <c r="K3289" i="6" s="1"/>
  <c r="N3289" i="6"/>
  <c r="J3290" i="6"/>
  <c r="K3290" i="6" s="1"/>
  <c r="N3290" i="6"/>
  <c r="N3291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5" i="6"/>
  <c r="K3045" i="6" s="1"/>
  <c r="N3045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20" i="6" l="1"/>
  <c r="K3120" i="6" s="1"/>
  <c r="N3120" i="6"/>
  <c r="J3121" i="6"/>
  <c r="K3121" i="6" s="1"/>
  <c r="N3121" i="6"/>
  <c r="J3124" i="6"/>
  <c r="K3124" i="6" s="1"/>
  <c r="N3124" i="6"/>
  <c r="J3125" i="6"/>
  <c r="K3125" i="6" s="1"/>
  <c r="N3125" i="6"/>
  <c r="J3007" i="6"/>
  <c r="K3007" i="6" s="1"/>
  <c r="N3007" i="6"/>
  <c r="J3141" i="6" l="1"/>
  <c r="K3141" i="6" s="1"/>
  <c r="N3141" i="6"/>
  <c r="J2989" i="6" l="1"/>
  <c r="K2989" i="6" s="1"/>
  <c r="N2989" i="6"/>
  <c r="J3217" i="6"/>
  <c r="K3217" i="6" s="1"/>
  <c r="J3218" i="6"/>
  <c r="K3218" i="6" s="1"/>
  <c r="N3217" i="6"/>
  <c r="N3218" i="6"/>
  <c r="J3219" i="6"/>
  <c r="K3219" i="6" s="1"/>
  <c r="J3220" i="6"/>
  <c r="K3220" i="6" s="1"/>
  <c r="N3219" i="6"/>
  <c r="N3220" i="6"/>
  <c r="J3221" i="6"/>
  <c r="K3221" i="6" s="1"/>
  <c r="J3222" i="6"/>
  <c r="K3222" i="6" s="1"/>
  <c r="N3221" i="6"/>
  <c r="N3222" i="6"/>
  <c r="J3223" i="6"/>
  <c r="K3223" i="6" s="1"/>
  <c r="N3223" i="6"/>
  <c r="J3224" i="6"/>
  <c r="K3224" i="6" s="1"/>
  <c r="N3224" i="6"/>
  <c r="J3138" i="6"/>
  <c r="K3138" i="6" s="1"/>
  <c r="N3138" i="6"/>
  <c r="J3158" i="6"/>
  <c r="K3158" i="6" s="1"/>
  <c r="N3158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64" i="6"/>
  <c r="K3264" i="6" s="1"/>
  <c r="J3236" i="6"/>
  <c r="K3236" i="6" s="1"/>
  <c r="J3043" i="6"/>
  <c r="K3043" i="6" s="1"/>
  <c r="J3044" i="6"/>
  <c r="K3044" i="6" s="1"/>
  <c r="N3264" i="6"/>
  <c r="N3236" i="6"/>
  <c r="N3043" i="6"/>
  <c r="N3044" i="6"/>
  <c r="N3605" i="6"/>
  <c r="J3605" i="6"/>
  <c r="K3605" i="6" s="1"/>
  <c r="J3531" i="6"/>
  <c r="K3531" i="6" s="1"/>
  <c r="N3531" i="6"/>
  <c r="J3399" i="6" l="1"/>
  <c r="K3399" i="6" s="1"/>
  <c r="N3399" i="6"/>
  <c r="J3357" i="6"/>
  <c r="K3357" i="6" s="1"/>
  <c r="N3357" i="6"/>
  <c r="J3309" i="6" l="1"/>
  <c r="K3309" i="6" s="1"/>
  <c r="N3309" i="6"/>
  <c r="K3871" i="6"/>
  <c r="N3871" i="6"/>
  <c r="K3861" i="6"/>
  <c r="N3861" i="6"/>
  <c r="J3197" i="6"/>
  <c r="K3197" i="6" s="1"/>
  <c r="N3197" i="6"/>
  <c r="J3245" i="6"/>
  <c r="K3245" i="6" s="1"/>
  <c r="N3245" i="6"/>
  <c r="J3251" i="6"/>
  <c r="K3251" i="6" s="1"/>
  <c r="N3251" i="6"/>
  <c r="J3179" i="6" l="1"/>
  <c r="K3179" i="6" s="1"/>
  <c r="N3179" i="6"/>
  <c r="J3175" i="6" l="1"/>
  <c r="K3175" i="6" s="1"/>
  <c r="N3175" i="6"/>
  <c r="J3176" i="6"/>
  <c r="K3176" i="6" s="1"/>
  <c r="N3176" i="6"/>
  <c r="J3177" i="6"/>
  <c r="K3177" i="6" s="1"/>
  <c r="N3177" i="6"/>
  <c r="J3200" i="6"/>
  <c r="K3200" i="6" s="1"/>
  <c r="N3200" i="6"/>
  <c r="J3250" i="6"/>
  <c r="K3250" i="6" s="1"/>
  <c r="J2908" i="6"/>
  <c r="K2908" i="6" s="1"/>
  <c r="N2908" i="6"/>
  <c r="N3250" i="6"/>
  <c r="J3249" i="6"/>
  <c r="K3249" i="6" s="1"/>
  <c r="N3249" i="6"/>
  <c r="J3248" i="6"/>
  <c r="K3248" i="6" s="1"/>
  <c r="N3248" i="6"/>
  <c r="J3247" i="6"/>
  <c r="K3247" i="6" s="1"/>
  <c r="N3247" i="6"/>
  <c r="J3246" i="6"/>
  <c r="K3246" i="6" s="1"/>
  <c r="N3246" i="6"/>
  <c r="J3244" i="6" l="1"/>
  <c r="K3244" i="6" s="1"/>
  <c r="N3244" i="6"/>
  <c r="J3243" i="6"/>
  <c r="K3243" i="6" s="1"/>
  <c r="N3243" i="6"/>
  <c r="J3242" i="6"/>
  <c r="K3242" i="6" s="1"/>
  <c r="N3242" i="6"/>
  <c r="J3241" i="6" l="1"/>
  <c r="K3241" i="6" s="1"/>
  <c r="N3241" i="6"/>
  <c r="J3199" i="6"/>
  <c r="K3199" i="6" s="1"/>
  <c r="N3199" i="6"/>
  <c r="J2915" i="6" l="1"/>
  <c r="K2915" i="6" s="1"/>
  <c r="N2915" i="6"/>
  <c r="J2916" i="6"/>
  <c r="K2916" i="6" s="1"/>
  <c r="N2916" i="6"/>
  <c r="J2888" i="6" l="1"/>
  <c r="K2888" i="6" s="1"/>
  <c r="N2888" i="6"/>
  <c r="J3195" i="6"/>
  <c r="K3195" i="6" s="1"/>
  <c r="N3195" i="6"/>
  <c r="J3106" i="6"/>
  <c r="K3106" i="6" s="1"/>
  <c r="N3106" i="6"/>
  <c r="J3097" i="6"/>
  <c r="K3097" i="6" s="1"/>
  <c r="J3101" i="6"/>
  <c r="K3101" i="6" s="1"/>
  <c r="N3097" i="6"/>
  <c r="N3101" i="6"/>
  <c r="J3096" i="6"/>
  <c r="K3096" i="6" s="1"/>
  <c r="N3096" i="6"/>
  <c r="J3165" i="6"/>
  <c r="K3165" i="6" s="1"/>
  <c r="N3165" i="6"/>
  <c r="J3169" i="6"/>
  <c r="K3169" i="6" s="1"/>
  <c r="N3169" i="6"/>
  <c r="J3148" i="6"/>
  <c r="K3148" i="6" s="1"/>
  <c r="N3148" i="6"/>
  <c r="J3133" i="6"/>
  <c r="K3133" i="6" s="1"/>
  <c r="N3133" i="6"/>
  <c r="J3239" i="6"/>
  <c r="K3239" i="6" s="1"/>
  <c r="N3239" i="6"/>
  <c r="J3238" i="6"/>
  <c r="K3238" i="6" s="1"/>
  <c r="N3238" i="6"/>
  <c r="J3237" i="6"/>
  <c r="K3237" i="6" s="1"/>
  <c r="N3237" i="6"/>
  <c r="J93" i="78"/>
  <c r="J68" i="78"/>
  <c r="K3708" i="6"/>
  <c r="N3708" i="6"/>
  <c r="J3240" i="6"/>
  <c r="K3240" i="6" s="1"/>
  <c r="N3240" i="6"/>
  <c r="J3063" i="6"/>
  <c r="K3063" i="6" s="1"/>
  <c r="N3063" i="6"/>
  <c r="J2887" i="6"/>
  <c r="K2887" i="6" s="1"/>
  <c r="N2887" i="6"/>
  <c r="J2729" i="6"/>
  <c r="K2729" i="6" s="1"/>
  <c r="N2729" i="6"/>
  <c r="J3196" i="6"/>
  <c r="K3196" i="6" s="1"/>
  <c r="N3196" i="6"/>
  <c r="K3886" i="6"/>
  <c r="N3886" i="6"/>
  <c r="J2676" i="6"/>
  <c r="K2676" i="6" s="1"/>
  <c r="N2676" i="6"/>
  <c r="J2668" i="6"/>
  <c r="K2668" i="6" s="1"/>
  <c r="N2668" i="6"/>
  <c r="J2663" i="6"/>
  <c r="K2663" i="6" s="1"/>
  <c r="N2663" i="6"/>
  <c r="J3123" i="6"/>
  <c r="K3123" i="6" s="1"/>
  <c r="N3123" i="6"/>
  <c r="J2979" i="6"/>
  <c r="K2979" i="6" s="1"/>
  <c r="N2979" i="6"/>
  <c r="J3054" i="6"/>
  <c r="K3054" i="6" s="1"/>
  <c r="N3054" i="6"/>
  <c r="J3053" i="6"/>
  <c r="K3053" i="6" s="1"/>
  <c r="N3053" i="6"/>
  <c r="J3052" i="6"/>
  <c r="K3052" i="6" s="1"/>
  <c r="N3052" i="6"/>
  <c r="J3050" i="6"/>
  <c r="K3050" i="6" s="1"/>
  <c r="N3050" i="6"/>
  <c r="J95" i="78" l="1"/>
  <c r="J3193" i="6"/>
  <c r="K3193" i="6" s="1"/>
  <c r="N3193" i="6"/>
  <c r="J3192" i="6"/>
  <c r="K3192" i="6" s="1"/>
  <c r="N3192" i="6"/>
  <c r="J3191" i="6"/>
  <c r="K3191" i="6" s="1"/>
  <c r="N3191" i="6"/>
  <c r="J2784" i="6"/>
  <c r="K2784" i="6" s="1"/>
  <c r="N2784" i="6"/>
  <c r="J2785" i="6"/>
  <c r="K2785" i="6" s="1"/>
  <c r="N2785" i="6"/>
  <c r="J2786" i="6"/>
  <c r="K2786" i="6" s="1"/>
  <c r="N2786" i="6"/>
  <c r="J3127" i="6" l="1"/>
  <c r="K3127" i="6" s="1"/>
  <c r="N3127" i="6"/>
  <c r="J3126" i="6"/>
  <c r="K3126" i="6" s="1"/>
  <c r="N3126" i="6"/>
  <c r="J3131" i="6"/>
  <c r="K3131" i="6" s="1"/>
  <c r="N3131" i="6"/>
  <c r="J3143" i="6"/>
  <c r="K3143" i="6" s="1"/>
  <c r="N3143" i="6"/>
  <c r="J3144" i="6"/>
  <c r="K3144" i="6" s="1"/>
  <c r="N3144" i="6"/>
  <c r="J3147" i="6"/>
  <c r="K3147" i="6" s="1"/>
  <c r="N3147" i="6"/>
  <c r="J2914" i="6"/>
  <c r="K2914" i="6" s="1"/>
  <c r="N2914" i="6"/>
  <c r="J2912" i="6" l="1"/>
  <c r="K2912" i="6" s="1"/>
  <c r="N2912" i="6"/>
  <c r="J3058" i="6"/>
  <c r="K3058" i="6" s="1"/>
  <c r="N3058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30" i="6"/>
  <c r="K3030" i="6" s="1"/>
  <c r="N3030" i="6"/>
  <c r="J3031" i="6"/>
  <c r="K3031" i="6" s="1"/>
  <c r="N3031" i="6"/>
  <c r="J3163" i="6"/>
  <c r="K3163" i="6" s="1"/>
  <c r="N3163" i="6"/>
  <c r="J3164" i="6"/>
  <c r="K3164" i="6" s="1"/>
  <c r="N3164" i="6"/>
  <c r="J3188" i="6"/>
  <c r="K3188" i="6" s="1"/>
  <c r="N3188" i="6"/>
  <c r="J3189" i="6"/>
  <c r="K3189" i="6" s="1"/>
  <c r="N3189" i="6"/>
  <c r="J2754" i="6"/>
  <c r="K2754" i="6" s="1"/>
  <c r="N2754" i="6"/>
  <c r="J2741" i="6"/>
  <c r="K2741" i="6" s="1"/>
  <c r="N2741" i="6"/>
  <c r="J2740" i="6"/>
  <c r="K2740" i="6" s="1"/>
  <c r="N2740" i="6"/>
  <c r="J3139" i="6"/>
  <c r="K3139" i="6" s="1"/>
  <c r="N3139" i="6"/>
  <c r="J3140" i="6"/>
  <c r="K3140" i="6" s="1"/>
  <c r="N3140" i="6"/>
  <c r="J3029" i="6"/>
  <c r="K3029" i="6" s="1"/>
  <c r="N3029" i="6"/>
  <c r="J3028" i="6"/>
  <c r="K3028" i="6" s="1"/>
  <c r="N3028" i="6"/>
  <c r="J3025" i="6"/>
  <c r="K3025" i="6" s="1"/>
  <c r="N3025" i="6"/>
  <c r="J3023" i="6"/>
  <c r="K3023" i="6" s="1"/>
  <c r="N3023" i="6"/>
  <c r="J2984" i="6"/>
  <c r="K2984" i="6" s="1"/>
  <c r="N2984" i="6"/>
  <c r="J2956" i="6" l="1"/>
  <c r="K2956" i="6" s="1"/>
  <c r="N2956" i="6"/>
  <c r="J3173" i="6" l="1"/>
  <c r="K3173" i="6" s="1"/>
  <c r="N3173" i="6"/>
  <c r="J2823" i="6"/>
  <c r="K2823" i="6" s="1"/>
  <c r="N2823" i="6"/>
  <c r="J2971" i="6"/>
  <c r="K2971" i="6" s="1"/>
  <c r="N2971" i="6"/>
  <c r="J2975" i="6"/>
  <c r="K2975" i="6" s="1"/>
  <c r="N2975" i="6"/>
  <c r="J3099" i="6"/>
  <c r="K3099" i="6" s="1"/>
  <c r="N3099" i="6"/>
  <c r="J3100" i="6"/>
  <c r="K3100" i="6" s="1"/>
  <c r="N3100" i="6"/>
  <c r="J3183" i="6"/>
  <c r="K3183" i="6" s="1"/>
  <c r="N3183" i="6"/>
  <c r="J2739" i="6"/>
  <c r="K2739" i="6" s="1"/>
  <c r="N2739" i="6"/>
  <c r="J3035" i="6"/>
  <c r="K3035" i="6" s="1"/>
  <c r="N3035" i="6"/>
  <c r="J3171" i="6"/>
  <c r="K3171" i="6" s="1"/>
  <c r="N3171" i="6"/>
  <c r="J3170" i="6"/>
  <c r="K3170" i="6" s="1"/>
  <c r="N3170" i="6"/>
  <c r="J40" i="78" l="1"/>
  <c r="J20" i="78"/>
  <c r="J3172" i="6"/>
  <c r="K3172" i="6" s="1"/>
  <c r="N3172" i="6"/>
  <c r="J42" i="78" l="1"/>
  <c r="J3372" i="6"/>
  <c r="K3372" i="6" s="1"/>
  <c r="N3372" i="6"/>
  <c r="J3376" i="6"/>
  <c r="K3376" i="6" s="1"/>
  <c r="N3376" i="6"/>
  <c r="K3810" i="6"/>
  <c r="J2822" i="6"/>
  <c r="K2822" i="6" s="1"/>
  <c r="N2822" i="6"/>
  <c r="J3016" i="6"/>
  <c r="K3016" i="6" s="1"/>
  <c r="N3016" i="6"/>
  <c r="J3132" i="6"/>
  <c r="K3132" i="6" s="1"/>
  <c r="N3132" i="6"/>
  <c r="J2817" i="6"/>
  <c r="K2817" i="6" s="1"/>
  <c r="N2817" i="6"/>
  <c r="J3105" i="6"/>
  <c r="K3105" i="6" s="1"/>
  <c r="N3105" i="6"/>
  <c r="J2803" i="6"/>
  <c r="K2803" i="6" s="1"/>
  <c r="N2803" i="6"/>
  <c r="J2806" i="6"/>
  <c r="K2806" i="6" s="1"/>
  <c r="N2806" i="6"/>
  <c r="J3098" i="6" l="1"/>
  <c r="K3098" i="6" s="1"/>
  <c r="N3098" i="6"/>
  <c r="J3616" i="6"/>
  <c r="K3616" i="6" s="1"/>
  <c r="N3616" i="6"/>
  <c r="J2959" i="6" l="1"/>
  <c r="K2959" i="6" s="1"/>
  <c r="N2959" i="6"/>
  <c r="J3032" i="6"/>
  <c r="K3032" i="6" s="1"/>
  <c r="N3032" i="6"/>
  <c r="J3146" i="6"/>
  <c r="K3146" i="6" s="1"/>
  <c r="N3146" i="6"/>
  <c r="J3090" i="6"/>
  <c r="K3090" i="6" s="1"/>
  <c r="N3090" i="6"/>
  <c r="J3145" i="6"/>
  <c r="K3145" i="6" s="1"/>
  <c r="N3145" i="6"/>
  <c r="J3022" i="6"/>
  <c r="K3022" i="6" s="1"/>
  <c r="N3022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28" i="6"/>
  <c r="K3128" i="6" s="1"/>
  <c r="N3128" i="6"/>
  <c r="J3064" i="6"/>
  <c r="K3064" i="6" s="1"/>
  <c r="N3064" i="6"/>
  <c r="J3073" i="6" l="1"/>
  <c r="K3073" i="6" s="1"/>
  <c r="N3073" i="6"/>
  <c r="J3074" i="6"/>
  <c r="K3074" i="6" s="1"/>
  <c r="N3074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80" i="6"/>
  <c r="K3080" i="6" s="1"/>
  <c r="N3080" i="6"/>
  <c r="J3142" i="6" l="1"/>
  <c r="K3142" i="6" s="1"/>
  <c r="N3142" i="6"/>
  <c r="J3076" i="6"/>
  <c r="K3076" i="6" s="1"/>
  <c r="N3076" i="6"/>
  <c r="J3161" i="6"/>
  <c r="K3161" i="6" s="1"/>
  <c r="N3161" i="6"/>
  <c r="J3081" i="6" l="1"/>
  <c r="K3081" i="6" s="1"/>
  <c r="N3081" i="6"/>
  <c r="J3104" i="6"/>
  <c r="K3104" i="6" s="1"/>
  <c r="N3104" i="6"/>
  <c r="J3103" i="6"/>
  <c r="K3103" i="6" s="1"/>
  <c r="N3103" i="6"/>
  <c r="J3102" i="6"/>
  <c r="K3102" i="6" s="1"/>
  <c r="N3102" i="6"/>
  <c r="K3914" i="6" l="1"/>
  <c r="N3914" i="6"/>
  <c r="K3809" i="6"/>
  <c r="N3809" i="6"/>
  <c r="K3936" i="6"/>
  <c r="N3936" i="6"/>
  <c r="I3874" i="6"/>
  <c r="J3874" i="6" s="1"/>
  <c r="K3803" i="6"/>
  <c r="N3803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4" i="6"/>
  <c r="K3114" i="6" s="1"/>
  <c r="N3114" i="6"/>
  <c r="J2981" i="6"/>
  <c r="K2981" i="6" s="1"/>
  <c r="N2981" i="6"/>
  <c r="J2980" i="6"/>
  <c r="K2980" i="6" s="1"/>
  <c r="N2980" i="6"/>
  <c r="J3047" i="6"/>
  <c r="K3047" i="6" s="1"/>
  <c r="N3047" i="6"/>
  <c r="J3401" i="6" l="1"/>
  <c r="K3401" i="6" s="1"/>
  <c r="N3401" i="6"/>
  <c r="J2909" i="6"/>
  <c r="K2909" i="6" s="1"/>
  <c r="N2909" i="6"/>
  <c r="J3638" i="6"/>
  <c r="K3638" i="6" s="1"/>
  <c r="N3638" i="6"/>
  <c r="J3089" i="6" l="1"/>
  <c r="K3089" i="6" s="1"/>
  <c r="N3089" i="6"/>
  <c r="J3088" i="6"/>
  <c r="K3088" i="6" s="1"/>
  <c r="N3088" i="6"/>
  <c r="J3036" i="6"/>
  <c r="K3036" i="6" s="1"/>
  <c r="N3036" i="6"/>
  <c r="J3086" i="6"/>
  <c r="K3086" i="6" s="1"/>
  <c r="J3087" i="6"/>
  <c r="K3087" i="6" s="1"/>
  <c r="N3086" i="6"/>
  <c r="N3087" i="6"/>
  <c r="J3085" i="6"/>
  <c r="K3085" i="6" s="1"/>
  <c r="N3085" i="6"/>
  <c r="J3194" i="6" l="1"/>
  <c r="K3194" i="6" s="1"/>
  <c r="N3194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2" i="6"/>
  <c r="K3042" i="6" s="1"/>
  <c r="N3042" i="6"/>
  <c r="J3039" i="6"/>
  <c r="K3039" i="6" s="1"/>
  <c r="J3040" i="6"/>
  <c r="K3040" i="6" s="1"/>
  <c r="J3041" i="6"/>
  <c r="K3041" i="6" s="1"/>
  <c r="N3039" i="6"/>
  <c r="N3040" i="6"/>
  <c r="N3041" i="6"/>
  <c r="J3038" i="6"/>
  <c r="K3038" i="6" s="1"/>
  <c r="N3038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71" i="6"/>
  <c r="K3071" i="6" s="1"/>
  <c r="N3071" i="6"/>
  <c r="J3070" i="6"/>
  <c r="K3070" i="6" s="1"/>
  <c r="N3070" i="6"/>
  <c r="J3069" i="6"/>
  <c r="K3069" i="6" s="1"/>
  <c r="N3069" i="6"/>
  <c r="J2891" i="6"/>
  <c r="K2891" i="6" s="1"/>
  <c r="N2891" i="6"/>
  <c r="J2892" i="6"/>
  <c r="K2892" i="6" s="1"/>
  <c r="N2892" i="6"/>
  <c r="J3083" i="6"/>
  <c r="K3083" i="6" s="1"/>
  <c r="N3083" i="6"/>
  <c r="J3082" i="6"/>
  <c r="K3082" i="6" s="1"/>
  <c r="N3082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2" i="6"/>
  <c r="K3122" i="6" s="1"/>
  <c r="N3122" i="6"/>
  <c r="J3400" i="6"/>
  <c r="K3400" i="6" s="1"/>
  <c r="N3400" i="6"/>
  <c r="N3027" i="6"/>
  <c r="J3027" i="6"/>
  <c r="K3027" i="6" s="1"/>
  <c r="J3051" i="6"/>
  <c r="K3051" i="6" s="1"/>
  <c r="N3051" i="6"/>
  <c r="N3034" i="6"/>
  <c r="J3034" i="6"/>
  <c r="K3034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3" i="6"/>
  <c r="K3013" i="6" s="1"/>
  <c r="N3013" i="6"/>
  <c r="J3014" i="6"/>
  <c r="K3014" i="6" s="1"/>
  <c r="N3014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48" i="6"/>
  <c r="J3048" i="6"/>
  <c r="K3048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59" i="6"/>
  <c r="J3059" i="6"/>
  <c r="K3059" i="6" s="1"/>
  <c r="N3061" i="6"/>
  <c r="J3061" i="6"/>
  <c r="K3061" i="6" s="1"/>
  <c r="J2735" i="6"/>
  <c r="K2735" i="6" s="1"/>
  <c r="N2735" i="6"/>
  <c r="J2712" i="6"/>
  <c r="K2712" i="6" s="1"/>
  <c r="N2712" i="6"/>
  <c r="J2733" i="6"/>
  <c r="K2733" i="6" s="1"/>
  <c r="N2733" i="6"/>
  <c r="N3011" i="6"/>
  <c r="J3011" i="6"/>
  <c r="K3011" i="6" s="1"/>
  <c r="N3010" i="6"/>
  <c r="J3010" i="6"/>
  <c r="K3010" i="6" s="1"/>
  <c r="N3009" i="6"/>
  <c r="J3009" i="6"/>
  <c r="K3009" i="6" s="1"/>
  <c r="J3008" i="6"/>
  <c r="K3008" i="6" s="1"/>
  <c r="N3008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6" i="6"/>
  <c r="K3026" i="6" s="1"/>
  <c r="N3026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49" i="6"/>
  <c r="K3049" i="6" s="1"/>
  <c r="N3049" i="6"/>
  <c r="J2886" i="6"/>
  <c r="K2886" i="6" s="1"/>
  <c r="N2886" i="6"/>
  <c r="J3015" i="6"/>
  <c r="K3015" i="6" s="1"/>
  <c r="N3015" i="6"/>
  <c r="J3033" i="6" l="1"/>
  <c r="K3033" i="6" s="1"/>
  <c r="N3033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2" i="6"/>
  <c r="K3062" i="6" s="1"/>
  <c r="N3062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7" i="6" l="1"/>
  <c r="K3167" i="6" s="1"/>
  <c r="N3167" i="6"/>
  <c r="J2636" i="6"/>
  <c r="K2636" i="6" s="1"/>
  <c r="N2636" i="6"/>
  <c r="J2868" i="6"/>
  <c r="K2868" i="6" s="1"/>
  <c r="N2868" i="6"/>
  <c r="I3198" i="6"/>
  <c r="J2638" i="6"/>
  <c r="K2638" i="6" s="1"/>
  <c r="N2638" i="6"/>
  <c r="K3859" i="6"/>
  <c r="N3859" i="6"/>
  <c r="J2843" i="6"/>
  <c r="K2843" i="6" s="1"/>
  <c r="N2843" i="6"/>
  <c r="J2619" i="6"/>
  <c r="K2619" i="6" s="1"/>
  <c r="N2619" i="6"/>
  <c r="J3012" i="6"/>
  <c r="K3012" i="6" s="1"/>
  <c r="N3012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3692" i="6"/>
  <c r="K3692" i="6" s="1"/>
  <c r="N3692" i="6"/>
  <c r="K3807" i="6"/>
  <c r="N3807" i="6"/>
  <c r="J3323" i="6"/>
  <c r="K3323" i="6" s="1"/>
  <c r="N3323" i="6"/>
  <c r="J2802" i="6"/>
  <c r="K2802" i="6" s="1"/>
  <c r="N2802" i="6"/>
  <c r="J3227" i="6"/>
  <c r="K3227" i="6" s="1"/>
  <c r="N3227" i="6"/>
  <c r="J2796" i="6"/>
  <c r="K2796" i="6" s="1"/>
  <c r="N2796" i="6"/>
  <c r="J3265" i="6"/>
  <c r="K3265" i="6" s="1"/>
  <c r="N3265" i="6"/>
  <c r="J2881" i="6"/>
  <c r="K2881" i="6" s="1"/>
  <c r="N2881" i="6"/>
  <c r="J3215" i="6"/>
  <c r="K3215" i="6" s="1"/>
  <c r="N3215" i="6"/>
  <c r="J3699" i="6"/>
  <c r="K3699" i="6" s="1"/>
  <c r="N3699" i="6"/>
  <c r="J3423" i="6"/>
  <c r="K3423" i="6" s="1"/>
  <c r="N3423" i="6"/>
  <c r="J2869" i="6"/>
  <c r="K2869" i="6" s="1"/>
  <c r="N2869" i="6"/>
  <c r="J3395" i="6"/>
  <c r="K3395" i="6" s="1"/>
  <c r="N3395" i="6"/>
  <c r="J3418" i="6"/>
  <c r="K3418" i="6" s="1"/>
  <c r="N3418" i="6"/>
  <c r="J2749" i="6"/>
  <c r="K2749" i="6" s="1"/>
  <c r="N2749" i="6"/>
  <c r="J3371" i="6"/>
  <c r="K3371" i="6" s="1"/>
  <c r="N3371" i="6"/>
  <c r="J3333" i="6"/>
  <c r="K3333" i="6" s="1"/>
  <c r="N3333" i="6"/>
  <c r="J3608" i="6"/>
  <c r="K3608" i="6" s="1"/>
  <c r="N3608" i="6"/>
  <c r="J3698" i="6"/>
  <c r="K3698" i="6" s="1"/>
  <c r="N3698" i="6"/>
  <c r="J3627" i="6"/>
  <c r="K3627" i="6" s="1"/>
  <c r="N3627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79" i="6"/>
  <c r="K3079" i="6" s="1"/>
  <c r="J3024" i="6"/>
  <c r="K3024" i="6" s="1"/>
  <c r="N3079" i="6"/>
  <c r="N3024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3761" i="6"/>
  <c r="K3761" i="6" s="1"/>
  <c r="N3761" i="6"/>
  <c r="K3885" i="6"/>
  <c r="N3885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352" i="6"/>
  <c r="K3352" i="6" s="1"/>
  <c r="J606" i="6"/>
  <c r="K606" i="6" s="1"/>
  <c r="N606" i="6"/>
  <c r="N3352" i="6"/>
  <c r="J2709" i="6"/>
  <c r="K2709" i="6" s="1"/>
  <c r="N2709" i="6"/>
  <c r="J2708" i="6"/>
  <c r="K2708" i="6" s="1"/>
  <c r="N2708" i="6"/>
  <c r="J2497" i="6"/>
  <c r="K2497" i="6" s="1"/>
  <c r="N2497" i="6"/>
  <c r="J3046" i="6"/>
  <c r="K3046" i="6" s="1"/>
  <c r="N3046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3913" i="6"/>
  <c r="N3913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3884" i="6"/>
  <c r="N3884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70" i="6"/>
  <c r="K3370" i="6" s="1"/>
  <c r="J2572" i="6"/>
  <c r="K2572" i="6" s="1"/>
  <c r="K3915" i="6"/>
  <c r="J2664" i="6"/>
  <c r="K2664" i="6" s="1"/>
  <c r="J2880" i="6"/>
  <c r="K2880" i="6" s="1"/>
  <c r="J2744" i="6"/>
  <c r="K2744" i="6" s="1"/>
  <c r="N2732" i="6"/>
  <c r="N2812" i="6"/>
  <c r="N2829" i="6"/>
  <c r="N2872" i="6"/>
  <c r="N3370" i="6"/>
  <c r="N2572" i="6"/>
  <c r="N3915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626" i="6"/>
  <c r="K3626" i="6" s="1"/>
  <c r="N3626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K3873" i="6"/>
  <c r="N3873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60" i="6"/>
  <c r="J2656" i="6"/>
  <c r="J3321" i="6"/>
  <c r="J3182" i="6"/>
  <c r="J3440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J1111" i="6"/>
  <c r="K1111" i="6" s="1"/>
  <c r="N1111" i="6"/>
  <c r="J3168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3790" i="6" l="1"/>
  <c r="N3790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3851" i="6"/>
  <c r="N3851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2903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187" i="6"/>
  <c r="J207" i="6"/>
  <c r="J208" i="6"/>
  <c r="J209" i="6"/>
  <c r="J210" i="6"/>
  <c r="J211" i="6"/>
  <c r="J212" i="6"/>
  <c r="J213" i="6"/>
  <c r="J214" i="6"/>
  <c r="J3198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348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62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500" i="6"/>
  <c r="J2661" i="6"/>
  <c r="J3538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564" i="6"/>
  <c r="J3565" i="6"/>
  <c r="J3077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620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3644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3720" i="6"/>
  <c r="J1610" i="6"/>
  <c r="J1611" i="6"/>
  <c r="J1612" i="6"/>
  <c r="J1613" i="6"/>
  <c r="J3721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3744" i="6"/>
  <c r="J1738" i="6"/>
  <c r="J1739" i="6"/>
  <c r="J1740" i="6"/>
  <c r="J1741" i="6"/>
  <c r="J1742" i="6"/>
  <c r="J1743" i="6"/>
  <c r="J1744" i="6"/>
  <c r="J1745" i="6"/>
  <c r="J3749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402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625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I3737" i="6"/>
  <c r="J3737" i="6" s="1"/>
  <c r="I1614" i="6"/>
  <c r="J1614" i="6" s="1"/>
  <c r="J3709" i="6"/>
  <c r="I1547" i="6"/>
  <c r="J1547" i="6" s="1"/>
  <c r="I1545" i="6"/>
  <c r="J1545" i="6" s="1"/>
  <c r="I1505" i="6"/>
  <c r="J1505" i="6" s="1"/>
  <c r="J3700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I1075" i="6"/>
  <c r="J1075" i="6" s="1"/>
  <c r="I696" i="6"/>
  <c r="J696" i="6" s="1"/>
  <c r="I653" i="6"/>
  <c r="J653" i="6" s="1"/>
  <c r="I637" i="6"/>
  <c r="J637" i="6" s="1"/>
  <c r="J273" i="6"/>
  <c r="J3464" i="6"/>
  <c r="I412" i="6"/>
  <c r="J412" i="6" s="1"/>
  <c r="I352" i="6"/>
  <c r="J352" i="6" s="1"/>
  <c r="I346" i="6"/>
  <c r="J346" i="6" s="1"/>
  <c r="I314" i="6"/>
  <c r="J314" i="6" s="1"/>
  <c r="I277" i="6"/>
  <c r="J277" i="6" s="1"/>
  <c r="J3261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187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348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62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500" i="6"/>
  <c r="K2661" i="6"/>
  <c r="K3538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564" i="6"/>
  <c r="K3565" i="6"/>
  <c r="K3077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620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3644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3720" i="6"/>
  <c r="K1610" i="6"/>
  <c r="K1611" i="6"/>
  <c r="K1612" i="6"/>
  <c r="K1613" i="6"/>
  <c r="K3721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3744" i="6"/>
  <c r="K1738" i="6"/>
  <c r="K1739" i="6"/>
  <c r="K1740" i="6"/>
  <c r="K1741" i="6"/>
  <c r="K1742" i="6"/>
  <c r="K1743" i="6"/>
  <c r="K1744" i="6"/>
  <c r="K1745" i="6"/>
  <c r="K3749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3808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840" i="6"/>
  <c r="K3402" i="6"/>
  <c r="K3872" i="6"/>
  <c r="K3874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3890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3897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3903" i="6"/>
  <c r="K2535" i="6"/>
  <c r="K3060" i="6"/>
  <c r="K2539" i="6"/>
  <c r="K3321" i="6"/>
  <c r="K3925" i="6"/>
  <c r="K3928" i="6"/>
  <c r="K3930" i="6"/>
  <c r="K2658" i="6"/>
  <c r="K3168" i="6"/>
  <c r="K3769" i="6"/>
  <c r="K2599" i="6"/>
  <c r="K2600" i="6"/>
  <c r="K3182" i="6"/>
  <c r="K3440" i="6"/>
  <c r="K2566" i="6"/>
  <c r="K2567" i="6"/>
  <c r="K1736" i="6"/>
  <c r="N1736" i="6"/>
  <c r="N2567" i="6"/>
  <c r="K3625" i="6"/>
  <c r="N3625" i="6"/>
  <c r="K3198" i="6"/>
  <c r="K3797" i="6" l="1"/>
  <c r="N1077" i="6"/>
  <c r="N1924" i="6"/>
  <c r="N3198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60" i="6"/>
  <c r="N3500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3844" i="6" l="1"/>
  <c r="K3929" i="6" l="1"/>
  <c r="N3929" i="6"/>
  <c r="K3464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464" i="6"/>
  <c r="N220" i="6"/>
  <c r="N367" i="6" l="1"/>
  <c r="N3903" i="6"/>
  <c r="N988" i="6"/>
  <c r="N989" i="6"/>
  <c r="N999" i="6"/>
  <c r="N219" i="6"/>
  <c r="N3348" i="6"/>
  <c r="N2611" i="6"/>
  <c r="N2609" i="6"/>
  <c r="N3925" i="6"/>
  <c r="N2494" i="6"/>
  <c r="N2267" i="6" l="1"/>
  <c r="K1830" i="6"/>
  <c r="N1830" i="6"/>
  <c r="N1410" i="6"/>
  <c r="N1177" i="6"/>
  <c r="N1178" i="6"/>
  <c r="N1216" i="6" l="1"/>
  <c r="N2555" i="6"/>
  <c r="D22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3749" i="6"/>
  <c r="N3538" i="6"/>
  <c r="N3721" i="6"/>
  <c r="N2635" i="6"/>
  <c r="N2515" i="6"/>
  <c r="N3808" i="6"/>
  <c r="N3187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68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840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2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564" i="6"/>
  <c r="N293" i="6"/>
  <c r="N526" i="6"/>
  <c r="N1157" i="6"/>
  <c r="N1299" i="6"/>
  <c r="N1452" i="6"/>
  <c r="N1453" i="6"/>
  <c r="N3874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3890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40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620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3933" i="6"/>
  <c r="K3801" i="6"/>
  <c r="K3709" i="6"/>
  <c r="K3700" i="6"/>
  <c r="K696" i="6"/>
  <c r="K3261" i="6"/>
  <c r="K2903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3720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3737" i="6"/>
  <c r="N3737" i="6"/>
  <c r="N108" i="6"/>
  <c r="N1588" i="6"/>
  <c r="N1154" i="6" l="1"/>
  <c r="N970" i="6"/>
  <c r="N3262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402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69" i="6"/>
  <c r="N2424" i="6"/>
  <c r="N2359" i="6"/>
  <c r="N3933" i="6"/>
  <c r="N3930" i="6"/>
  <c r="N3928" i="6"/>
  <c r="N2228" i="6"/>
  <c r="N2212" i="6"/>
  <c r="N2158" i="6"/>
  <c r="N3321" i="6"/>
  <c r="N2064" i="6"/>
  <c r="N2021" i="6"/>
  <c r="N2012" i="6"/>
  <c r="N1974" i="6"/>
  <c r="N3797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3897" i="6"/>
  <c r="N1690" i="6"/>
  <c r="N1601" i="6"/>
  <c r="N1538" i="6"/>
  <c r="N1525" i="6"/>
  <c r="N1501" i="6"/>
  <c r="N1479" i="6"/>
  <c r="N3872" i="6"/>
  <c r="N1391" i="6"/>
  <c r="N1348" i="6"/>
  <c r="N3844" i="6"/>
  <c r="N1317" i="6"/>
  <c r="N1313" i="6"/>
  <c r="N1225" i="6"/>
  <c r="N3801" i="6"/>
  <c r="N1074" i="6"/>
  <c r="N2521" i="6"/>
  <c r="N3744" i="6"/>
  <c r="N978" i="6"/>
  <c r="N3709" i="6"/>
  <c r="N2109" i="6"/>
  <c r="N3700" i="6"/>
  <c r="N691" i="6"/>
  <c r="N696" i="6"/>
  <c r="N1769" i="6"/>
  <c r="N1802" i="6"/>
  <c r="N1167" i="6"/>
  <c r="N531" i="6"/>
  <c r="N521" i="6"/>
  <c r="N3644" i="6"/>
  <c r="N1767" i="6"/>
  <c r="N359" i="6"/>
  <c r="N3565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261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2903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3904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<sst xmlns="http://schemas.openxmlformats.org/spreadsheetml/2006/main" count="39849" uniqueCount="4016">
  <si>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</si>
  <si>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</si>
  <si>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</si>
  <si>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</si>
  <si>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</si>
  <si>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</si>
  <si>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</si>
  <si>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</si>
  <si>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</si>
  <si>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</si>
  <si>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</si>
  <si>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</si>
  <si>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</si>
  <si>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</si>
  <si>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</si>
  <si>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</si>
  <si>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</si>
  <si>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</si>
  <si>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</si>
  <si>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</si>
  <si>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</si>
  <si>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</si>
  <si>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</si>
  <si>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</si>
  <si>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</si>
  <si>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</si>
  <si>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</si>
  <si>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</si>
  <si>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</si>
  <si>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</si>
  <si>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</si>
  <si>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</si>
  <si>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</si>
  <si>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</si>
  <si>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</si>
  <si>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</si>
  <si>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</si>
  <si>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</si>
  <si>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</si>
  <si>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</si>
  <si>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</si>
  <si>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</si>
  <si>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</si>
  <si>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</si>
  <si>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</si>
  <si>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</si>
  <si>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</si>
  <si>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</si>
  <si>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</si>
  <si>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</si>
  <si>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</si>
  <si>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</si>
  <si>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</si>
  <si>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</si>
  <si>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</si>
  <si>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</si>
  <si>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</si>
  <si>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</si>
  <si>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</si>
  <si>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</si>
  <si>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</si>
  <si>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</si>
  <si>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</si>
  <si>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</si>
  <si>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</si>
  <si>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</si>
  <si>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</si>
  <si>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</si>
  <si>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</si>
  <si>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</si>
  <si>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</si>
  <si>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</si>
  <si>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</si>
  <si>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</si>
  <si>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</si>
  <si>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</si>
  <si>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</si>
  <si>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</si>
  <si>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</si>
  <si>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</si>
  <si>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</si>
  <si>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</si>
  <si>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</si>
  <si>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</si>
  <si>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</si>
  <si>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</si>
  <si>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</si>
  <si>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</si>
  <si>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</si>
  <si>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</si>
  <si>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</si>
  <si>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</si>
  <si>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</si>
  <si>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</si>
  <si>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</si>
  <si>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</si>
  <si>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</si>
  <si>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</si>
  <si>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</si>
  <si>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</si>
  <si>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</si>
  <si>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</si>
  <si>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</si>
  <si>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</si>
  <si>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</si>
  <si>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</si>
  <si>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</si>
  <si>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</si>
  <si>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</si>
  <si>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</si>
  <si>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</si>
  <si>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</si>
  <si>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</si>
  <si>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</si>
  <si>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</si>
  <si>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</si>
  <si>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</si>
  <si>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</si>
  <si>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</si>
  <si>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</si>
  <si>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</si>
  <si>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</si>
  <si>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</si>
  <si>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</si>
  <si>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</si>
  <si>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</si>
  <si>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</si>
  <si>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</si>
  <si>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</si>
  <si>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</si>
  <si>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</si>
  <si>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</si>
  <si>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</si>
  <si>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</si>
  <si>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</si>
  <si>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</si>
  <si>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</si>
  <si>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</si>
  <si>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</si>
  <si>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</si>
  <si>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</si>
  <si>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</si>
  <si>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</si>
  <si>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</si>
  <si>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</si>
  <si>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</si>
  <si>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</si>
  <si>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</si>
  <si>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</si>
  <si>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</si>
  <si>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</si>
  <si>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</si>
  <si>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</si>
  <si>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</si>
  <si>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</si>
  <si>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</si>
  <si>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</si>
  <si>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</si>
  <si>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</si>
  <si>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</si>
  <si>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</si>
  <si>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</si>
  <si>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</si>
  <si>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</si>
  <si>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</si>
  <si>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</si>
  <si>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</si>
  <si>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</si>
  <si>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</si>
  <si>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</si>
  <si>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</si>
  <si>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</si>
  <si>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</si>
  <si>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</si>
  <si>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</si>
  <si>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</si>
  <si>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</si>
  <si>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</si>
  <si>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</si>
  <si>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</si>
  <si>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</si>
  <si>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</si>
  <si>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</si>
  <si>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</si>
  <si>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</si>
  <si>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</si>
  <si>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</si>
  <si>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</si>
  <si>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</si>
  <si>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</si>
  <si>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</si>
  <si>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</si>
  <si>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</si>
  <si>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</si>
  <si>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</si>
  <si>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</si>
  <si>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</si>
  <si>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</si>
  <si>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</si>
  <si>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</si>
  <si>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</si>
  <si>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</si>
  <si>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</si>
  <si>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</si>
  <si>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</si>
  <si>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</si>
  <si>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</si>
  <si>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</si>
  <si>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</si>
  <si>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</si>
  <si>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</si>
  <si>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</si>
  <si>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</si>
  <si>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</si>
  <si>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</si>
  <si>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</si>
  <si>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</si>
  <si>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</si>
  <si>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</si>
  <si>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</si>
  <si>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</si>
  <si>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</si>
  <si>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</si>
  <si>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</si>
  <si>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</si>
  <si>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</si>
  <si>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</si>
  <si>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</si>
  <si>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</si>
  <si>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</si>
  <si>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</si>
  <si>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</si>
  <si>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</si>
  <si>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</si>
  <si>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</si>
  <si>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</si>
  <si>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</si>
  <si>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</si>
  <si>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</si>
  <si>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</si>
  <si>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</si>
  <si>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</si>
  <si>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</si>
  <si>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</si>
  <si>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</si>
  <si>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</si>
  <si>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</si>
  <si>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</si>
  <si>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</si>
  <si>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</si>
  <si>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</si>
  <si>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</si>
  <si>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</si>
  <si>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</si>
  <si>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</si>
  <si>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</si>
  <si>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</si>
  <si>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</si>
  <si>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</si>
  <si>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</si>
  <si>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</si>
  <si>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</si>
  <si>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</si>
  <si>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</si>
  <si>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</si>
  <si>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</si>
  <si>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</si>
  <si>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</si>
  <si>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</si>
  <si>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</si>
  <si>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</si>
  <si>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</si>
  <si>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</si>
  <si>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</si>
  <si>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</si>
  <si>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</si>
  <si>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</si>
  <si>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</si>
  <si>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</si>
  <si>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</si>
  <si>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</si>
  <si>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</si>
  <si>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</si>
  <si>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</si>
  <si>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</si>
  <si>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</si>
  <si>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</si>
  <si>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</si>
  <si>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</si>
  <si>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</si>
  <si>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</si>
  <si>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</si>
  <si>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</si>
  <si>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</si>
  <si>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</si>
  <si>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</si>
  <si>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</si>
  <si>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</si>
  <si>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</si>
  <si>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</si>
  <si>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</si>
  <si>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</si>
  <si>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</si>
  <si>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</si>
  <si>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</si>
  <si>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</si>
  <si>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</si>
  <si>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</si>
  <si>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</si>
  <si>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</si>
  <si>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</si>
  <si>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</si>
  <si>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</si>
  <si>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</si>
  <si>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</si>
  <si>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</si>
  <si>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</si>
  <si>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</si>
  <si>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</si>
  <si>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</si>
  <si>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</si>
  <si>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</si>
  <si>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</si>
  <si>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</si>
  <si>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</si>
  <si>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</si>
  <si>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</si>
  <si>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</si>
  <si>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</si>
  <si>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</si>
  <si>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</si>
  <si>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</si>
  <si>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</si>
  <si>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</si>
  <si>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</si>
  <si>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</si>
  <si>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</si>
  <si>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</si>
  <si>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</si>
  <si>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</si>
  <si>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</si>
  <si>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</si>
  <si>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</si>
  <si>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</si>
  <si>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</si>
  <si>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</si>
  <si>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</si>
  <si>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</si>
  <si>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</si>
  <si>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</si>
  <si>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</si>
  <si>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</si>
  <si>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</si>
  <si>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</si>
  <si>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</si>
  <si>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</si>
  <si>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</si>
  <si>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</si>
  <si>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</si>
  <si>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</si>
  <si>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</si>
  <si>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</si>
  <si>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</si>
  <si>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</si>
  <si>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</si>
  <si>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</si>
  <si>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</si>
  <si>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</si>
  <si>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</si>
  <si>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</si>
  <si>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</si>
  <si>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</si>
  <si>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</si>
  <si>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</si>
  <si>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</si>
  <si>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</si>
  <si>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</si>
  <si>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</si>
  <si>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</si>
  <si>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</si>
  <si>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</si>
  <si>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</si>
  <si>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</si>
  <si>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</si>
  <si>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</si>
  <si>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</si>
  <si>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</si>
  <si>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</si>
  <si>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</si>
  <si>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</si>
  <si>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</si>
  <si>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</si>
  <si>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</si>
  <si>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</si>
  <si>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</si>
  <si>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</si>
  <si>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</si>
  <si>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</si>
  <si>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</si>
  <si>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</si>
  <si>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</si>
  <si>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</si>
  <si>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</si>
  <si>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</si>
  <si>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</si>
  <si>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</si>
  <si>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</si>
  <si>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</si>
  <si>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</si>
  <si>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</si>
  <si>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</si>
  <si>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</si>
  <si>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</si>
  <si>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</si>
  <si>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</si>
  <si>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</si>
  <si>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</si>
  <si>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</si>
  <si>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</si>
  <si>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</si>
  <si>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</si>
  <si>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</si>
  <si>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</si>
  <si>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</si>
  <si>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</si>
  <si>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</si>
  <si>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</si>
  <si>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</si>
  <si>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</si>
  <si>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</si>
  <si>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</si>
  <si>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</si>
  <si>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</si>
  <si>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</si>
  <si>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</si>
  <si>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</si>
  <si>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</si>
  <si>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</si>
  <si>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</si>
  <si>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</si>
  <si>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</si>
  <si>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</si>
  <si>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</si>
  <si>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</si>
  <si>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</si>
  <si>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</si>
  <si>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</si>
  <si>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</si>
  <si>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</si>
  <si>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</si>
  <si>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</si>
  <si>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</si>
  <si>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</si>
  <si>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</si>
  <si>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</si>
  <si>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</si>
  <si>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</si>
  <si>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</si>
  <si>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</si>
  <si>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</si>
  <si>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</si>
  <si>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</si>
  <si>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</si>
  <si>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</si>
  <si>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</si>
  <si>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</si>
  <si>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</si>
  <si>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</si>
  <si>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</si>
  <si>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</si>
  <si>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</si>
  <si>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</si>
  <si>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</si>
  <si>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</si>
  <si>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</si>
  <si>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</si>
  <si>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</si>
  <si>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</si>
  <si>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</si>
  <si>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</si>
  <si>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</si>
  <si>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</si>
  <si>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</si>
  <si>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</si>
  <si>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</si>
  <si>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</si>
  <si>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</si>
  <si>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</si>
  <si>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</si>
  <si>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</si>
  <si>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</si>
  <si>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</si>
  <si>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</si>
  <si>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</si>
  <si>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</si>
  <si>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</si>
  <si>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</si>
  <si>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</si>
  <si>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</si>
  <si>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</si>
  <si>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</si>
  <si>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</si>
  <si>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</si>
  <si>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</si>
  <si>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</si>
  <si>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</si>
  <si>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</si>
  <si>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</si>
  <si>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</si>
  <si>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</si>
  <si>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</si>
  <si>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</si>
  <si>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</si>
  <si>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</si>
  <si>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</si>
  <si>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</si>
  <si>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</si>
  <si>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</si>
  <si>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</si>
  <si>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</si>
  <si>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</si>
  <si>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</si>
  <si>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</si>
  <si>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</si>
  <si>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</si>
  <si>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</si>
  <si>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</si>
  <si>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</si>
  <si>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</si>
  <si>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</si>
  <si>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</si>
  <si>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</si>
  <si>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</si>
  <si>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</si>
  <si>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</si>
  <si>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</si>
  <si>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</si>
  <si>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</si>
  <si>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</si>
  <si>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</si>
  <si>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</si>
  <si>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</si>
  <si>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</si>
  <si>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</si>
  <si>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</si>
  <si>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</si>
  <si>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</si>
  <si>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</si>
  <si>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</si>
  <si>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</si>
  <si>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</si>
  <si>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</si>
  <si>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</si>
  <si>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</si>
  <si>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</si>
  <si>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</si>
  <si>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</si>
  <si>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</si>
  <si>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</si>
  <si>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</si>
  <si>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</si>
  <si>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</si>
  <si>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</si>
  <si>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</si>
  <si>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</si>
  <si>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</si>
  <si>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</si>
  <si>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</si>
  <si>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</si>
  <si>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</si>
  <si>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</si>
  <si>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</si>
  <si>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</si>
  <si>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</si>
  <si>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</si>
  <si>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</si>
  <si>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</si>
  <si>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</si>
  <si>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</si>
  <si>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</si>
  <si>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</si>
  <si>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</si>
  <si>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</si>
  <si>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</si>
  <si>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</si>
  <si>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</si>
  <si>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</si>
  <si>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</si>
  <si>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</si>
  <si>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</si>
  <si>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</si>
  <si>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</si>
  <si>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</si>
  <si>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</si>
  <si>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</si>
  <si>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</si>
  <si>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</si>
  <si>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</si>
  <si>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</si>
  <si>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</si>
  <si>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</si>
  <si>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</si>
  <si>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</si>
  <si>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</si>
  <si>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</si>
  <si>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</si>
  <si>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</si>
  <si>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</si>
  <si>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</si>
  <si>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</si>
  <si>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</si>
  <si>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</si>
  <si>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</si>
  <si>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</si>
  <si>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</si>
  <si>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</si>
  <si>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</si>
  <si>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</si>
  <si>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</si>
  <si>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</si>
  <si>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</si>
  <si>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</si>
  <si>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</si>
  <si>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</si>
  <si>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</si>
  <si>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</si>
  <si>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</si>
  <si>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</si>
  <si>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</si>
  <si>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</si>
  <si>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</si>
  <si>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</si>
  <si>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</si>
  <si>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</si>
  <si>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</si>
  <si>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</si>
  <si>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</si>
  <si>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</si>
  <si>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</si>
  <si>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</si>
  <si>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</si>
  <si>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</si>
  <si>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</si>
  <si>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</si>
  <si>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</si>
  <si>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</si>
  <si>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</si>
  <si>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</si>
  <si>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</si>
  <si>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</si>
  <si>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</si>
  <si>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</si>
  <si>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</si>
  <si>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</si>
  <si>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</si>
  <si>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</si>
  <si>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</si>
  <si>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</si>
  <si>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</si>
  <si>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</si>
  <si>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</si>
  <si>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</si>
  <si>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</si>
  <si>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</si>
  <si>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</si>
  <si>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</si>
  <si>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</si>
  <si>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</si>
  <si>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</si>
  <si>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</si>
  <si>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</si>
  <si>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</si>
  <si>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</si>
  <si>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</si>
  <si>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</si>
  <si>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</si>
  <si>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</si>
  <si>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</si>
  <si>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</si>
  <si>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</si>
  <si>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</si>
  <si>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</si>
  <si>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</si>
  <si>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</si>
  <si>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</si>
  <si>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</si>
  <si>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</si>
  <si>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</si>
  <si>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</si>
  <si>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</si>
  <si>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</si>
  <si>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</si>
  <si>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</si>
  <si>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</si>
  <si>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</si>
  <si>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</si>
  <si>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</si>
  <si>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</si>
  <si>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</si>
  <si>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</si>
  <si>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</si>
  <si>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</si>
  <si>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</si>
  <si>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</si>
  <si>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</si>
  <si>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</si>
  <si>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</si>
  <si>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</si>
  <si>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</si>
  <si>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</si>
  <si>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</si>
  <si>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</si>
  <si>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</si>
  <si>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</si>
  <si>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</si>
  <si>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</si>
  <si>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</si>
  <si>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</si>
  <si>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</si>
  <si>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</si>
  <si>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</si>
  <si>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</si>
  <si>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</si>
  <si>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</si>
  <si>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</si>
  <si>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</si>
  <si>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</si>
  <si>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</si>
  <si>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</si>
  <si>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</si>
  <si>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</si>
  <si>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</si>
  <si>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</si>
  <si>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</si>
  <si>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</si>
  <si>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</si>
  <si>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</si>
  <si>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</si>
  <si>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</si>
  <si>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</si>
  <si>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</si>
  <si>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</si>
  <si>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</si>
  <si>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</si>
  <si>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</si>
  <si>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</si>
  <si>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</si>
  <si>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</si>
  <si>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</si>
  <si>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</si>
  <si>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</si>
  <si>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</si>
  <si>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</si>
  <si>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</si>
  <si>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</si>
  <si>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</si>
  <si>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</si>
  <si>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</si>
  <si>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</si>
  <si>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</si>
  <si>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</si>
  <si>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</si>
  <si>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</si>
  <si>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</si>
  <si>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</si>
  <si>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</si>
  <si>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</si>
  <si>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</si>
  <si>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</si>
  <si>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</si>
  <si>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</si>
  <si>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</si>
  <si>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</si>
  <si>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</si>
  <si>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</si>
  <si>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</si>
  <si>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</si>
  <si>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</si>
  <si>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</si>
  <si>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</si>
  <si>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</si>
  <si>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</si>
  <si>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</si>
  <si>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</si>
  <si>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</si>
  <si>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</si>
  <si>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</si>
  <si>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</si>
  <si>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</si>
  <si>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</si>
  <si>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</si>
  <si>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</si>
  <si>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</si>
  <si>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</si>
  <si>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</si>
  <si>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</si>
  <si>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</si>
  <si>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</si>
  <si>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</si>
  <si>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</si>
  <si>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</si>
  <si>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</si>
  <si>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</si>
  <si>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</si>
  <si>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</si>
  <si>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</si>
  <si>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</si>
  <si>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</si>
  <si>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</si>
  <si>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</si>
  <si>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</si>
  <si>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</si>
  <si>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</si>
  <si>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</si>
  <si>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</si>
  <si>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</si>
  <si>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</si>
  <si>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</si>
  <si>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</si>
  <si>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</si>
  <si>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</si>
  <si>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</si>
  <si>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</si>
  <si>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</si>
  <si>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</si>
  <si>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</si>
  <si>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</si>
  <si>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</si>
  <si>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</si>
  <si>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</si>
  <si>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</si>
  <si>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</si>
  <si>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</si>
  <si>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</si>
  <si>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</si>
  <si>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</si>
  <si>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</si>
  <si>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</si>
  <si>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</si>
  <si>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</si>
  <si>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</si>
  <si>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</si>
  <si>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</si>
  <si>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</si>
  <si>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</si>
  <si>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</si>
  <si>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</si>
  <si>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</si>
  <si>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</si>
  <si>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</si>
  <si>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</si>
  <si>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</si>
  <si>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</si>
  <si>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</si>
  <si>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</si>
  <si>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</si>
  <si>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</si>
  <si>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</si>
  <si>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</si>
  <si>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</si>
  <si>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</si>
  <si>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</si>
  <si>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</si>
  <si>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</si>
  <si>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</si>
  <si>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</si>
  <si>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</si>
  <si>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</si>
  <si>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</si>
  <si>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</si>
  <si>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</si>
  <si>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</si>
  <si>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</si>
  <si>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</si>
  <si>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</si>
  <si>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</si>
  <si>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</si>
  <si>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</si>
  <si>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</si>
  <si>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</si>
  <si>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</si>
  <si>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</si>
  <si>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</si>
  <si>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</si>
  <si>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</si>
  <si>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</si>
  <si>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</si>
  <si>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</si>
  <si>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</si>
  <si>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</si>
  <si>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</si>
  <si>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</si>
  <si>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</si>
  <si>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</si>
  <si>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</si>
  <si>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</si>
  <si>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</si>
  <si>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</si>
  <si>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</si>
  <si>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</si>
  <si>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</si>
  <si>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</si>
  <si>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</si>
  <si>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</si>
  <si>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</si>
  <si>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</si>
  <si>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</si>
  <si>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</si>
  <si>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</si>
  <si>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</si>
  <si>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</si>
  <si>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</si>
  <si>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</si>
  <si>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</si>
  <si>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</si>
  <si>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</si>
  <si>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</si>
  <si>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</si>
  <si>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</si>
  <si>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</si>
  <si>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</si>
  <si>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</si>
  <si>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</si>
  <si>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</si>
  <si>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</si>
  <si>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</si>
  <si>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</si>
  <si>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</si>
  <si>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</si>
  <si>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</si>
  <si>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</si>
  <si>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</si>
  <si>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</si>
  <si>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</si>
  <si>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</si>
  <si>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</si>
  <si>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</si>
  <si>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</si>
  <si>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</si>
  <si>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</si>
  <si>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</si>
  <si>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</si>
  <si>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</si>
  <si>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</si>
  <si>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</si>
  <si>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</si>
  <si>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</si>
  <si>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</si>
  <si>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</si>
  <si>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</si>
  <si>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</si>
  <si>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</si>
  <si>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</si>
  <si>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</si>
  <si>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</si>
  <si>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</si>
  <si>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</si>
  <si>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</si>
  <si>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</si>
  <si>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</si>
  <si>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</si>
  <si>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</si>
  <si>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</si>
  <si>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</si>
  <si>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</si>
  <si>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</si>
  <si>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</si>
  <si>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</si>
  <si>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</si>
  <si>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</si>
  <si>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</si>
  <si>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</si>
  <si>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</si>
  <si>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</si>
  <si>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</si>
  <si>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</si>
  <si>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</si>
  <si>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</si>
  <si>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</si>
  <si>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</si>
  <si>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</si>
  <si>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</si>
  <si>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</si>
  <si>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</si>
  <si>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</si>
  <si>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</si>
  <si>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</si>
  <si>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</si>
  <si>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</si>
  <si>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</si>
  <si>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</si>
  <si>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</si>
  <si>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</si>
  <si>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</si>
  <si>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</si>
  <si>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</si>
  <si>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</si>
  <si>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</si>
  <si>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</si>
  <si>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</si>
  <si>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</si>
  <si>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</si>
  <si>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</si>
  <si>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</si>
  <si>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</si>
  <si>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</si>
  <si>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</si>
  <si>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</si>
  <si>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</si>
  <si>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</si>
  <si>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</si>
  <si>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</si>
  <si>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</si>
  <si>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</si>
  <si>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</si>
  <si>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</si>
  <si>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</si>
  <si>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</si>
  <si>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</si>
  <si>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</si>
  <si>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</si>
  <si>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</si>
  <si>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</si>
  <si>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</si>
  <si>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</si>
  <si>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</si>
  <si>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</si>
  <si>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</si>
  <si>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</si>
  <si>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</si>
  <si>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</si>
  <si>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</si>
  <si>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</si>
  <si>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</si>
  <si>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</si>
  <si>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</si>
  <si>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</si>
  <si>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</si>
  <si>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</si>
  <si>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</si>
  <si>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</si>
  <si>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</si>
  <si>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</si>
  <si>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</si>
  <si>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</si>
  <si>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</si>
  <si>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</si>
  <si>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</si>
  <si>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</si>
  <si>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</si>
  <si>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</si>
  <si>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</si>
  <si>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</si>
  <si>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</si>
  <si>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</si>
  <si>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</si>
  <si>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</si>
  <si>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</si>
  <si>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</si>
  <si>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</si>
  <si>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</si>
  <si>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</si>
  <si>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</si>
  <si>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</si>
  <si>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</si>
  <si>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</si>
  <si>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</si>
  <si>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</si>
  <si>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</si>
  <si>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</si>
  <si>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</si>
  <si>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</si>
  <si>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</si>
  <si>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</si>
  <si>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</si>
  <si>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</si>
  <si>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</si>
  <si>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</si>
  <si>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</si>
  <si>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</si>
  <si>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</si>
  <si>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</si>
  <si>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</si>
  <si>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</si>
  <si>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</si>
  <si>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</si>
  <si>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</si>
  <si>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</si>
  <si>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</si>
  <si>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</si>
  <si>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</si>
  <si>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</si>
  <si>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</si>
  <si>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</si>
  <si>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</si>
  <si>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</si>
  <si>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</si>
  <si>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</si>
  <si>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</si>
  <si>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</si>
  <si>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</si>
  <si>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</si>
  <si>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</si>
  <si>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</si>
  <si>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</si>
  <si>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</si>
  <si>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</si>
  <si>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</si>
  <si>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</si>
  <si>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</si>
  <si>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</si>
  <si>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</si>
  <si>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</si>
  <si>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</si>
  <si>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</si>
  <si>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</si>
  <si>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</si>
  <si>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</si>
  <si>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</si>
  <si>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</si>
  <si>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</si>
  <si>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</si>
  <si>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</si>
  <si>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</si>
  <si>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</si>
  <si>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</si>
  <si>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</si>
  <si>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</si>
  <si>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</si>
  <si>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</si>
  <si>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</si>
  <si>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</si>
  <si>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</si>
  <si>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</si>
  <si>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</si>
  <si>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</si>
  <si>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</si>
  <si>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</si>
  <si>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</si>
  <si>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</si>
  <si>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</si>
  <si>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</si>
  <si>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</si>
  <si>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</si>
  <si>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</si>
  <si>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</si>
  <si>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</si>
  <si>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</si>
  <si>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</si>
  <si>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</si>
  <si>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</si>
  <si>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</si>
  <si>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</si>
  <si>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</si>
  <si>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</si>
  <si>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</si>
  <si>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</si>
  <si>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</si>
  <si>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</si>
  <si>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</si>
  <si>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</si>
  <si>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</si>
  <si>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</si>
  <si>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</si>
  <si>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</si>
  <si>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</si>
  <si>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</si>
  <si>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</si>
  <si>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</si>
  <si>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</si>
  <si>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</si>
  <si>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</si>
  <si>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</si>
  <si>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</si>
  <si>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</si>
  <si>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</si>
  <si>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</si>
  <si>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</si>
  <si>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</si>
  <si>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</si>
  <si>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</si>
  <si>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</si>
  <si>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</si>
  <si>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</si>
  <si>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</si>
  <si>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</si>
  <si>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</si>
  <si>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</si>
  <si>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</si>
  <si>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</si>
  <si>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</si>
  <si>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</si>
  <si>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</si>
  <si>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</si>
  <si>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</si>
  <si>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</si>
  <si>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</si>
  <si>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</si>
  <si>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</si>
  <si>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</si>
  <si>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</si>
  <si>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</si>
  <si>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</si>
  <si>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</si>
  <si>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</si>
  <si>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</si>
  <si>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</si>
  <si>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</si>
  <si>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</si>
  <si>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</si>
  <si>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</si>
  <si>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</si>
  <si>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</si>
  <si>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</si>
  <si>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</si>
  <si>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</si>
  <si>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</si>
  <si>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</si>
  <si>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</si>
  <si>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</si>
  <si>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</si>
  <si>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</si>
  <si>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</si>
  <si>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</si>
  <si>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</si>
  <si>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</si>
  <si>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</si>
  <si>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</si>
  <si>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</si>
  <si>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</si>
  <si>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</si>
  <si>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</si>
  <si>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</si>
  <si>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</si>
  <si>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</si>
  <si>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</si>
  <si>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</si>
  <si>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</si>
  <si>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</si>
  <si>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</si>
  <si>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</si>
  <si>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</si>
  <si>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</si>
  <si>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</si>
  <si>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</si>
  <si>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</si>
  <si>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</si>
  <si>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</si>
  <si>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</si>
  <si>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</si>
  <si>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</si>
  <si>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</si>
  <si>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</si>
  <si>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</si>
  <si>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</si>
  <si>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</si>
  <si>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</si>
  <si>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</si>
  <si>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</si>
  <si>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</si>
  <si>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</si>
  <si>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</si>
  <si>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</si>
  <si>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</si>
  <si>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</si>
  <si>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</si>
  <si>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</si>
  <si>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</si>
  <si>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</si>
  <si>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</si>
  <si>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</si>
  <si>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</si>
  <si>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</si>
  <si>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</si>
  <si>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</si>
  <si>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</si>
  <si>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</si>
  <si>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</si>
  <si>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</si>
  <si>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</si>
  <si>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</si>
  <si>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</si>
  <si>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</si>
  <si>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</si>
  <si>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</si>
  <si>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</si>
  <si>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</si>
  <si>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</si>
  <si>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</si>
  <si>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</si>
  <si>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</si>
  <si>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</si>
  <si>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</si>
  <si>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</si>
  <si>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</si>
  <si>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</si>
  <si>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</si>
  <si>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</si>
  <si>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</si>
  <si>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</si>
  <si>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</si>
  <si>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</si>
  <si>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</si>
  <si>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</si>
  <si>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</si>
  <si>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</si>
  <si>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</si>
  <si>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</si>
  <si>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</si>
  <si>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</si>
  <si>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</si>
  <si>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</si>
  <si>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</si>
  <si>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</si>
  <si>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</si>
  <si>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</si>
  <si>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</si>
  <si>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</si>
  <si>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</si>
  <si>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</si>
  <si>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</si>
  <si>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</si>
  <si>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</si>
  <si>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</si>
  <si>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</si>
  <si>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</si>
  <si>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</si>
  <si>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</si>
  <si>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</si>
  <si>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</si>
  <si>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</si>
  <si>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</si>
  <si>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</si>
  <si>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</si>
  <si>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</si>
  <si>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</si>
  <si>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</si>
  <si>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</si>
  <si>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</si>
  <si>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</si>
  <si>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</si>
  <si>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</si>
  <si>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</si>
  <si>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</si>
  <si>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</si>
  <si>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</si>
  <si>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</si>
  <si>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</si>
  <si>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</si>
  <si>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</si>
  <si>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</si>
  <si>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</si>
  <si>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</si>
  <si>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</si>
  <si>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</si>
  <si>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</si>
  <si>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</si>
  <si>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</si>
  <si>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</si>
  <si>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</si>
  <si>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</si>
  <si>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</si>
  <si>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</si>
  <si>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</si>
  <si>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</si>
  <si>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</si>
  <si>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</si>
  <si>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</si>
  <si>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</si>
  <si>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</si>
  <si>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</si>
  <si>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</si>
  <si>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</si>
  <si>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</si>
  <si>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</si>
  <si>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</si>
  <si>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</si>
  <si>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</si>
  <si>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</si>
  <si>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</si>
  <si>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</si>
  <si>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</si>
  <si>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</si>
  <si>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</si>
  <si>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</si>
  <si>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</si>
  <si>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</si>
  <si>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</si>
  <si>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</si>
  <si>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</si>
  <si>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</si>
  <si>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</si>
  <si>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</si>
  <si>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</si>
  <si>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</si>
  <si>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</si>
  <si>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</si>
  <si>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</si>
  <si>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</si>
  <si>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</si>
  <si>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</si>
  <si>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</si>
  <si>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</si>
  <si>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</si>
  <si>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</si>
  <si>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</si>
  <si>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</si>
  <si>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</si>
  <si>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</si>
  <si>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</si>
  <si>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</si>
  <si>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</si>
  <si>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</si>
  <si>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</si>
  <si>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</si>
  <si>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</si>
  <si>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</si>
  <si>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</si>
  <si>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</si>
  <si>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</si>
  <si>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</si>
  <si>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</si>
  <si>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</si>
  <si>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</si>
  <si>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</si>
  <si>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</si>
  <si>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</si>
  <si>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</si>
  <si>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</si>
  <si>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</si>
  <si>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</si>
  <si>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</si>
  <si>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</si>
  <si>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</si>
  <si>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</si>
  <si>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</si>
  <si>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</si>
  <si>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</si>
  <si>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</si>
  <si>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</si>
  <si>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</si>
  <si>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</si>
  <si>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</si>
  <si>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</si>
  <si>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</si>
  <si>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</si>
  <si>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</si>
  <si>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</si>
  <si>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</si>
  <si>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</si>
  <si>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</si>
  <si>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</si>
  <si>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</si>
  <si>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</si>
  <si>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</si>
  <si>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</si>
  <si>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</si>
  <si>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</si>
  <si>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</si>
  <si>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</si>
  <si>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</si>
  <si>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</si>
  <si>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</si>
  <si>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</si>
  <si>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</si>
  <si>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</si>
  <si>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</si>
  <si>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</si>
  <si>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</si>
  <si>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</si>
  <si>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</si>
  <si>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</si>
  <si>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</si>
  <si>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</si>
  <si>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</si>
  <si>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</si>
  <si>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</si>
  <si>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</si>
  <si>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</si>
  <si>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</si>
  <si>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</si>
  <si>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</si>
  <si>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</si>
  <si>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</si>
  <si>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</si>
  <si>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</si>
  <si>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</si>
  <si>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</si>
  <si>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</si>
  <si>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</si>
  <si>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</si>
  <si>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</si>
  <si>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</si>
  <si>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</si>
  <si>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</si>
  <si>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</si>
  <si>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</si>
  <si>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</si>
  <si>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</si>
  <si>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</si>
  <si>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</si>
  <si>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</si>
  <si>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</si>
  <si>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</si>
  <si>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</si>
  <si>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</si>
  <si>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</si>
  <si>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</si>
  <si>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</si>
  <si>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</si>
  <si>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</si>
  <si>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</si>
  <si>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</si>
  <si>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</si>
  <si>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</si>
  <si>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</si>
  <si>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</si>
  <si>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</si>
  <si>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</si>
  <si>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</si>
  <si>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</si>
  <si>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</si>
  <si>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</si>
  <si>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</si>
  <si>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</si>
  <si>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</si>
  <si>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</si>
  <si>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</si>
  <si>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</si>
  <si>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</si>
  <si>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</si>
  <si>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</si>
  <si>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</si>
  <si>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</si>
  <si>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</si>
  <si>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</si>
  <si>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</si>
  <si>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</si>
  <si>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</si>
  <si>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</si>
  <si>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</si>
  <si>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</si>
  <si>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</si>
  <si>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</si>
  <si>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</si>
  <si>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</si>
  <si>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</si>
  <si>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</si>
  <si>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</si>
  <si>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</si>
  <si>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</si>
  <si>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</si>
  <si>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</si>
  <si>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</si>
  <si>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</si>
  <si>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</si>
  <si>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</si>
  <si>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</si>
  <si>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</si>
  <si>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</si>
  <si>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</si>
  <si>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</si>
  <si>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</si>
  <si>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</si>
  <si>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</si>
  <si>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</si>
  <si>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</si>
  <si>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</si>
  <si>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</si>
  <si>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</si>
  <si>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</si>
  <si>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</si>
  <si>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</si>
  <si>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</si>
  <si>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</si>
  <si>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</si>
  <si>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</si>
  <si>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</si>
  <si>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</si>
  <si>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</si>
  <si>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</si>
  <si>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</si>
  <si>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</si>
  <si>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</si>
  <si>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</si>
  <si>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</si>
  <si>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</si>
  <si>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</si>
  <si>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</si>
  <si>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</si>
  <si>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</si>
  <si>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</si>
  <si>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</si>
  <si>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</si>
  <si>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</si>
  <si>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</si>
  <si>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</si>
  <si>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</si>
  <si>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</si>
  <si>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</si>
  <si>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</si>
  <si>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</si>
  <si>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</si>
  <si>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</si>
  <si>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</si>
  <si>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</si>
  <si>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</si>
  <si>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</si>
  <si>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</si>
  <si>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</si>
  <si>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</si>
  <si>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</si>
  <si>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</si>
  <si>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</si>
  <si>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</si>
  <si>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</si>
  <si>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</si>
  <si>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</si>
  <si>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</si>
  <si>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</si>
  <si>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</si>
  <si>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</si>
  <si>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</si>
  <si>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</si>
  <si>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</si>
  <si>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</si>
  <si>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</si>
  <si>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</si>
  <si>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</si>
  <si>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</si>
  <si>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</si>
  <si>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</si>
  <si>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</si>
  <si>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</si>
  <si>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</si>
  <si>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</si>
  <si>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</si>
  <si>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</si>
  <si>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</si>
  <si>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</si>
  <si>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</si>
  <si>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</si>
  <si>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</si>
  <si>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</si>
  <si>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</si>
  <si>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</si>
  <si>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</si>
  <si>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</si>
  <si>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</si>
  <si>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</si>
  <si>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</si>
  <si>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</si>
  <si>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</si>
  <si>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</si>
  <si>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</si>
  <si>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</si>
  <si>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</si>
  <si>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</si>
  <si>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</si>
  <si>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</si>
  <si>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</si>
  <si>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</si>
  <si>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</si>
  <si>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</si>
  <si>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</si>
  <si>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</si>
  <si>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</si>
  <si>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</si>
  <si>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</si>
  <si>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</si>
  <si>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</si>
  <si>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</si>
  <si>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</si>
  <si>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</si>
  <si>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</si>
  <si>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</si>
  <si>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</si>
  <si>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</si>
  <si>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</si>
  <si>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</si>
  <si>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</si>
  <si>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</si>
  <si>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</si>
  <si>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</si>
  <si>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</si>
  <si>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</si>
  <si>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</si>
  <si>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</si>
  <si>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</si>
  <si>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</si>
  <si>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</si>
  <si>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</si>
  <si>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</si>
  <si>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</si>
  <si>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</si>
  <si>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</si>
  <si>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</si>
  <si>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</si>
  <si>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</si>
  <si>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</si>
  <si>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</si>
  <si>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</si>
  <si>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</si>
  <si>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</si>
  <si>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</si>
  <si>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</si>
  <si>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</si>
  <si>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</si>
  <si>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</si>
  <si>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</si>
  <si>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</si>
  <si>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</si>
  <si>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</si>
  <si>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</si>
  <si>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</si>
  <si>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</si>
  <si>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</si>
  <si>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</si>
  <si>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</si>
  <si>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</si>
  <si>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</si>
  <si>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</si>
  <si>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</si>
  <si>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</si>
  <si>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</si>
  <si>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</si>
  <si>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</si>
  <si>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</si>
  <si>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</si>
  <si>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</si>
  <si>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</si>
  <si>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</si>
  <si>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</si>
  <si>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</si>
  <si>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</si>
  <si>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</si>
  <si>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</si>
  <si>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</si>
  <si>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</si>
  <si>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</si>
  <si>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</si>
  <si>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</si>
  <si>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</si>
  <si>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</si>
  <si>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</si>
  <si>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</si>
  <si>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</si>
  <si>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</si>
  <si>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</si>
  <si>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</si>
  <si>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</si>
  <si>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</si>
  <si>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</si>
  <si>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</si>
  <si>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</si>
  <si>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</si>
  <si>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</si>
  <si>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</si>
  <si>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</si>
  <si>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</si>
  <si>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</si>
  <si>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</si>
  <si>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</si>
  <si>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</si>
  <si>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</si>
  <si>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</si>
  <si>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</si>
  <si>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</si>
  <si>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</si>
  <si>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</si>
  <si>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</si>
  <si>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</si>
  <si>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</si>
  <si>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</si>
  <si>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</si>
  <si>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</si>
  <si>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</si>
  <si>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</si>
  <si>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</si>
  <si>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</si>
  <si>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</si>
  <si>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</si>
  <si>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</si>
  <si>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</si>
  <si>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</si>
  <si>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</si>
  <si>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</si>
  <si>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</si>
  <si>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</si>
  <si>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</si>
  <si>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</si>
  <si>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</si>
  <si>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</si>
  <si>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</si>
  <si>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</si>
  <si>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</si>
  <si>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</si>
  <si>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</si>
  <si>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</si>
  <si>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</si>
  <si>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</si>
  <si>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</si>
  <si>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</si>
  <si>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</si>
  <si>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</si>
  <si>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</si>
  <si>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</si>
  <si>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</si>
  <si>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</si>
  <si>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</si>
  <si>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</si>
  <si>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</si>
  <si>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</si>
  <si>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</si>
  <si>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</si>
  <si>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</si>
  <si>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</si>
  <si>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</si>
  <si>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</si>
  <si>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</si>
  <si>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</si>
  <si>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</si>
  <si>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</si>
  <si>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</si>
  <si>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</si>
  <si>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</si>
  <si>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</si>
  <si>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</si>
  <si>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</si>
  <si>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</si>
  <si>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</si>
  <si>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</si>
  <si>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</si>
  <si>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</si>
  <si>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</si>
  <si>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</si>
  <si>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</si>
  <si>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</si>
  <si>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</si>
  <si>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</si>
  <si>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</si>
  <si>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</si>
  <si>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</si>
  <si>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</si>
  <si>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</si>
  <si>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</si>
  <si>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</si>
  <si>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</si>
  <si>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</si>
  <si>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</si>
  <si>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</si>
  <si>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</si>
  <si>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</si>
  <si>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</si>
  <si>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</si>
  <si>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</si>
  <si>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</si>
  <si>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</si>
  <si>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</si>
  <si>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</si>
  <si>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</si>
  <si>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</si>
  <si>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</si>
  <si>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</si>
  <si>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</si>
  <si>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</si>
  <si>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</si>
  <si>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</si>
  <si>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</si>
  <si>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</si>
  <si>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</si>
  <si>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</si>
  <si>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</si>
  <si>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</si>
  <si>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</si>
  <si>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</si>
  <si>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</si>
  <si>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</si>
  <si>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</si>
  <si>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</si>
  <si>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</si>
  <si>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</si>
  <si>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</si>
  <si>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</si>
  <si>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</si>
  <si>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</si>
  <si>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</si>
  <si>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</si>
  <si>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</si>
  <si>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</si>
  <si>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</si>
  <si>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</si>
  <si>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</si>
  <si>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</si>
  <si>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</si>
  <si>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</si>
  <si>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</si>
  <si>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</si>
  <si>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</si>
  <si>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</si>
  <si>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</si>
  <si>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</si>
  <si>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</si>
  <si>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</si>
  <si>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</si>
  <si>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</si>
  <si>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</si>
  <si>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</si>
  <si>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</si>
  <si>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</si>
  <si>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</si>
  <si>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</si>
  <si>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</si>
  <si>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</si>
  <si>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</si>
  <si>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</si>
  <si>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</si>
  <si>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</si>
  <si>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</si>
  <si>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</si>
  <si>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</si>
  <si>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</si>
  <si>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</si>
  <si>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</si>
  <si>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</si>
  <si>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</si>
  <si>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</si>
  <si>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</si>
  <si>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</si>
  <si>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</si>
  <si>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</si>
  <si>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</si>
  <si>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</si>
  <si>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</si>
  <si>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</si>
  <si>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</si>
  <si>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</si>
  <si>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</si>
  <si>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</si>
  <si>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</si>
  <si>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</si>
  <si>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</si>
  <si>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</si>
  <si>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</si>
  <si>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</si>
  <si>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</si>
  <si>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</si>
  <si>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</si>
  <si>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</si>
  <si>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</si>
  <si>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</si>
  <si>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</si>
  <si>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</si>
  <si>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</si>
  <si>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</si>
  <si>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</si>
  <si>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</si>
  <si>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</si>
  <si>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</si>
  <si>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</si>
  <si>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</si>
  <si>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</si>
  <si>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</si>
  <si>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</si>
  <si>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</si>
  <si>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</si>
  <si>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</si>
  <si>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</si>
  <si>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</si>
  <si>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</si>
  <si>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</si>
  <si>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</si>
  <si>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</si>
  <si>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</si>
  <si>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</si>
  <si>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</si>
  <si>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</si>
  <si>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</si>
  <si>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</si>
  <si>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</si>
  <si>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</si>
  <si>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</si>
  <si>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</si>
  <si>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</si>
  <si>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</si>
  <si>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</si>
  <si>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</si>
  <si>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</si>
  <si>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</si>
  <si>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</si>
  <si>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</si>
  <si>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</si>
  <si>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</si>
  <si>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</si>
  <si>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</si>
  <si>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</si>
  <si>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</si>
  <si>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</si>
  <si>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</si>
  <si>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</si>
  <si>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</si>
  <si>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</si>
  <si>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</si>
  <si>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</si>
  <si>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</si>
  <si>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</si>
  <si>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</si>
  <si>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</si>
  <si>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</si>
  <si>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</si>
  <si>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</si>
  <si>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</si>
  <si>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</si>
  <si>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</si>
  <si>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</si>
  <si>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</si>
  <si>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</si>
  <si>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</si>
  <si>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</si>
  <si>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</si>
  <si>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</si>
  <si>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</si>
  <si>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</si>
  <si>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</si>
  <si>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</si>
  <si>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</si>
  <si>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</si>
  <si>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</si>
  <si>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</si>
  <si>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</si>
  <si>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</si>
  <si>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</si>
  <si>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</si>
  <si>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</si>
  <si>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</si>
  <si>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</si>
  <si>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</si>
  <si>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</si>
  <si>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</si>
  <si>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</si>
  <si>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</si>
  <si>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</si>
  <si>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</si>
  <si>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</si>
  <si>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</si>
  <si>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</si>
  <si>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</si>
  <si>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</si>
  <si>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</si>
  <si>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</si>
  <si>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</si>
  <si>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</si>
  <si>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</si>
  <si>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</si>
  <si>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</si>
  <si>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</si>
  <si>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</si>
  <si>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</si>
  <si>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</si>
  <si>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</si>
  <si>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</si>
  <si>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</si>
  <si>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</si>
  <si>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</si>
  <si>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</si>
  <si>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</si>
  <si>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</si>
  <si>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</si>
  <si>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</si>
  <si>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</si>
  <si>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</si>
  <si>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</si>
  <si>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</si>
  <si>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</si>
  <si>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</si>
  <si>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</si>
  <si>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</si>
  <si>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</si>
  <si>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</si>
  <si>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</si>
  <si>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</si>
  <si>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</si>
  <si>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</si>
  <si>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</si>
  <si>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</si>
  <si>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</si>
  <si>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</si>
  <si>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</si>
  <si>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</si>
  <si>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</si>
  <si>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</si>
  <si>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</si>
  <si>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</si>
  <si>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</si>
  <si>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</si>
  <si>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</si>
  <si>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</si>
  <si>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</si>
  <si>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</si>
  <si>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</si>
  <si>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</si>
  <si>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</si>
  <si>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</si>
  <si>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</si>
  <si>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</si>
  <si>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</si>
  <si>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</si>
  <si>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</si>
  <si>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</si>
  <si>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</si>
  <si>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</si>
  <si>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</si>
  <si>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</si>
  <si>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</si>
  <si>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</si>
  <si>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</si>
  <si>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</si>
  <si>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</si>
  <si>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</si>
  <si>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</si>
  <si>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</si>
  <si>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</si>
  <si>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</si>
  <si>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</si>
  <si>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</si>
  <si>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</si>
  <si>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</si>
  <si>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</si>
  <si>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</si>
  <si>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</si>
  <si>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</si>
  <si>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</si>
  <si>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</si>
  <si>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</si>
  <si>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</si>
  <si>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</si>
  <si>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</si>
  <si>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</si>
  <si>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</si>
  <si>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</si>
  <si>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</si>
  <si>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</si>
  <si>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</si>
  <si>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</si>
  <si>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</si>
  <si>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</si>
  <si>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</si>
  <si>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</si>
  <si>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</si>
  <si>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</si>
  <si>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</si>
  <si>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</si>
  <si>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</si>
  <si>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</si>
  <si>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</si>
  <si>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</si>
  <si>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</si>
  <si>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</si>
  <si>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</si>
  <si>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</si>
  <si>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</si>
  <si>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</si>
  <si>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</si>
  <si>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</si>
  <si>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</si>
  <si>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</si>
  <si>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</si>
  <si>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</si>
  <si>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</si>
  <si>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</si>
  <si>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</si>
  <si>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</si>
  <si>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</si>
  <si>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</si>
  <si>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</si>
  <si>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</si>
  <si>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</si>
  <si>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</si>
  <si>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</si>
  <si>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</si>
  <si>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</si>
  <si>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</si>
  <si>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</si>
  <si>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</si>
  <si>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</si>
  <si>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</si>
  <si>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</si>
  <si>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</si>
  <si>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</si>
  <si>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</si>
  <si>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</si>
  <si>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</si>
  <si>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</si>
  <si>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</si>
  <si>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</si>
  <si>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</si>
  <si>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</si>
  <si>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</si>
  <si>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</si>
  <si>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</si>
  <si>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</si>
  <si>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</si>
  <si>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</si>
  <si>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</si>
  <si>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</si>
  <si>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</si>
  <si>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</si>
  <si>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</si>
  <si>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</si>
  <si>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</si>
  <si>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</si>
  <si>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</si>
  <si>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</si>
  <si>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</si>
  <si>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</si>
  <si>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</si>
  <si>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</si>
  <si>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</si>
  <si>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</si>
  <si>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</si>
  <si>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</si>
  <si>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</si>
  <si>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</si>
  <si>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</si>
  <si>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</si>
  <si>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</si>
  <si>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</si>
  <si>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</si>
  <si>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</si>
  <si>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</si>
  <si>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</si>
  <si>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</si>
  <si>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</si>
  <si>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</si>
  <si>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</si>
  <si>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</si>
  <si>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</si>
  <si>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</si>
  <si>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</si>
  <si>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</si>
  <si>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</si>
  <si>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</si>
  <si>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</si>
  <si>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</si>
  <si>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</si>
  <si>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</si>
  <si>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</si>
  <si>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</si>
  <si>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</si>
  <si>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</si>
  <si>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</si>
  <si>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</si>
  <si>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</si>
  <si>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</si>
  <si>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</si>
  <si>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</si>
  <si>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</si>
  <si>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</si>
  <si>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</si>
  <si>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</si>
  <si>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</si>
  <si>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</si>
  <si>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</si>
  <si>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</si>
  <si>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</si>
  <si>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</si>
  <si>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</si>
  <si>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</si>
  <si>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</si>
  <si>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</si>
  <si>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</si>
  <si>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</si>
  <si>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</si>
  <si>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</si>
  <si>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</si>
  <si>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</si>
  <si>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</si>
  <si>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</si>
  <si>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</si>
  <si>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</si>
  <si>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</si>
  <si>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</si>
  <si>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</si>
  <si>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</si>
  <si>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</si>
  <si>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</si>
  <si>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</si>
  <si>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</si>
  <si>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</si>
  <si>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</si>
  <si>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</si>
  <si>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</si>
  <si>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</si>
  <si>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</si>
  <si>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</si>
  <si>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</si>
  <si>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</si>
  <si>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</si>
  <si>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</si>
  <si>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</si>
  <si>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</si>
  <si>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</si>
  <si>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</si>
  <si>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</si>
  <si>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</si>
  <si>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</si>
  <si>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</si>
  <si>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</si>
  <si>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</si>
  <si>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</si>
  <si>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</si>
  <si>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</si>
  <si>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</si>
  <si>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</si>
  <si>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</si>
  <si>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</si>
  <si>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</si>
  <si>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</si>
  <si>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</si>
  <si>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</si>
  <si>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</si>
  <si>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</si>
  <si>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</si>
  <si>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</si>
  <si>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</si>
  <si>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</si>
  <si>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</si>
  <si>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</si>
  <si>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</si>
  <si>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</si>
  <si>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</si>
  <si>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</si>
  <si>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</si>
  <si>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</si>
  <si>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</si>
  <si>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</si>
  <si>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</si>
  <si>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</si>
  <si>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</si>
  <si>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</si>
  <si>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</si>
  <si>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</si>
  <si>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</si>
  <si>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</si>
  <si>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</si>
  <si>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</si>
  <si>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</si>
  <si>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</si>
  <si>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</si>
  <si>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</si>
  <si>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</si>
  <si>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</si>
  <si>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</si>
  <si>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</si>
  <si>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</si>
  <si>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</si>
  <si>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</si>
  <si>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</si>
  <si>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</si>
  <si>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</si>
  <si>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</si>
  <si>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</si>
  <si>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</si>
  <si>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</si>
  <si>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</si>
  <si>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</si>
  <si>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</si>
  <si>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</si>
  <si>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</si>
  <si>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</si>
  <si>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</si>
  <si>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</si>
  <si>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</si>
  <si>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</si>
  <si>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</si>
  <si>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</si>
  <si>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</si>
  <si>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</si>
  <si>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</si>
  <si>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</si>
  <si>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</si>
  <si>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</si>
  <si>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</si>
  <si>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</si>
  <si>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</si>
  <si>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</si>
  <si>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</si>
  <si>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</si>
  <si>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</si>
  <si>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</si>
  <si>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</si>
  <si>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</si>
  <si>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</si>
  <si>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</si>
  <si>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</si>
  <si>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</si>
  <si>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</si>
  <si>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</si>
  <si>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</si>
  <si>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</si>
  <si>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</si>
  <si>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</si>
  <si>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</si>
  <si>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</si>
  <si>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</si>
  <si>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</si>
  <si>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</si>
  <si>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</si>
  <si>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</si>
  <si>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</si>
  <si>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</si>
  <si>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</si>
  <si>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</si>
  <si>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</si>
  <si>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</si>
  <si>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</si>
  <si>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</si>
  <si>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</si>
  <si>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</si>
  <si>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</si>
  <si>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</si>
  <si>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</si>
  <si>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</si>
  <si>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</si>
  <si>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</si>
  <si>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</si>
  <si>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</si>
  <si>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</si>
  <si>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</si>
  <si>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</si>
  <si>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</si>
  <si>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</si>
  <si>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</si>
  <si>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</si>
  <si>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</si>
  <si>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</si>
  <si>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</si>
  <si>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</si>
  <si>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</si>
  <si>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</si>
  <si>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</si>
  <si>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</si>
  <si>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</si>
  <si>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</si>
  <si>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</si>
  <si>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</si>
  <si>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</si>
  <si>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</si>
  <si>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</si>
  <si>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</si>
  <si>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</si>
  <si>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</si>
  <si>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</si>
  <si>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</si>
  <si>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</si>
  <si>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</si>
  <si>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</si>
  <si>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</si>
  <si>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</si>
  <si>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</si>
  <si>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</si>
  <si>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</si>
  <si>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</si>
  <si>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</si>
  <si>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</si>
  <si>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</si>
  <si>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</si>
  <si>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</si>
  <si>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</si>
  <si>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</si>
  <si>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</si>
  <si>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</si>
  <si>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</si>
  <si>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</si>
  <si>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</si>
  <si>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</si>
  <si>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</si>
  <si>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</si>
  <si>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</si>
  <si>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</si>
  <si>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</si>
  <si>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</si>
  <si>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</si>
  <si>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</si>
  <si>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</si>
  <si>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</si>
  <si>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</si>
  <si>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</si>
  <si>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</si>
  <si>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</si>
  <si>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</si>
  <si>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</si>
  <si>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</si>
  <si>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</si>
  <si>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</si>
  <si>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</si>
  <si>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</si>
  <si>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</si>
  <si>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</si>
  <si>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</si>
  <si>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</si>
  <si>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</si>
  <si>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</si>
  <si>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</si>
  <si>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</si>
  <si>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</si>
  <si>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</si>
  <si>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</si>
  <si>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</si>
  <si>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</si>
  <si>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</si>
  <si>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</si>
  <si>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</si>
  <si>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</si>
  <si>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</si>
  <si>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</si>
  <si>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</si>
  <si>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</si>
  <si>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</si>
  <si>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</si>
  <si>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</si>
  <si>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</si>
  <si>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</si>
  <si>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</si>
  <si>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</si>
  <si>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</si>
  <si>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</si>
  <si>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</si>
  <si>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</si>
  <si>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</si>
  <si>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</si>
  <si>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</si>
  <si>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</si>
  <si>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</si>
  <si>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</si>
  <si>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</si>
  <si>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</si>
  <si>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</si>
  <si>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</si>
  <si>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</si>
  <si>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</si>
  <si>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</si>
  <si>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</si>
  <si>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</si>
  <si>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</si>
  <si>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</si>
  <si>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</si>
  <si>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</si>
  <si>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</si>
  <si>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</si>
  <si>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</si>
  <si>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</si>
  <si>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</si>
  <si>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</si>
  <si>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</si>
  <si>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</si>
  <si>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</si>
  <si>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</si>
  <si>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</si>
  <si>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</si>
  <si>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</si>
  <si>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</si>
  <si>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</si>
  <si>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</si>
  <si>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</si>
  <si>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</si>
  <si>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</si>
  <si>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</si>
  <si>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</si>
  <si>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</si>
  <si>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</si>
  <si>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</si>
  <si>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</si>
  <si>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</si>
  <si>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</si>
  <si>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</si>
  <si>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</si>
  <si>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</si>
  <si>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</si>
  <si>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</si>
  <si>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</si>
  <si>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</si>
  <si>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</si>
  <si>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</si>
  <si>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</si>
  <si>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</si>
  <si>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</si>
  <si>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</si>
  <si>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</si>
  <si>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</si>
  <si>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</si>
  <si>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</si>
  <si>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</si>
  <si>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</si>
  <si>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</si>
  <si>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</si>
  <si>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</si>
  <si>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</si>
  <si>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</si>
  <si>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</si>
  <si>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</si>
  <si>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</si>
  <si>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</si>
  <si>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</si>
  <si>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</si>
  <si>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</si>
  <si>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</si>
  <si>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</si>
  <si>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</si>
  <si>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</si>
  <si>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</si>
  <si>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</si>
  <si>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</si>
  <si>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</si>
  <si>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</si>
  <si>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</si>
  <si>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</si>
  <si>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</si>
  <si>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</si>
  <si>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</si>
  <si>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</si>
  <si>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</si>
  <si>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</si>
  <si>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</si>
  <si>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</si>
  <si>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</si>
  <si>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</si>
  <si>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</si>
  <si>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</si>
  <si>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</si>
  <si>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</si>
  <si>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</si>
  <si>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</si>
  <si>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</si>
  <si>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</si>
  <si>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</si>
  <si>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</si>
  <si>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</si>
  <si>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</si>
  <si>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</si>
  <si>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</si>
  <si>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</si>
  <si>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</si>
  <si>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</si>
  <si>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</si>
  <si>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</si>
  <si>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</si>
  <si>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</si>
  <si>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</si>
  <si>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</si>
  <si>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</si>
  <si>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</si>
  <si>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</si>
  <si>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</si>
  <si>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</si>
  <si>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</si>
  <si>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</si>
  <si>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</si>
  <si>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</si>
  <si>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</si>
  <si>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</si>
  <si>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</si>
  <si>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</si>
  <si>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</si>
  <si>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</si>
  <si>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</si>
  <si>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</si>
  <si>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</si>
  <si>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</si>
  <si>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</si>
  <si>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</si>
  <si>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</si>
  <si>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</si>
  <si>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</si>
  <si>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</si>
  <si>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</si>
  <si>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</si>
  <si>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</si>
  <si>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</si>
  <si>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</si>
  <si>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</si>
  <si>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</si>
  <si>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</si>
  <si>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</si>
  <si>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</si>
  <si>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</si>
  <si>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</si>
  <si>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</si>
  <si>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</si>
  <si>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</si>
  <si>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</si>
  <si>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</si>
  <si>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</si>
  <si>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</si>
  <si>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</si>
  <si>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</si>
  <si>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</si>
  <si>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</si>
  <si>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</si>
  <si>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</si>
  <si>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</si>
  <si>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</si>
  <si>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</si>
  <si>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</si>
  <si>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</si>
  <si>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</si>
  <si>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</si>
  <si>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</si>
  <si>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</si>
  <si>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</si>
  <si>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</si>
  <si>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</si>
  <si>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</si>
  <si>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</si>
  <si>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</si>
  <si>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</si>
  <si>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</si>
  <si>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</si>
  <si>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</si>
  <si>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</si>
  <si>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</si>
  <si>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</si>
  <si>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</si>
  <si>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</si>
  <si>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</si>
  <si>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</si>
  <si>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</si>
  <si>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</si>
  <si>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</si>
  <si>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</si>
  <si>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</si>
  <si>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</si>
  <si>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</si>
  <si>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</si>
  <si>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</si>
  <si>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</si>
  <si>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</si>
  <si>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</si>
  <si>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</si>
  <si>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</si>
  <si>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</si>
  <si>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</si>
  <si>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</si>
  <si>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</si>
  <si>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</si>
  <si>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</si>
  <si>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</si>
  <si>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</si>
  <si>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</si>
  <si>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</si>
  <si>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</si>
  <si>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</si>
  <si>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</si>
  <si>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</si>
  <si>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</si>
  <si>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</si>
  <si>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</si>
  <si>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</si>
  <si>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</si>
  <si>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</si>
  <si>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</si>
  <si>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</si>
  <si>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</si>
  <si>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</si>
  <si>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</si>
  <si>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</si>
  <si>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</si>
  <si>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</si>
  <si>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</si>
  <si>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</si>
  <si>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</si>
  <si>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</si>
  <si>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</si>
  <si>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</si>
  <si>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</si>
  <si>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</si>
  <si>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</si>
  <si>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</si>
  <si>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</si>
  <si>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</si>
  <si>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</si>
  <si>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</si>
  <si>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</si>
  <si>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</si>
  <si>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</si>
  <si>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</si>
  <si>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</si>
  <si>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</si>
  <si>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</si>
  <si>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</si>
  <si>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</si>
  <si>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</si>
  <si>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</si>
  <si>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</si>
  <si>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</si>
  <si>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</si>
  <si>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</si>
  <si>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</si>
  <si>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</si>
  <si>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</si>
  <si>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</si>
  <si>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</si>
  <si>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</si>
  <si>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</si>
  <si>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</si>
  <si>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</si>
  <si>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</si>
  <si>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</si>
  <si>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</si>
  <si>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</si>
  <si>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</si>
  <si>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</si>
  <si>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</si>
  <si>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</si>
  <si>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</si>
  <si>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</si>
  <si>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</si>
  <si>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</si>
  <si>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</si>
  <si>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</si>
  <si>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</si>
  <si>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</si>
  <si>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</si>
  <si>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</si>
  <si>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</si>
  <si>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</si>
  <si>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</si>
  <si>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</si>
  <si>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</si>
  <si>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</si>
  <si>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</si>
  <si>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</si>
  <si>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</si>
  <si>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</si>
  <si>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</si>
  <si>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</si>
  <si>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</si>
  <si>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</si>
  <si>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</si>
  <si>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</si>
  <si>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</si>
  <si>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</si>
  <si>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</si>
  <si>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</si>
  <si>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</si>
  <si>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</si>
  <si>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</si>
  <si>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</si>
  <si>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</si>
  <si>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</si>
  <si>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</si>
  <si>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</si>
  <si>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</si>
  <si>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</si>
  <si>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</si>
  <si>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</si>
  <si>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</si>
  <si>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</si>
  <si>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</si>
  <si>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</si>
  <si>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</si>
  <si>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</si>
  <si>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</si>
  <si>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</si>
  <si>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</si>
  <si>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</si>
  <si>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</si>
  <si>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</si>
  <si>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</si>
  <si>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</si>
  <si>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</si>
  <si>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</si>
  <si>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</si>
  <si>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</si>
  <si>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</si>
  <si>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</si>
  <si>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</si>
  <si>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</si>
  <si>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</si>
  <si>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</si>
  <si>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</si>
  <si>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</si>
  <si>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</si>
  <si>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</si>
  <si>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</si>
  <si>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</si>
  <si>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</si>
  <si>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</si>
  <si>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</si>
  <si>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</si>
  <si>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</si>
  <si>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</si>
  <si>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</si>
  <si>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</si>
  <si>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</si>
  <si>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</si>
  <si>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</si>
  <si>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</si>
  <si>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</si>
  <si>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</si>
  <si>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</si>
  <si>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</si>
  <si>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</si>
  <si>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</si>
  <si>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</si>
  <si>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</si>
  <si>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</si>
  <si>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</si>
  <si>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</si>
  <si>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</si>
  <si>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</si>
  <si>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</si>
  <si>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</si>
  <si>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</si>
  <si>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</si>
  <si>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</si>
  <si>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</si>
  <si>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</si>
  <si>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</si>
  <si>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</si>
  <si>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</si>
  <si>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</si>
  <si>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</si>
  <si>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</si>
  <si>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</si>
  <si>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</si>
  <si>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</si>
  <si>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</si>
  <si>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</si>
  <si>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</si>
  <si>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</si>
  <si>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</si>
  <si>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</si>
  <si>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</si>
  <si>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</si>
  <si>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</si>
  <si>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</si>
  <si>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</si>
  <si>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</si>
  <si>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</si>
  <si>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</si>
  <si>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</si>
  <si>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</si>
  <si>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</si>
  <si>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</si>
  <si>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</si>
  <si>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</si>
  <si>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</si>
  <si>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</si>
  <si>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</si>
  <si>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</si>
  <si>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</si>
  <si>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</si>
  <si>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</si>
  <si>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</si>
  <si>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</si>
  <si>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</si>
  <si>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</si>
  <si>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</si>
  <si>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</si>
  <si>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</si>
  <si>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</si>
  <si>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</si>
  <si>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</si>
  <si>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</si>
  <si>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</si>
  <si>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</si>
  <si>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</si>
  <si>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</si>
  <si>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</si>
  <si>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</si>
  <si>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</si>
  <si>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</si>
  <si>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</si>
  <si>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</si>
  <si>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</si>
  <si>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</si>
  <si>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</si>
  <si>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</si>
  <si>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</si>
  <si>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</si>
  <si>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</si>
  <si>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</si>
  <si>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</si>
  <si>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</si>
  <si>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</si>
  <si>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</si>
  <si>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</si>
  <si>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</si>
  <si>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</si>
  <si>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</si>
  <si>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</si>
  <si>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</si>
  <si>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</si>
  <si>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</si>
  <si>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</si>
  <si>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</si>
  <si>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</si>
  <si>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</si>
  <si>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</si>
  <si>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</si>
  <si>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</si>
  <si>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</si>
  <si>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</si>
  <si>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</si>
  <si>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</si>
  <si>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</si>
  <si>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</si>
  <si>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</si>
  <si>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</si>
  <si>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</si>
  <si>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</si>
  <si>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</si>
  <si>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</si>
  <si>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</si>
  <si>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</si>
  <si>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</si>
  <si>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</si>
  <si>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</si>
  <si>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</si>
  <si>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</si>
  <si>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</si>
  <si>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</si>
  <si>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</si>
  <si>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</si>
  <si>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</si>
  <si>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</si>
  <si>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</si>
  <si>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</si>
  <si>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</si>
  <si>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</si>
  <si>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</si>
  <si>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</si>
  <si>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</si>
  <si>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</si>
  <si>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</si>
  <si>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</si>
  <si>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</si>
  <si>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</si>
  <si>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</si>
  <si>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</si>
  <si>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</si>
  <si>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</si>
  <si>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</si>
  <si>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</si>
  <si>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</si>
  <si>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</si>
  <si>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</si>
  <si>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</si>
  <si>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</si>
  <si>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</si>
  <si>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</si>
  <si>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</si>
  <si>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</si>
  <si>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</si>
  <si>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</si>
  <si>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</si>
  <si>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</si>
  <si>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</si>
  <si>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</si>
  <si>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</si>
  <si>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</si>
  <si>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</si>
  <si>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</si>
  <si>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</si>
  <si>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</si>
  <si>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</si>
  <si>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</si>
  <si>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</si>
  <si>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</si>
  <si>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</si>
  <si>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</si>
  <si>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</si>
  <si>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</si>
  <si>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</si>
  <si>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</si>
  <si>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</si>
  <si>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</si>
  <si>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</si>
  <si>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</si>
  <si>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</si>
  <si>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</si>
  <si>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</si>
  <si>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</si>
  <si>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</si>
  <si>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</si>
  <si>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</si>
  <si>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</si>
  <si>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</si>
  <si>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</si>
  <si>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</si>
  <si>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</si>
  <si>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</si>
  <si>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</si>
  <si>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</si>
  <si>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</si>
  <si>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</si>
  <si>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</si>
  <si>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</si>
  <si>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</si>
  <si>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</si>
  <si>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</si>
  <si>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</si>
  <si>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</si>
  <si>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</si>
  <si>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</si>
  <si>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</si>
  <si>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</si>
  <si>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</si>
  <si>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</si>
  <si>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</si>
  <si>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</si>
  <si>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</si>
  <si>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</si>
  <si>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</si>
  <si>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</si>
  <si>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</si>
  <si>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</si>
  <si>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</si>
  <si>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</si>
  <si>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</si>
  <si>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</si>
  <si>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</si>
  <si>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</si>
  <si>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</si>
  <si>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</si>
  <si>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</si>
  <si>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</si>
  <si>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</si>
  <si>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</si>
  <si>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</si>
  <si>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</si>
  <si>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</si>
  <si>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</si>
  <si>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</si>
  <si>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</si>
  <si>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</si>
  <si>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</si>
  <si>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</si>
  <si>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</si>
  <si>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</si>
  <si>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</si>
  <si>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</si>
  <si>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</si>
  <si>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</si>
  <si>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</si>
  <si>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</si>
  <si>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</si>
  <si>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</si>
  <si>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</si>
  <si>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</si>
  <si>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</si>
  <si>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</si>
  <si>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</si>
  <si>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</si>
  <si>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</si>
  <si>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</si>
  <si>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</si>
  <si>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</si>
  <si>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</si>
  <si>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</si>
  <si>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</si>
  <si>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</si>
  <si>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</si>
  <si>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</si>
  <si>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</si>
  <si>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</si>
  <si>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</si>
  <si>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</si>
  <si>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</si>
  <si>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</si>
  <si>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</si>
  <si>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</si>
  <si>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</si>
  <si>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</si>
  <si>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</si>
  <si>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</si>
  <si>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</si>
  <si>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</si>
  <si>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</si>
  <si>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</si>
  <si>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</si>
  <si>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</si>
  <si>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</si>
  <si>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</si>
  <si>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</si>
  <si>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</si>
  <si>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</si>
  <si>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</si>
  <si>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</si>
  <si>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</si>
  <si>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</si>
  <si>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</si>
  <si>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</si>
  <si>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</si>
  <si>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</si>
  <si>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</si>
  <si>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</si>
  <si>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</si>
  <si>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</si>
  <si>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</si>
  <si>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</si>
  <si>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</si>
  <si>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</si>
  <si>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</si>
  <si>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</si>
  <si>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</si>
  <si>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</si>
  <si>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</si>
  <si>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</si>
  <si>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</si>
  <si>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</si>
  <si>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</si>
  <si>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</si>
  <si>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</si>
  <si>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</si>
  <si>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</si>
  <si>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</si>
  <si>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</si>
  <si>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</si>
  <si>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</si>
  <si>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</si>
  <si>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</si>
  <si>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</si>
  <si>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</si>
  <si>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</si>
  <si>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</si>
  <si>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</si>
  <si>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</si>
  <si>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</si>
  <si>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</si>
  <si>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</si>
  <si>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</si>
  <si>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</si>
  <si>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</si>
  <si>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</si>
  <si>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</si>
  <si>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</si>
  <si>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</si>
  <si>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</si>
  <si>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</si>
  <si>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</si>
  <si>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</si>
  <si>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</si>
  <si>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</si>
  <si>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</si>
  <si>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</si>
  <si>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</si>
  <si>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</si>
  <si>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</si>
  <si>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</si>
  <si>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</si>
  <si>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</si>
  <si>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</si>
  <si>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</si>
  <si>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</si>
  <si>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</si>
  <si>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</si>
  <si>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</si>
  <si>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</si>
  <si>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</si>
  <si>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</si>
  <si>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</si>
  <si>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</si>
  <si>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</si>
  <si>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</si>
  <si>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</si>
  <si>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</si>
  <si>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</si>
  <si>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</si>
  <si>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</si>
  <si>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</si>
  <si>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</si>
  <si>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</si>
  <si>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</si>
  <si>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</si>
  <si>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</si>
  <si>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</si>
  <si>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</si>
  <si>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</si>
  <si>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</si>
  <si>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</si>
  <si>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</si>
  <si>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</si>
  <si>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</si>
  <si>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</si>
  <si>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</si>
  <si>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</si>
  <si>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</si>
  <si>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</si>
  <si>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</si>
  <si>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</si>
  <si>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</si>
  <si>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</si>
  <si>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</si>
  <si>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</si>
  <si>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</si>
  <si>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</si>
  <si>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</si>
  <si>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</si>
  <si>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</si>
  <si>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</si>
  <si>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</si>
  <si>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</si>
  <si>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</si>
  <si>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</si>
  <si>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</si>
  <si>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</si>
  <si>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</si>
  <si>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</si>
  <si>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</si>
  <si>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</si>
  <si>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</si>
  <si>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</si>
  <si>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</si>
  <si>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</si>
  <si>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</si>
  <si>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</si>
  <si>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</si>
  <si>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</si>
  <si>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</si>
  <si>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</si>
  <si>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</si>
  <si>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</si>
  <si>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</si>
  <si>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</si>
  <si>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</si>
  <si>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</si>
  <si>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</si>
  <si>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</si>
  <si>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</si>
  <si>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OPN-11822</t>
  </si>
  <si>
    <t>OPN-11882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</si>
  <si>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</si>
  <si>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</si>
  <si>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</si>
  <si>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</si>
  <si>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</si>
  <si>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</si>
  <si>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</si>
  <si>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</si>
  <si>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</si>
  <si>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</si>
  <si>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</si>
  <si>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</si>
  <si>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</si>
  <si>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</si>
  <si>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</si>
  <si>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</si>
  <si>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</si>
  <si>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</si>
  <si>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30/45/60 días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</si>
  <si>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</si>
  <si>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</si>
  <si>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</si>
  <si>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</si>
  <si>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</si>
  <si>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</si>
  <si>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</si>
  <si>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</si>
  <si>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</si>
  <si>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</si>
  <si>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</si>
  <si>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</si>
  <si>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</si>
  <si>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</si>
  <si>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</si>
  <si>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</si>
  <si>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</si>
  <si>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</si>
  <si>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</si>
  <si>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</si>
  <si>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</si>
  <si>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</si>
  <si>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</si>
  <si>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</si>
  <si>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</si>
  <si>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</si>
  <si>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</si>
  <si>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</si>
  <si>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</si>
  <si>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</si>
  <si>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</si>
  <si>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</si>
  <si>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</si>
  <si>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</si>
  <si>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</si>
  <si>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</si>
  <si>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</si>
  <si>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</si>
  <si>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</si>
  <si>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</si>
  <si>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</si>
  <si>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</si>
  <si>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</si>
  <si>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</si>
  <si>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</si>
  <si>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</si>
  <si>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</si>
  <si>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</si>
  <si>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</si>
  <si>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</si>
  <si>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</si>
  <si>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</si>
  <si>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</si>
  <si>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</si>
  <si>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</si>
  <si>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</si>
  <si>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</si>
  <si>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</si>
  <si>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</si>
  <si>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</si>
  <si>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</si>
  <si>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</si>
  <si>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</si>
  <si>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</si>
  <si>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</si>
  <si>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</si>
  <si>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</si>
  <si>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</si>
  <si>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</si>
  <si>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</si>
  <si>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</si>
  <si>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</si>
  <si>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</si>
  <si>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</si>
  <si>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</si>
  <si>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</si>
  <si>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</si>
  <si>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</si>
  <si>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</si>
  <si>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</si>
  <si>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</si>
  <si>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</si>
  <si>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</si>
  <si>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</si>
  <si>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</si>
  <si>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</si>
  <si>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</si>
  <si>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</si>
  <si>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2026-25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</si>
  <si>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</si>
  <si>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</si>
  <si>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</si>
  <si>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</si>
  <si>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</si>
  <si>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</si>
  <si>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Pimiento - insumos pasta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</si>
  <si>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</si>
  <si>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</si>
  <si>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</si>
  <si>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</si>
  <si>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</si>
  <si>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</si>
  <si>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</si>
  <si>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</si>
  <si>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</si>
  <si>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</si>
  <si>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</si>
  <si>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</si>
  <si>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</si>
  <si>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</si>
  <si>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</si>
  <si>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</si>
  <si>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</si>
  <si>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</si>
  <si>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</si>
  <si>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</si>
  <si>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</si>
  <si>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</si>
  <si>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</si>
  <si>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</si>
  <si>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</si>
  <si>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</si>
  <si>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</si>
  <si>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</si>
  <si>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</si>
  <si>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</si>
  <si>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</si>
  <si>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</si>
  <si>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</si>
  <si>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</si>
  <si>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</si>
  <si>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</si>
  <si>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Total Pagado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</si>
  <si>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</si>
  <si>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</si>
  <si>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</si>
  <si>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</si>
  <si>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</si>
  <si>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</si>
  <si>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</si>
  <si>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</si>
  <si>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</si>
  <si>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</si>
  <si>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</si>
  <si>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</si>
  <si>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</si>
  <si>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</si>
  <si>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</si>
  <si>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</si>
  <si>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</si>
  <si>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</si>
  <si>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</si>
  <si>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</si>
  <si>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</si>
  <si>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</si>
  <si>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</si>
  <si>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</si>
  <si>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</si>
  <si>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</si>
  <si>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</si>
  <si>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</si>
  <si>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</si>
  <si>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</si>
  <si>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</si>
  <si>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</si>
  <si>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</si>
  <si>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</si>
  <si>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</si>
  <si>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</si>
  <si>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</si>
  <si>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</si>
  <si>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</si>
  <si>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</si>
  <si>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</si>
  <si>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</si>
  <si>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</si>
  <si>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</si>
  <si>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</si>
  <si>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</si>
  <si>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</si>
  <si>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</si>
  <si>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</si>
  <si>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</si>
  <si>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</si>
  <si>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</si>
  <si>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</si>
  <si>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</si>
  <si>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</si>
  <si>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</si>
  <si>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</si>
  <si>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</si>
  <si>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</si>
  <si>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</si>
  <si>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</si>
  <si>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</si>
  <si>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</si>
  <si>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</si>
  <si>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</si>
  <si>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</si>
  <si>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</si>
  <si>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</si>
  <si>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</si>
  <si>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</si>
  <si>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</si>
  <si>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</si>
  <si>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</si>
  <si>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</si>
  <si>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</si>
  <si>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</si>
  <si>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</si>
  <si>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</si>
  <si>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</si>
  <si>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</si>
  <si>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</si>
  <si>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</si>
  <si>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</si>
  <si>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</si>
  <si>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</si>
  <si>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</si>
  <si>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</si>
  <si>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</si>
  <si>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</si>
  <si>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</si>
  <si>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</si>
  <si>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</si>
  <si>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</si>
  <si>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</si>
  <si>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</si>
  <si>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</si>
  <si>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</si>
  <si>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</si>
  <si>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</si>
  <si>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</si>
  <si>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</si>
  <si>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</si>
  <si>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</si>
  <si>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</si>
  <si>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</si>
  <si>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</si>
  <si>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</si>
  <si>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</si>
  <si>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>OPN-12008</t>
  </si>
  <si>
    <t>OPN-12007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</si>
  <si>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</si>
  <si>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</si>
  <si>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</si>
  <si>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</si>
  <si>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</si>
  <si>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</si>
  <si>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</si>
  <si>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</si>
  <si>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</si>
  <si>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</si>
  <si>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</si>
  <si>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</si>
  <si>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E100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</si>
  <si>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</si>
  <si>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</si>
  <si>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</si>
  <si>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</si>
  <si>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</si>
  <si>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</si>
  <si>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</si>
  <si>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</si>
  <si>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</si>
  <si>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</si>
  <si>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</si>
  <si>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</si>
  <si>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</si>
  <si>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</si>
  <si>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</si>
  <si>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</si>
  <si>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</si>
  <si>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</si>
  <si>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</si>
  <si>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</si>
  <si>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</si>
  <si>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</si>
  <si>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</si>
  <si>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</si>
  <si>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</si>
  <si>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</si>
  <si>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</si>
  <si>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</si>
  <si>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</si>
  <si>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</si>
  <si>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</si>
  <si>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</si>
  <si>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</si>
  <si>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</si>
  <si>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</si>
  <si>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</si>
  <si>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</si>
  <si>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</si>
  <si>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</si>
  <si>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</si>
  <si>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</si>
  <si>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</si>
  <si>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</si>
  <si>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</si>
  <si>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</si>
  <si>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</si>
  <si>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</si>
  <si>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</si>
  <si>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</si>
  <si>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</si>
  <si>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</si>
  <si>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</si>
  <si>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</si>
  <si>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</si>
  <si>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</si>
  <si>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</si>
  <si>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</si>
  <si>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</si>
  <si>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</si>
  <si>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</si>
  <si>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</si>
  <si>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</si>
  <si>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</si>
  <si>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</si>
  <si>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</si>
  <si>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</si>
  <si>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</si>
  <si>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</si>
  <si>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</si>
  <si>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</si>
  <si>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</si>
  <si>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</si>
  <si>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</si>
  <si>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</si>
  <si>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</si>
  <si>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</si>
  <si>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</si>
  <si>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</si>
  <si>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</si>
  <si>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</si>
  <si>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</si>
  <si>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</si>
  <si>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</si>
  <si>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</si>
  <si>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</si>
  <si>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</si>
  <si>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</si>
  <si>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</si>
  <si>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</si>
  <si>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</si>
  <si>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</si>
  <si>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</si>
  <si>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</si>
  <si>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</si>
  <si>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</si>
  <si>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</si>
  <si>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</si>
  <si>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</si>
  <si>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</si>
  <si>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</si>
  <si>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</si>
  <si>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</si>
  <si>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</si>
  <si>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</si>
  <si>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</si>
  <si>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</si>
  <si>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</si>
  <si>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</si>
  <si>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</si>
  <si>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</si>
  <si>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</si>
  <si>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</si>
  <si>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</si>
  <si>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</si>
  <si>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</si>
  <si>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</si>
  <si>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</si>
  <si>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</si>
  <si>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</si>
  <si>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</si>
  <si>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</si>
  <si>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</si>
  <si>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</si>
  <si>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</si>
  <si>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</si>
  <si>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</si>
  <si>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</si>
  <si>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</si>
  <si>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</si>
  <si>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</si>
  <si>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</si>
  <si>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</si>
  <si>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</si>
  <si>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</si>
  <si>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</si>
  <si>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</si>
  <si>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</si>
  <si>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</si>
  <si>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</si>
  <si>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</si>
  <si>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</si>
  <si>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</si>
  <si>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</si>
  <si>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</si>
  <si>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</si>
  <si>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</si>
  <si>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</si>
  <si>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</si>
  <si>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</si>
  <si>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</si>
  <si>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</si>
  <si>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</si>
  <si>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</si>
  <si>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</si>
  <si>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</si>
  <si>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</si>
  <si>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</si>
  <si>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</si>
  <si>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</si>
  <si>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</si>
  <si>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</si>
  <si>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</si>
  <si>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</si>
  <si>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</si>
  <si>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</si>
  <si>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</si>
  <si>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</si>
  <si>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</si>
  <si>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</si>
  <si>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</si>
  <si>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</si>
  <si>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</si>
  <si>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</si>
  <si>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</si>
  <si>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</si>
  <si>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</si>
  <si>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</si>
  <si>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</si>
  <si>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</si>
  <si>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</si>
  <si>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</si>
  <si>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</si>
  <si>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</si>
  <si>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</si>
  <si>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</si>
  <si>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</si>
  <si>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</si>
  <si>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</si>
  <si>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</si>
  <si>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</si>
  <si>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</si>
  <si>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</si>
  <si>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</si>
  <si>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</si>
  <si>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</si>
  <si>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</si>
  <si>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</si>
  <si>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</si>
  <si>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</si>
  <si>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</si>
  <si>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</si>
  <si>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</si>
  <si>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</si>
  <si>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</si>
  <si>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</si>
  <si>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</si>
  <si>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</si>
  <si>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</si>
  <si>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</si>
  <si>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</si>
  <si>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</si>
  <si>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</si>
  <si>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</si>
  <si>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</si>
  <si>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</si>
  <si>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</si>
  <si>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</si>
  <si>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</si>
  <si>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</si>
  <si>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</si>
  <si>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</si>
  <si>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</si>
  <si>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</si>
  <si>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</si>
  <si>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</si>
  <si>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</si>
  <si>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</si>
  <si>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</si>
  <si>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</si>
  <si>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</si>
  <si>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</si>
  <si>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</si>
  <si>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</si>
  <si>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</si>
  <si>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</si>
  <si>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</si>
  <si>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</si>
  <si>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</si>
  <si>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</si>
  <si>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</si>
  <si>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</si>
  <si>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</si>
  <si>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</si>
  <si>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</si>
  <si>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</si>
  <si>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</si>
  <si>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</si>
  <si>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</si>
  <si>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</si>
  <si>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</si>
  <si>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</si>
  <si>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</si>
  <si>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</si>
  <si>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</si>
  <si>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</si>
  <si>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</si>
  <si>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</si>
  <si>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</si>
  <si>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Compras campo</t>
  </si>
  <si>
    <t>OPN-12232</t>
  </si>
  <si>
    <t>OPN-12234</t>
  </si>
  <si>
    <t>OPN-12235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</si>
  <si>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</si>
  <si>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</si>
  <si>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</si>
  <si>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</si>
  <si>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</si>
  <si>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</si>
  <si>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</si>
  <si>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</si>
  <si>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</si>
  <si>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</si>
  <si>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</si>
  <si>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</si>
  <si>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</si>
  <si>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</si>
  <si>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</si>
  <si>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</si>
  <si>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</si>
  <si>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</si>
  <si>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</si>
  <si>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</si>
  <si>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</si>
  <si>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</si>
  <si>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</si>
  <si>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</si>
  <si>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</si>
  <si>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</si>
  <si>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</si>
  <si>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</si>
  <si>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</si>
  <si>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</si>
  <si>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</si>
  <si>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</si>
  <si>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</si>
  <si>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</si>
  <si>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</si>
  <si>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</si>
  <si>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</si>
  <si>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</si>
  <si>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</si>
  <si>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</si>
  <si>
    <t>Total 2026-31</t>
  </si>
  <si>
    <t>Deuda Carrasco Samuel Vicente - Inoperativa</t>
  </si>
  <si>
    <t>Deuda Tecnica de Samuel Carrasco SAS - Operativa</t>
  </si>
  <si>
    <t>Reposición de cheque rechasado -Carrasco Samuel Vicente</t>
  </si>
  <si>
    <t>Che Carai Maderas</t>
  </si>
  <si>
    <t>Recambio Postes - cuadros pasa de uva</t>
  </si>
  <si>
    <t>Autorep SRL</t>
  </si>
  <si>
    <t>Repuesto Chevrolet S10 -  Manguera rurbo</t>
  </si>
  <si>
    <t>OPN-12272</t>
  </si>
  <si>
    <t>Cajas de pasas sin impresión</t>
  </si>
  <si>
    <t>Etiquetas Vino</t>
  </si>
  <si>
    <t>OPN-12274</t>
  </si>
  <si>
    <t>Analisis Ocratoxina - Pasas de Uva</t>
  </si>
  <si>
    <t>OPN-12273</t>
  </si>
  <si>
    <t>OPN-12270</t>
  </si>
  <si>
    <t>OPN-12269</t>
  </si>
  <si>
    <t>OPN-12251</t>
  </si>
  <si>
    <t>OPN-12275</t>
  </si>
  <si>
    <t xml:space="preserve"> Honorarios 6-2026</t>
  </si>
  <si>
    <t>Pedidos Bruno - Fina Lolita</t>
  </si>
  <si>
    <t>OPN-12276</t>
  </si>
  <si>
    <t>Industrias Dica SRL</t>
  </si>
  <si>
    <t>Manguera sanitaria 1"</t>
  </si>
  <si>
    <t>OPN-12277</t>
  </si>
  <si>
    <t>3 Motos Keller 150 Miracle</t>
  </si>
  <si>
    <t>Led Lab Sapen</t>
  </si>
  <si>
    <t>Fletes campaña 2026</t>
  </si>
  <si>
    <t>31</t>
  </si>
  <si>
    <t>OPN-12279</t>
  </si>
  <si>
    <t>OPN-12281</t>
  </si>
  <si>
    <t>Servicio de energia Periodo 6</t>
  </si>
  <si>
    <t>Reparacion tractor NH</t>
  </si>
  <si>
    <t>Coe</t>
  </si>
  <si>
    <t>Toyota blanca 2.8</t>
  </si>
  <si>
    <t>OPN-7566</t>
  </si>
  <si>
    <t>Reparación Tractor  John Deere (caja) - Saldo</t>
  </si>
  <si>
    <t>Servicion Medicos}</t>
  </si>
  <si>
    <t>Aguero Sebastian A.</t>
  </si>
  <si>
    <t>OPN-7568</t>
  </si>
  <si>
    <t>Saldo a favor 901694.84</t>
  </si>
  <si>
    <t>OPN-12282</t>
  </si>
  <si>
    <t>Rementeria Cristian</t>
  </si>
  <si>
    <t>Fincas Riojanas</t>
  </si>
  <si>
    <t>Pirimpex SRL</t>
  </si>
  <si>
    <t>Servicio de ventas</t>
  </si>
  <si>
    <t>Deuda Fruta 26</t>
  </si>
  <si>
    <t>Deuda Fruta 25</t>
  </si>
  <si>
    <t>Bomba de freno autoelevador Lonking</t>
  </si>
  <si>
    <t>OPN-12288</t>
  </si>
  <si>
    <t>OPN-12286</t>
  </si>
  <si>
    <t>OPN-12287</t>
  </si>
  <si>
    <t>OPN-12284</t>
  </si>
  <si>
    <t>Regalo - MM</t>
  </si>
  <si>
    <t>OPN-12293</t>
  </si>
  <si>
    <t>OPN-12292</t>
  </si>
  <si>
    <t>Granja del Valle</t>
  </si>
  <si>
    <t>OPN-12296</t>
  </si>
  <si>
    <t>OPN-7584</t>
  </si>
  <si>
    <t>OPN-12300</t>
  </si>
  <si>
    <t>OPN-12299</t>
  </si>
  <si>
    <t>Alojamiento Coita Luis</t>
  </si>
  <si>
    <t>OPN-12298</t>
  </si>
  <si>
    <t>OPN-12294</t>
  </si>
  <si>
    <t>Rele trifsico - Pedido campo</t>
  </si>
  <si>
    <t>OPN-12283</t>
  </si>
  <si>
    <t>Pircas</t>
  </si>
  <si>
    <t>OPN-7604</t>
  </si>
  <si>
    <t>OPN-7600</t>
  </si>
  <si>
    <t>Gette Carlos Alberto</t>
  </si>
  <si>
    <t>Trabajo Casa L Herrera</t>
  </si>
  <si>
    <t>OPN-7569</t>
  </si>
  <si>
    <t>OPN-7601</t>
  </si>
  <si>
    <t>OPN-7608</t>
  </si>
  <si>
    <t>OPN-7607</t>
  </si>
  <si>
    <t>OPN-7605</t>
  </si>
  <si>
    <t>OPN-7606</t>
  </si>
  <si>
    <t>OPN-7602</t>
  </si>
  <si>
    <t>Reus</t>
  </si>
  <si>
    <t>Ramos</t>
  </si>
  <si>
    <t>OPN-7603</t>
  </si>
  <si>
    <t>2026-32</t>
  </si>
  <si>
    <t>Semana 32</t>
  </si>
  <si>
    <t>OPN-12304</t>
  </si>
  <si>
    <t>OPN-12306</t>
  </si>
  <si>
    <t>OPN-12308</t>
  </si>
  <si>
    <t>OPN-12307</t>
  </si>
  <si>
    <t>Pedido materiales montacarga Cava</t>
  </si>
  <si>
    <t>OPN-12313</t>
  </si>
  <si>
    <t>Azucar para dulce de membirillo</t>
  </si>
  <si>
    <t>OPN-12317</t>
  </si>
  <si>
    <t>OPN-12316</t>
  </si>
  <si>
    <t>OPN-12315</t>
  </si>
  <si>
    <t>OPN-12314</t>
  </si>
  <si>
    <t>Ruleman + retenes - Jeep Julio</t>
  </si>
  <si>
    <t>Troncozo Diego</t>
  </si>
  <si>
    <t>Construcción pozo negro casa L herrera</t>
  </si>
  <si>
    <t>Total 2026-32</t>
  </si>
  <si>
    <t>Total Semana 32</t>
  </si>
  <si>
    <t>32</t>
  </si>
  <si>
    <t>Construcción pozo negro casa L. Herrera</t>
  </si>
  <si>
    <t>Gasoil - Campo</t>
  </si>
  <si>
    <t>OPN-12319</t>
  </si>
  <si>
    <t>OPN-12320</t>
  </si>
  <si>
    <t>Compras sin facturas V2 - Pedidos casa Doc.</t>
  </si>
  <si>
    <t>OPN-7610</t>
  </si>
  <si>
    <t>OPN-12305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</si>
</sst>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8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</cellStyleXfs>
  <cellXfs count="103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17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Fill="1"/>
    <xf numFmtId="168" fontId="0" fillId="0" borderId="0" xfId="0" applyNumberFormat="1" applyFill="1"/>
    <xf numFmtId="1" fontId="0" fillId="0" borderId="0" xfId="0" applyNumberFormat="1" applyFill="1" applyAlignment="1">
      <alignment horizontal="center"/>
    </xf>
    <xf numFmtId="0" fontId="0" fillId="0" borderId="0" xfId="0" applyNumberFormat="1"/>
  </cellXfs>
  <cellStyles count="8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</cellStyles>
  <dxfs count="1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22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2359603</xdr:colOff>
      <xdr:row>6</xdr:row>
      <xdr:rowOff>188047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B69630B-EBE7-6D5D-AA2E-6074A9572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73977" y="0"/>
          <a:ext cx="2359603" cy="13570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524556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114974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23</xdr:col>
      <xdr:colOff>667421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23</xdr:col>
      <xdr:colOff>647700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26</xdr:col>
      <xdr:colOff>29373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143674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24</xdr:col>
      <xdr:colOff>95250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410383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24</xdr:col>
      <xdr:colOff>57945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277021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  <xdr:twoCellAnchor editAs="oneCell">
    <xdr:from>
      <xdr:col>16</xdr:col>
      <xdr:colOff>752475</xdr:colOff>
      <xdr:row>494</xdr:row>
      <xdr:rowOff>76200</xdr:rowOff>
    </xdr:from>
    <xdr:to>
      <xdr:col>24</xdr:col>
      <xdr:colOff>438957</xdr:colOff>
      <xdr:row>509</xdr:row>
      <xdr:rowOff>85975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CDF2E39-4F5D-5DDE-91F8-A6F357827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934450" y="55216425"/>
          <a:ext cx="5782482" cy="17909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522</xdr:row>
      <xdr:rowOff>0</xdr:rowOff>
    </xdr:from>
    <xdr:to>
      <xdr:col>24</xdr:col>
      <xdr:colOff>105534</xdr:colOff>
      <xdr:row>534</xdr:row>
      <xdr:rowOff>133502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79B2344B-7AAD-F29A-BA4C-DEFE4C66D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43975" y="59283600"/>
          <a:ext cx="5439534" cy="108600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162281</xdr:colOff>
      <xdr:row>0</xdr:row>
      <xdr:rowOff>179183</xdr:rowOff>
    </xdr:from>
    <xdr:to>
      <xdr:col>14</xdr:col>
      <xdr:colOff>49656</xdr:colOff>
      <xdr:row>16</xdr:row>
      <xdr:rowOff>20131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B04790CA-47D1-4012-A3E7-559C9069E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0358" y="179183"/>
          <a:ext cx="5741587" cy="288894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662105</xdr:colOff>
      <xdr:row>2</xdr:row>
      <xdr:rowOff>139390</xdr:rowOff>
    </xdr:from>
    <xdr:to>
      <xdr:col>25</xdr:col>
      <xdr:colOff>708567</xdr:colOff>
      <xdr:row>50</xdr:row>
      <xdr:rowOff>170885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19178" y="511097"/>
          <a:ext cx="5412987" cy="78373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39.374380092595" createdVersion="8" refreshedVersion="8" minRefreshableVersion="3" recordCount="3924" xr:uid="{8974F18A-6FD3-493C-A12C-A80F2806C604}">
  <cacheSource type="worksheet">
    <worksheetSource name="Gastos"/>
  </cacheSource>
  <cacheFields count="16">
    <cacheField name="Semana" numFmtId="0">
      <sharedItems count="96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32"/>
        <s v="2026-17"/>
        <s v="2026-16"/>
        <s v="2026-18"/>
        <s v="2026-23"/>
        <s v="2026-20"/>
        <s v="2026-21"/>
        <s v="2026-19"/>
        <s v="2026-22"/>
        <s v="2026-27"/>
        <s v="2026-24"/>
        <s v="2026-26"/>
        <s v="2026-28"/>
        <s v="2026-29"/>
        <s v="2026-31"/>
        <s v="2026-25"/>
        <s v="2026-30"/>
        <s v="2026-24 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33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803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guero Sebastian A.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Altasur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Autorep SRL"/>
        <s v="Suc de Cruz Bruno Dom"/>
        <s v="Valle Sol SAPEM"/>
        <s v="Castro Santiago Rafael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Despegando SAS en Formacion"/>
        <s v="Salud Visual SRL"/>
        <s v="Casa Luciano / Doctor"/>
        <s v="Fernandes William Alfredo"/>
        <s v="Che Carai Maderas"/>
        <s v="Lagoria Hnos. SA"/>
        <s v="Compañia de Seguros del Norte"/>
        <s v="Coviar"/>
        <s v="Daniel Mignani SRL"/>
        <s v="OSPAV Obra social "/>
        <s v="Hierronort SRL"/>
        <s v="Londero Emilse Gabriela"/>
        <s v="Edelar SA (F2)"/>
        <s v="Fincas Riojanas"/>
        <s v="Reus Miguel Angel"/>
        <s v="Lazo Franco Maximiliano"/>
        <s v="Burdisso Alejandro Roberto"/>
        <s v="Gastos compras"/>
        <s v="Gette Carlos Alberto"/>
        <s v="Granja del Valle"/>
        <s v="Geotub"/>
        <s v="Reconstructora Union SA"/>
        <s v="Industrias Dica SRL"/>
        <s v="Wang Guifang"/>
        <s v="Hidroblan SA"/>
        <s v="Led Lab Sapen"/>
        <s v="Virtucom Networks SA"/>
        <s v="Paez Juan Manuel"/>
        <s v="Zalazar Juan Nicolas"/>
        <s v="Martinez Joaquin "/>
        <s v="Vivero Bobadilla SA"/>
        <s v="Natural Resourses "/>
        <s v="Rementeria Cristian"/>
        <s v="Pirimpex SRL"/>
        <s v="Sum SRL"/>
        <s v="Troncozo Diego"/>
        <s v="Roadbook Construcciones logistica y servicios SRL" u="1"/>
        <s v="Pirinpex" u="1"/>
        <s v="Fletes fruta planta" u="1"/>
        <s v="BeautyFull SA" u="1"/>
        <s v="Gearvel SAIC" u="1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20">
        <s v="Deuda"/>
        <s v="Nuevo"/>
        <s v="CCHC"/>
        <s v="Servicio"/>
        <s v="Deuda Fruta"/>
        <s v="C/C"/>
        <s v="Deuda Fruta 26"/>
        <s v="Deuda Fruta 25"/>
        <s v="Nueva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39463625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15">
        <s v="Pagado"/>
        <m/>
        <s v="Semana 32"/>
        <s v="Semana 31" u="1"/>
        <s v="Semana 30" u="1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24">
  <r>
    <x v="0"/>
    <x v="0"/>
    <s v="Indumentaria personal femenino de planta"/>
    <s v="Total"/>
    <x v="0"/>
    <x v="0"/>
    <x v="0"/>
    <s v="$"/>
    <n v="1156547.27"/>
    <n v="1156547.27"/>
    <n v="763.39753795379534"/>
    <m/>
    <m/>
    <s v="22"/>
    <m/>
    <x v="0"/>
  </r>
  <r>
    <x v="1"/>
    <x v="1"/>
    <s v="Cloruro de calcio 94 %"/>
    <s v="Total"/>
    <x v="1"/>
    <x v="0"/>
    <x v="1"/>
    <s v="$"/>
    <n v="3443962.5"/>
    <n v="3443962.5"/>
    <n v="2273.2425742574255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5.60700990099011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6.78603300330036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500.8292079207921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69.74257425742576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3.64621782178219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60.0660066006601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19828.905749174919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381.618481848185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79.537953795379536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57.5511551155116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50.1650165016501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79.517102310231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10.15053465346534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467.4295313531347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45.5620462046204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198.87809240924094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299.21631683168317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79.31456105610567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70.63102310231022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897.0429900990098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50.1650165016501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4.53993399339933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50.1650165016501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33.99339933993394"/>
    <m/>
    <m/>
    <s v="07"/>
    <s v="OPN-6315"/>
    <x v="0"/>
  </r>
  <r>
    <x v="12"/>
    <x v="9"/>
    <s v="TDZ"/>
    <s v="Total"/>
    <x v="1"/>
    <x v="0"/>
    <x v="2"/>
    <s v="$"/>
    <n v="2175000"/>
    <n v="2175000"/>
    <n v="1435.6435643564357"/>
    <m/>
    <m/>
    <s v="47"/>
    <s v="OPN-5837"/>
    <x v="0"/>
  </r>
  <r>
    <x v="13"/>
    <x v="9"/>
    <s v="TDZ"/>
    <s v="Total"/>
    <x v="2"/>
    <x v="1"/>
    <x v="2"/>
    <s v="$"/>
    <n v="1465000"/>
    <n v="1465000"/>
    <n v="966.99669966996703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887.7887788778878"/>
    <m/>
    <m/>
    <s v="46"/>
    <s v="OPN-5822"/>
    <x v="0"/>
  </r>
  <r>
    <x v="14"/>
    <x v="10"/>
    <s v="Agua"/>
    <s v="Total"/>
    <x v="1"/>
    <x v="0"/>
    <x v="0"/>
    <s v="$"/>
    <n v="394000"/>
    <n v="394000"/>
    <n v="260.06600660066005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61.38613861386136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82.83828382838283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77.4844950495049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2013.0816105610561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7.42726732673268"/>
    <m/>
    <m/>
    <s v="33"/>
    <s v="OPN-8835"/>
    <x v="0"/>
  </r>
  <r>
    <x v="18"/>
    <x v="3"/>
    <s v="Fruta fresca"/>
    <s v="Total"/>
    <x v="4"/>
    <x v="1"/>
    <x v="1"/>
    <s v="$"/>
    <n v="278132"/>
    <n v="278132"/>
    <n v="183.58547854785479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52.1452145214521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4.02640264026405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30.03300330033005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57.57755775577562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613.6342310231023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8.714191419141912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8.714191419141912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8.714191419141912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5.01650165016503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6.46864686468649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18.48184818481849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22.44224422442244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13.86138613861385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09.76897689768977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30.03300330033005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71.2841584158416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94.87128712871288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45.2145214521452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52.1452145214521"/>
    <m/>
    <m/>
    <s v="39"/>
    <s v="OPN-5587"/>
    <x v="0"/>
  </r>
  <r>
    <x v="21"/>
    <x v="3"/>
    <s v="Campaña 2025"/>
    <s v="Total"/>
    <x v="4"/>
    <x v="1"/>
    <x v="1"/>
    <s v="$"/>
    <n v="837000"/>
    <n v="837000"/>
    <n v="552.47524752475249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28.0528052805281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60.0660066006601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594.05940594059405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13.53135313531351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58.08580858085804"/>
    <m/>
    <m/>
    <s v="42"/>
    <s v="OPN-5651"/>
    <x v="0"/>
  </r>
  <r>
    <x v="6"/>
    <x v="3"/>
    <s v="Campaña 2025"/>
    <s v="Total"/>
    <x v="4"/>
    <x v="1"/>
    <x v="1"/>
    <s v="$"/>
    <n v="264778"/>
    <n v="264778"/>
    <n v="174.77095709570958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4.77095709570958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24.92435643564363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5.6848184818482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30.03300330033005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34.01650165016497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92.55784818481851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594.05940594059405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594.05940594059405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72.2772277227723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53.7953795379537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54.125412541254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51.1551155115512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62.04620462046205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792.0792079207921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83.34521452145214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66.45544554455444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83.1683168316831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48.1848184818482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493.7293729372936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16.24732673267329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310.2310231023102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62.04620462046205"/>
    <m/>
    <m/>
    <s v="08"/>
    <s v="OPN-6388"/>
    <x v="0"/>
  </r>
  <r>
    <x v="26"/>
    <x v="15"/>
    <s v="Viaticos"/>
    <s v="Total"/>
    <x v="1"/>
    <x v="1"/>
    <x v="2"/>
    <s v="$"/>
    <n v="15000"/>
    <n v="15000"/>
    <n v="9.9009900990099009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45.19077887788785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40.46574257425743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9.149174917491749"/>
    <m/>
    <m/>
    <s v="34"/>
    <s v="OPN-8939"/>
    <x v="0"/>
  </r>
  <r>
    <x v="7"/>
    <x v="17"/>
    <s v="Calzado"/>
    <s v="Total"/>
    <x v="1"/>
    <x v="0"/>
    <x v="0"/>
    <s v="$"/>
    <n v="1278970"/>
    <n v="1278970"/>
    <n v="844.20462046204625"/>
    <m/>
    <m/>
    <s v="46"/>
    <s v="OPN-9873"/>
    <x v="0"/>
  </r>
  <r>
    <x v="15"/>
    <x v="17"/>
    <m/>
    <s v="Total"/>
    <x v="1"/>
    <x v="0"/>
    <x v="0"/>
    <s v="$"/>
    <n v="69817"/>
    <n v="69817"/>
    <n v="46.083828382838284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45.54455445544556"/>
    <m/>
    <m/>
    <s v="21"/>
    <m/>
    <x v="0"/>
  </r>
  <r>
    <x v="14"/>
    <x v="18"/>
    <s v="Alquiler cabañas"/>
    <s v="Total"/>
    <x v="1"/>
    <x v="0"/>
    <x v="0"/>
    <s v="$"/>
    <n v="750000"/>
    <n v="750000"/>
    <n v="495.04950495049508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76.67643564356439"/>
    <m/>
    <m/>
    <s v="16"/>
    <m/>
    <x v="0"/>
  </r>
  <r>
    <x v="29"/>
    <x v="19"/>
    <s v="Aceituna Fresca"/>
    <s v="Total"/>
    <x v="1"/>
    <x v="1"/>
    <x v="2"/>
    <s v="$"/>
    <n v="471658"/>
    <n v="471658"/>
    <n v="311.32541254125414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91.14737953795381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3.70429042904291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5.52034983498351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49.504957095709571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6.20462046204619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5.36688448844885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2.8118811881188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82.29118811881187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60.0660066006601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606.3664752475247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439.1682508250829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594.05940594059405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396.03960396039605"/>
    <m/>
    <m/>
    <s v="22"/>
    <m/>
    <x v="0"/>
  </r>
  <r>
    <x v="19"/>
    <x v="23"/>
    <s v="Placa Balanza - Planta"/>
    <s v="Total"/>
    <x v="1"/>
    <x v="0"/>
    <x v="0"/>
    <s v="$"/>
    <n v="96800"/>
    <n v="96800"/>
    <n v="63.894389438943897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513.547194719471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60.539933993399337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48.02640264026402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38.94389438943892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59.3126138613866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89.39912871287129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36.84594059405941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74.83749174917494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57.5511551155116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62.04620462046205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5266798679867986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36.84594059405941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62.04620462046205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57.5511551155116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74.83749174917494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89.39912871287129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677.328495049505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21.8283828382838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34.82178217821786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6.912871287128709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16.24732673267329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31.02310231023102"/>
    <m/>
    <m/>
    <s v="39"/>
    <s v="S"/>
    <x v="0"/>
  </r>
  <r>
    <x v="36"/>
    <x v="29"/>
    <s v="Acesoramiento campo"/>
    <s v="Total"/>
    <x v="1"/>
    <x v="0"/>
    <x v="0"/>
    <s v="$"/>
    <n v="175000"/>
    <n v="175000"/>
    <n v="115.51155115511551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5.51155115511551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10.95037623762374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46.94224422442244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6.77491749174916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5.7523432343234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3.76237623762376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39.76897689768978"/>
    <m/>
    <m/>
    <s v="08"/>
    <s v="OP-10889"/>
    <x v="0"/>
  </r>
  <r>
    <x v="37"/>
    <x v="13"/>
    <s v="Servicio "/>
    <s v="Total"/>
    <x v="3"/>
    <x v="0"/>
    <x v="0"/>
    <s v="$"/>
    <n v="1061412"/>
    <n v="1061412"/>
    <n v="700.60198019801976"/>
    <m/>
    <m/>
    <s v="24"/>
    <s v="OPN-8208"/>
    <x v="0"/>
  </r>
  <r>
    <x v="19"/>
    <x v="13"/>
    <s v="Servicio "/>
    <s v="Total"/>
    <x v="3"/>
    <x v="0"/>
    <x v="0"/>
    <s v="$"/>
    <n v="1061412"/>
    <n v="1061412"/>
    <n v="700.60198019801976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3.062706270627061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80.0385478547855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60.66270627062704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60.66270627062704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47.40554455445533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799.09003300330028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90.21386138613866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6.071709570957097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06.45147854785478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06.45147854785478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7.618013201320124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6.86950495049504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1001.564891089109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297.02970297029702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73.53260066006601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80.21445544554456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5.14733993399338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5.19855445544556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4.43432343234323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1.240897689768971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78.37830363036306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54.07840264026402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4.95792079207922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509141914191417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18.92832343234321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49.40907590759076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49.40907590759076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4.84682508250825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4.84681848184817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4.84681848184817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72.18041584158416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72.18041584158416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595.94831023102302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2.90133333333333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37.72012541254125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83.43084488448841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48.53245544554454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48.53246204620461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08.02528382838284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08.02528382838284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6.78070627062706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10.1840396039604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68.19360396039605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6.55236963696365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402640264026402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81.034059405940596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10.23102310231025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9.0165016501650168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19.66996699669967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22.1122112211222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80.85808580858088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300.3300330033003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300.3300330033003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300.3300330033003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39.14191419141912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5.608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39.14191419141912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60.0660066006601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86.27237623762369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90.42904290429044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56.1056105610562"/>
    <m/>
    <m/>
    <s v="32"/>
    <s v="OPN-8703"/>
    <x v="0"/>
  </r>
  <r>
    <x v="2"/>
    <x v="38"/>
    <s v="Aridos"/>
    <s v="Total"/>
    <x v="1"/>
    <x v="0"/>
    <x v="1"/>
    <s v="$"/>
    <n v="110128.95"/>
    <n v="110128.95"/>
    <n v="72.692376237623762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5.11551155115512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4.81848184818483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19.14191419141912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56.1056105610562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0.992653465346535"/>
    <s v="Retenciones"/>
    <m/>
    <s v="14"/>
    <s v="OPN-11312"/>
    <x v="0"/>
  </r>
  <r>
    <x v="25"/>
    <x v="38"/>
    <m/>
    <s v="Total"/>
    <x v="1"/>
    <x v="0"/>
    <x v="1"/>
    <s v="$"/>
    <n v="946036"/>
    <n v="946036"/>
    <n v="624.44620462046203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79.207920792079207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5.08250825082509"/>
    <m/>
    <m/>
    <s v="07"/>
    <s v="OPN-10884"/>
    <x v="0"/>
  </r>
  <r>
    <x v="25"/>
    <x v="38"/>
    <m/>
    <s v="Total"/>
    <x v="1"/>
    <x v="0"/>
    <x v="1"/>
    <s v="$"/>
    <n v="1366328.37"/>
    <n v="1366328.37"/>
    <n v="901.86691089108922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6.80198019801981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7.326072607260727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92.44994059405946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3.82838283828383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5.70957095709571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085.0151155115514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5.841584158415841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79.207920792079207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6.006600660066013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62.04620462046205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16.83168316831683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48.84488448844883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815.1815181518152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54.19056105610559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5.049504950495049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12.62722772277226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6.78257425742575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57.5511551155116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287.1287128712872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7.1287128712872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7.1287128712872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7.1287128712872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396.03960396039605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31.02310231023102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6.006600660066013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6.40858745874587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63.03630363036302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4.81848184818483"/>
    <m/>
    <m/>
    <s v="24"/>
    <m/>
    <x v="0"/>
  </r>
  <r>
    <x v="17"/>
    <x v="53"/>
    <s v="honorarios"/>
    <s v="Total"/>
    <x v="3"/>
    <x v="0"/>
    <x v="0"/>
    <s v="$"/>
    <n v="280000"/>
    <n v="280000"/>
    <n v="184.81848184818483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70.62706270627064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89.452145214521451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89.452145214521451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5.841584158415841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297.02970297029702"/>
    <m/>
    <m/>
    <s v="12"/>
    <m/>
    <x v="0"/>
  </r>
  <r>
    <x v="17"/>
    <x v="56"/>
    <s v="Honorarios"/>
    <s v="Total"/>
    <x v="3"/>
    <x v="0"/>
    <x v="0"/>
    <s v="$"/>
    <n v="450000"/>
    <n v="450000"/>
    <n v="297.02970297029702"/>
    <m/>
    <m/>
    <s v="28"/>
    <s v="OPN-8476"/>
    <x v="0"/>
  </r>
  <r>
    <x v="19"/>
    <x v="56"/>
    <s v="Honorarios"/>
    <s v="Total"/>
    <x v="3"/>
    <x v="0"/>
    <x v="0"/>
    <s v="$"/>
    <n v="450000"/>
    <n v="450000"/>
    <n v="297.02970297029702"/>
    <m/>
    <m/>
    <s v="29"/>
    <s v="OPN-8537"/>
    <x v="0"/>
  </r>
  <r>
    <x v="15"/>
    <x v="56"/>
    <s v="Honorarios"/>
    <s v="Total"/>
    <x v="3"/>
    <x v="0"/>
    <x v="0"/>
    <s v="$"/>
    <n v="450000"/>
    <n v="450000"/>
    <n v="297.02970297029702"/>
    <m/>
    <m/>
    <s v="39"/>
    <s v="OPN-9325"/>
    <x v="0"/>
  </r>
  <r>
    <x v="6"/>
    <x v="56"/>
    <s v="Honorarios"/>
    <s v="Total"/>
    <x v="3"/>
    <x v="0"/>
    <x v="0"/>
    <s v="$"/>
    <n v="450000"/>
    <n v="450000"/>
    <n v="297.02970297029702"/>
    <m/>
    <m/>
    <s v="41"/>
    <s v="OPN-9510"/>
    <x v="0"/>
  </r>
  <r>
    <x v="23"/>
    <x v="56"/>
    <s v="Honorarios"/>
    <s v="Total"/>
    <x v="3"/>
    <x v="0"/>
    <x v="0"/>
    <s v="$"/>
    <n v="450000"/>
    <n v="450000"/>
    <n v="297.02970297029702"/>
    <m/>
    <m/>
    <s v="43"/>
    <s v="OPN-9637"/>
    <x v="0"/>
  </r>
  <r>
    <x v="7"/>
    <x v="56"/>
    <s v="Honorarios"/>
    <s v="Total"/>
    <x v="3"/>
    <x v="0"/>
    <x v="0"/>
    <s v="$"/>
    <n v="450000"/>
    <n v="450000"/>
    <n v="297.02970297029702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297.02970297029702"/>
    <m/>
    <m/>
    <s v="50"/>
    <s v="OPN-10155"/>
    <x v="0"/>
  </r>
  <r>
    <x v="33"/>
    <x v="56"/>
    <s v="Honorarios"/>
    <s v="Total"/>
    <x v="3"/>
    <x v="0"/>
    <x v="0"/>
    <s v="$"/>
    <n v="450000"/>
    <n v="450000"/>
    <n v="297.02970297029702"/>
    <m/>
    <m/>
    <s v="06"/>
    <s v="OPN-10802"/>
    <x v="0"/>
  </r>
  <r>
    <x v="11"/>
    <x v="56"/>
    <s v="Factura Enero"/>
    <s v="Total"/>
    <x v="3"/>
    <x v="0"/>
    <x v="0"/>
    <s v="$"/>
    <n v="450000"/>
    <n v="450000"/>
    <n v="297.02970297029702"/>
    <m/>
    <m/>
    <s v="07"/>
    <s v="OPN-10910"/>
    <x v="0"/>
  </r>
  <r>
    <x v="16"/>
    <x v="57"/>
    <m/>
    <s v="Total"/>
    <x v="3"/>
    <x v="0"/>
    <x v="0"/>
    <s v="$"/>
    <n v="530264"/>
    <n v="530264"/>
    <n v="350.00924092409241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11.94455445544554"/>
    <m/>
    <m/>
    <s v="25"/>
    <m/>
    <x v="0"/>
  </r>
  <r>
    <x v="5"/>
    <x v="57"/>
    <s v="Servicio"/>
    <s v="Total"/>
    <x v="3"/>
    <x v="0"/>
    <x v="0"/>
    <s v="$"/>
    <n v="653792"/>
    <n v="653792"/>
    <n v="431.54587458745874"/>
    <m/>
    <m/>
    <s v="34"/>
    <s v="OPN-8930"/>
    <x v="0"/>
  </r>
  <r>
    <x v="15"/>
    <x v="57"/>
    <s v="Servicio"/>
    <s v="Total"/>
    <x v="3"/>
    <x v="0"/>
    <x v="0"/>
    <s v="$"/>
    <n v="343400"/>
    <n v="343400"/>
    <n v="226.66666666666666"/>
    <m/>
    <m/>
    <s v="39"/>
    <s v="S"/>
    <x v="0"/>
  </r>
  <r>
    <x v="23"/>
    <x v="57"/>
    <m/>
    <s v="Total"/>
    <x v="3"/>
    <x v="0"/>
    <x v="0"/>
    <s v="$"/>
    <n v="247064"/>
    <n v="247064"/>
    <n v="163.07854785478548"/>
    <m/>
    <m/>
    <s v="43"/>
    <s v="OPN-9636"/>
    <x v="0"/>
  </r>
  <r>
    <x v="42"/>
    <x v="57"/>
    <m/>
    <s v="Total"/>
    <x v="3"/>
    <x v="0"/>
    <x v="0"/>
    <s v="$"/>
    <n v="46960"/>
    <n v="46960"/>
    <n v="30.996699669966997"/>
    <m/>
    <m/>
    <s v="03"/>
    <s v="OPN-10477"/>
    <x v="0"/>
  </r>
  <r>
    <x v="11"/>
    <x v="57"/>
    <m/>
    <s v="Total"/>
    <x v="3"/>
    <x v="0"/>
    <x v="0"/>
    <s v="$"/>
    <n v="368352"/>
    <n v="368352"/>
    <n v="243.13663366336633"/>
    <m/>
    <m/>
    <s v="07"/>
    <s v="OPN-10915"/>
    <x v="0"/>
  </r>
  <r>
    <x v="42"/>
    <x v="58"/>
    <m/>
    <s v="Total"/>
    <x v="1"/>
    <x v="0"/>
    <x v="0"/>
    <s v="$"/>
    <n v="984000"/>
    <n v="984000"/>
    <n v="649.50495049504946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1.683168316831683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40.15863366336634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294851485148515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32.68353135313532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473194719471946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71.2561782178218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796.03960396039599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609.915914191419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697.68976897689765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504.00588118811885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668785478547854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4.124547854785476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499.5187722772277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9047920792079212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69.95379537953795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70.18151815181523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68.40087128712872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5.67656765676566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402640264026402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6.006600660066013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2.409240924092416"/>
    <m/>
    <m/>
    <s v="04"/>
    <s v="OPN-6182"/>
    <x v="0"/>
  </r>
  <r>
    <x v="19"/>
    <x v="63"/>
    <m/>
    <s v="Total"/>
    <x v="1"/>
    <x v="0"/>
    <x v="0"/>
    <s v="$"/>
    <n v="4664209"/>
    <n v="4664209"/>
    <n v="3078.6858085808581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198.308864686469"/>
    <m/>
    <m/>
    <s v="04"/>
    <s v="OPN-10592"/>
    <x v="0"/>
  </r>
  <r>
    <x v="3"/>
    <x v="64"/>
    <s v="Flete"/>
    <s v="Total"/>
    <x v="1"/>
    <x v="0"/>
    <x v="0"/>
    <s v="$"/>
    <n v="1600000"/>
    <n v="1600000"/>
    <n v="1056.1056105610562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5.83528052805275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30.62706270627064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3.23432343234325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7.63210561056107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6.23730033003301"/>
    <m/>
    <m/>
    <s v="04"/>
    <s v="OPN-10645"/>
    <x v="0"/>
  </r>
  <r>
    <x v="27"/>
    <x v="68"/>
    <s v="Service Toro"/>
    <s v="Parcial"/>
    <x v="1"/>
    <x v="0"/>
    <x v="1"/>
    <s v="$"/>
    <n v="984000"/>
    <n v="984000"/>
    <n v="649.50495049504946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69.30692409240925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4.25742574257424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72.25058745874588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5.808580858085804"/>
    <m/>
    <m/>
    <s v="24"/>
    <m/>
    <x v="0"/>
  </r>
  <r>
    <x v="18"/>
    <x v="69"/>
    <s v="Tubos de gas planta"/>
    <s v="Total"/>
    <x v="1"/>
    <x v="0"/>
    <x v="0"/>
    <s v="$"/>
    <n v="195000"/>
    <n v="195000"/>
    <n v="128.71287128712871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57.75577557755776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71.61716171617161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73.81565676567652"/>
    <m/>
    <m/>
    <s v="40"/>
    <s v="OPN-9388"/>
    <x v="0"/>
  </r>
  <r>
    <x v="22"/>
    <x v="69"/>
    <s v="Gas"/>
    <s v="Total"/>
    <x v="2"/>
    <x v="0"/>
    <x v="2"/>
    <s v="$"/>
    <n v="306500"/>
    <n v="306500"/>
    <n v="202.31023102310232"/>
    <m/>
    <m/>
    <s v="42"/>
    <s v="OPN-9539"/>
    <x v="0"/>
  </r>
  <r>
    <x v="22"/>
    <x v="69"/>
    <s v="Gas"/>
    <s v="Total"/>
    <x v="1"/>
    <x v="0"/>
    <x v="1"/>
    <s v="$"/>
    <n v="407239.82"/>
    <n v="407239.82"/>
    <n v="268.8051617161716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5.21452145214522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7.83620462046204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7.83620462046204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76.23762376237624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569557755775577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400.59412541254125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7.64359075907592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7.64359075907592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78.54785478547853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94.82011881188117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6.136976897689777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3.30033003300329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48.84488448844883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48.1848184818482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2.904290429042902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62.04620462046205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79.207920792079207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699.66996699669971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310.2310231023102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11.55115511551156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481848184818482"/>
    <m/>
    <m/>
    <s v="36"/>
    <m/>
    <x v="0"/>
  </r>
  <r>
    <x v="6"/>
    <x v="73"/>
    <s v="Reposición de cheque"/>
    <s v="Total"/>
    <x v="2"/>
    <x v="1"/>
    <x v="2"/>
    <s v="$"/>
    <n v="500000"/>
    <n v="500000"/>
    <n v="330.03300330033005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58.08580858085804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62.04620462046205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60.0660066006601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16.83168316831689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29.85755775577559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36.70716171617158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30.41438943894389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5.51742574257429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32.92877887788779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07.33201320132014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594.05940594059405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4081.197280528053"/>
    <m/>
    <m/>
    <s v="44"/>
    <s v="OPN-9755"/>
    <x v="0"/>
  </r>
  <r>
    <x v="11"/>
    <x v="76"/>
    <m/>
    <s v="Total"/>
    <x v="3"/>
    <x v="0"/>
    <x v="0"/>
    <s v="$"/>
    <n v="3406551.65"/>
    <n v="3406551.65"/>
    <n v="2248.5489438943896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76.5676567656765"/>
    <m/>
    <m/>
    <s v="11"/>
    <s v="OPN-11147"/>
    <x v="0"/>
  </r>
  <r>
    <x v="28"/>
    <x v="64"/>
    <s v="Fletes"/>
    <s v="Total"/>
    <x v="0"/>
    <x v="1"/>
    <x v="1"/>
    <s v="$"/>
    <n v="300000"/>
    <n v="300000"/>
    <n v="198.01980198019803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12.54125412541254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40.45676567656767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41.261894389439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79.207920792079207"/>
    <m/>
    <m/>
    <s v="12"/>
    <m/>
    <x v="0"/>
  </r>
  <r>
    <x v="38"/>
    <x v="64"/>
    <s v="Combustible"/>
    <s v="Total"/>
    <x v="2"/>
    <x v="0"/>
    <x v="2"/>
    <s v="$"/>
    <n v="209000"/>
    <n v="209000"/>
    <n v="137.95379537953795"/>
    <m/>
    <m/>
    <s v="23"/>
    <m/>
    <x v="0"/>
  </r>
  <r>
    <x v="20"/>
    <x v="64"/>
    <s v="Combustible"/>
    <s v="Total"/>
    <x v="2"/>
    <x v="0"/>
    <x v="2"/>
    <s v="$"/>
    <n v="113001"/>
    <n v="113001"/>
    <n v="74.588118811881188"/>
    <m/>
    <m/>
    <s v="35"/>
    <s v="S"/>
    <x v="0"/>
  </r>
  <r>
    <x v="40"/>
    <x v="64"/>
    <s v="Combustible"/>
    <s v="Total"/>
    <x v="2"/>
    <x v="0"/>
    <x v="2"/>
    <s v="$"/>
    <n v="40000"/>
    <n v="40000"/>
    <n v="26.402640264026402"/>
    <m/>
    <m/>
    <s v="36"/>
    <m/>
    <x v="0"/>
  </r>
  <r>
    <x v="40"/>
    <x v="64"/>
    <s v="Combustible"/>
    <s v="Total"/>
    <x v="2"/>
    <x v="0"/>
    <x v="2"/>
    <s v="$"/>
    <n v="60000"/>
    <n v="60000"/>
    <n v="39.603960396039604"/>
    <m/>
    <m/>
    <s v="36"/>
    <m/>
    <x v="0"/>
  </r>
  <r>
    <x v="40"/>
    <x v="64"/>
    <s v="Combustible"/>
    <s v="Total"/>
    <x v="2"/>
    <x v="0"/>
    <x v="2"/>
    <s v="$"/>
    <n v="100000"/>
    <n v="100000"/>
    <n v="66.006600660066013"/>
    <m/>
    <m/>
    <s v="36"/>
    <s v="S"/>
    <x v="0"/>
  </r>
  <r>
    <x v="34"/>
    <x v="64"/>
    <s v="Combustible"/>
    <s v="Total"/>
    <x v="2"/>
    <x v="0"/>
    <x v="2"/>
    <s v="$"/>
    <n v="100000"/>
    <n v="100000"/>
    <n v="66.006600660066013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6.006600660066013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79.214831683168313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2.705702970297033"/>
    <m/>
    <m/>
    <s v="50"/>
    <s v="OPN-10187"/>
    <x v="0"/>
  </r>
  <r>
    <x v="16"/>
    <x v="64"/>
    <s v="Combustible"/>
    <s v="Total"/>
    <x v="2"/>
    <x v="0"/>
    <x v="2"/>
    <s v="$"/>
    <n v="95000"/>
    <n v="95000"/>
    <n v="62.706270627062707"/>
    <m/>
    <m/>
    <s v="50"/>
    <s v="OPN-10187"/>
    <x v="0"/>
  </r>
  <r>
    <x v="4"/>
    <x v="64"/>
    <s v="Combustible"/>
    <s v="Total"/>
    <x v="2"/>
    <x v="0"/>
    <x v="2"/>
    <s v="$"/>
    <n v="120000"/>
    <n v="120000"/>
    <n v="79.207920792079207"/>
    <m/>
    <m/>
    <s v="51"/>
    <s v="OPN-10333"/>
    <x v="0"/>
  </r>
  <r>
    <x v="4"/>
    <x v="64"/>
    <s v="Combustible"/>
    <s v="Total"/>
    <x v="2"/>
    <x v="0"/>
    <x v="2"/>
    <s v="$"/>
    <n v="100000"/>
    <n v="100000"/>
    <n v="66.006600660066013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77.8877887788778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34.65756435643561"/>
    <m/>
    <m/>
    <s v="48"/>
    <s v="OPN-10056"/>
    <x v="0"/>
  </r>
  <r>
    <x v="9"/>
    <x v="64"/>
    <s v="Combustible"/>
    <s v="Total"/>
    <x v="2"/>
    <x v="0"/>
    <x v="2"/>
    <s v="$"/>
    <n v="143005"/>
    <n v="143005"/>
    <n v="94.39273927392739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59.405940594059409"/>
    <m/>
    <m/>
    <s v="09"/>
    <s v="OPN-6417"/>
    <x v="0"/>
  </r>
  <r>
    <x v="25"/>
    <x v="64"/>
    <s v="Flete"/>
    <s v="Total"/>
    <x v="1"/>
    <x v="0"/>
    <x v="0"/>
    <s v="$"/>
    <n v="1936000"/>
    <n v="1936000"/>
    <n v="1277.8877887788778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17.88778877887788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1.980198019801982"/>
    <m/>
    <m/>
    <s v="39"/>
    <s v="OPN-9327"/>
    <x v="0"/>
  </r>
  <r>
    <x v="15"/>
    <x v="77"/>
    <m/>
    <s v="Total"/>
    <x v="1"/>
    <x v="0"/>
    <x v="0"/>
    <s v="$"/>
    <n v="44700"/>
    <n v="44700"/>
    <n v="29.504950495049506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69.884488448844891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7.194719471947195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4.726072607260726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7.920792079207921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360.355960396038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732.0437227722778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592.7669438943894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894.9754191419142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592.7669438943894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894.9754191419142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894.90099009900985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23.4169372937293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997.23036303630363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18.64686468646869"/>
    <m/>
    <m/>
    <s v="29"/>
    <s v="OPN-8544"/>
    <x v="0"/>
  </r>
  <r>
    <x v="5"/>
    <x v="84"/>
    <s v="Acesor"/>
    <s v="Total"/>
    <x v="3"/>
    <x v="0"/>
    <x v="0"/>
    <s v="$"/>
    <n v="1150000"/>
    <n v="1150000"/>
    <n v="759.07590759075913"/>
    <m/>
    <m/>
    <s v="34"/>
    <m/>
    <x v="0"/>
  </r>
  <r>
    <x v="15"/>
    <x v="84"/>
    <s v="Consultor"/>
    <s v="Total"/>
    <x v="3"/>
    <x v="0"/>
    <x v="0"/>
    <s v="$"/>
    <n v="1150000"/>
    <n v="1150000"/>
    <n v="759.07590759075913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59.07590759075913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59.07590759075913"/>
    <m/>
    <m/>
    <s v="34"/>
    <m/>
    <x v="0"/>
  </r>
  <r>
    <x v="23"/>
    <x v="84"/>
    <s v="Honorarios bodega"/>
    <s v="Total"/>
    <x v="3"/>
    <x v="0"/>
    <x v="0"/>
    <s v="$"/>
    <n v="1150000"/>
    <n v="1150000"/>
    <n v="759.07590759075913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59.07590759075913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59.07590759075913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29.04290429042902"/>
    <m/>
    <m/>
    <s v="07"/>
    <s v="OPN-10899"/>
    <x v="0"/>
  </r>
  <r>
    <x v="11"/>
    <x v="85"/>
    <m/>
    <s v="Total"/>
    <x v="1"/>
    <x v="1"/>
    <x v="1"/>
    <s v="$"/>
    <n v="500000"/>
    <n v="500000"/>
    <n v="330.03300330033005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6.006600660066013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5.47854785478549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31.02310231023102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07.59075907590761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3.095709570957098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23.4169438943894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09.76897689768977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2.01320132013203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68.31683168316832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198.01980198019803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3.6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31.02310231023102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90.42904290429044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301.65016501650166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11.55115511551156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11.55115511551156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610.561056105611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230.0553729372932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5.115511551155109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60.0660066006601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16.04270627062704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31.3531353135313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56.1056105610562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25.08250825082507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6.28601980198022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40.82881188118813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2002.7080924092409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2.743623762376238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30.03300330033005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46.99405940594062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26.07260726072604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990.09900990099015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62.04620462046205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4.52145214521451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6.897696369636961"/>
    <m/>
    <m/>
    <s v="09"/>
    <s v="OPN-11032"/>
    <x v="0"/>
  </r>
  <r>
    <x v="23"/>
    <x v="87"/>
    <m/>
    <s v="Total"/>
    <x v="3"/>
    <x v="0"/>
    <x v="0"/>
    <s v="$"/>
    <n v="546848.41"/>
    <n v="546848.41"/>
    <n v="360.95604620462046"/>
    <m/>
    <m/>
    <s v="43"/>
    <s v="OPN-9636"/>
    <x v="0"/>
  </r>
  <r>
    <x v="7"/>
    <x v="87"/>
    <m/>
    <s v="Total"/>
    <x v="3"/>
    <x v="0"/>
    <x v="0"/>
    <s v="$"/>
    <n v="47869.05"/>
    <n v="47869.05"/>
    <n v="31.596732673267329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3.199537953795378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8.9768976897689772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2.77441584158416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07.00755115511549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6.246864686468648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38.0739273927393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41.58943894389438"/>
    <m/>
    <m/>
    <s v="38"/>
    <s v="S"/>
    <x v="0"/>
  </r>
  <r>
    <x v="30"/>
    <x v="88"/>
    <s v="Pedido Cava"/>
    <s v="Total"/>
    <x v="2"/>
    <x v="0"/>
    <x v="2"/>
    <s v="$"/>
    <n v="350000"/>
    <n v="350000"/>
    <n v="231.02310231023102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4.1986798679868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7.110891089108904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442244224422442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6.97425742574258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6.9306930693069306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80.19801980198019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4.71947194719471"/>
    <m/>
    <m/>
    <s v="12"/>
    <m/>
    <x v="0"/>
  </r>
  <r>
    <x v="0"/>
    <x v="90"/>
    <s v="Fruta fresca"/>
    <s v="Parcial"/>
    <x v="4"/>
    <x v="1"/>
    <x v="2"/>
    <s v="$"/>
    <n v="800000"/>
    <n v="800000"/>
    <n v="528.0528052805281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60.0660066006601"/>
    <m/>
    <m/>
    <s v="23"/>
    <s v="OP N 5147"/>
    <x v="0"/>
  </r>
  <r>
    <x v="14"/>
    <x v="90"/>
    <s v="Fruta fresca"/>
    <s v="Parcial"/>
    <x v="4"/>
    <x v="1"/>
    <x v="2"/>
    <s v="$"/>
    <n v="500000"/>
    <n v="500000"/>
    <n v="330.03300330033005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310.6236633663366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41.9141914191418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1.870627062706269"/>
    <m/>
    <m/>
    <s v="23"/>
    <s v="OP N 8120"/>
    <x v="0"/>
  </r>
  <r>
    <x v="5"/>
    <x v="92"/>
    <s v="Toma corriente"/>
    <s v="Total"/>
    <x v="2"/>
    <x v="0"/>
    <x v="2"/>
    <s v="$"/>
    <n v="2918"/>
    <n v="2918"/>
    <n v="1.9260726072607262"/>
    <m/>
    <m/>
    <s v="34"/>
    <m/>
    <x v="0"/>
  </r>
  <r>
    <x v="20"/>
    <x v="92"/>
    <s v="Materiales Pozo N°15"/>
    <s v="Total"/>
    <x v="1"/>
    <x v="0"/>
    <x v="0"/>
    <s v="$"/>
    <n v="243577.18"/>
    <n v="243577.18"/>
    <n v="160.77701650165017"/>
    <m/>
    <m/>
    <s v="35"/>
    <m/>
    <x v="0"/>
  </r>
  <r>
    <x v="16"/>
    <x v="93"/>
    <s v="Estabilizador TRV - planta"/>
    <s v="Total"/>
    <x v="1"/>
    <x v="0"/>
    <x v="0"/>
    <s v="$"/>
    <n v="86600"/>
    <n v="86600"/>
    <n v="57.161716171617165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3.940594059405939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464402640264026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500.8292079207921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5.16712211221125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23.4169438943894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419141914191417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3.003300330033007"/>
    <m/>
    <m/>
    <s v="35"/>
    <m/>
    <x v="0"/>
  </r>
  <r>
    <x v="27"/>
    <x v="97"/>
    <s v="Saldo factura 3097"/>
    <s v="Total"/>
    <x v="1"/>
    <x v="0"/>
    <x v="0"/>
    <s v="$"/>
    <n v="161140.16"/>
    <n v="161140.16"/>
    <n v="106.36314191419142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1.69910231023103"/>
    <m/>
    <m/>
    <s v="37"/>
    <s v="S"/>
    <x v="0"/>
  </r>
  <r>
    <x v="46"/>
    <x v="98"/>
    <s v="Combustible"/>
    <s v="Total"/>
    <x v="1"/>
    <x v="1"/>
    <x v="2"/>
    <s v="$"/>
    <n v="108021.05"/>
    <n v="108021.05"/>
    <n v="71.301023102310239"/>
    <m/>
    <m/>
    <s v="13"/>
    <m/>
    <x v="0"/>
  </r>
  <r>
    <x v="48"/>
    <x v="98"/>
    <s v="Combustible"/>
    <s v="Total"/>
    <x v="1"/>
    <x v="0"/>
    <x v="2"/>
    <s v="$"/>
    <n v="103003.58"/>
    <n v="103003.58"/>
    <n v="67.989161716171623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74.58745874587464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301.9141914191419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5.774864686468646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4.45544554455446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60.26468646864686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41.58415841584156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19801.980198019803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201.320132013201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402.640264026402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39603.960396039605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19801.980198019803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201.320132013201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201.320132013201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201.320132013201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600.6600660066006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600.6600660066006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9900.9900990099013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501.650165016501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2937.293729372937"/>
    <m/>
    <m/>
    <s v="30"/>
    <s v="OPN-8591"/>
    <x v="0"/>
  </r>
  <r>
    <x v="35"/>
    <x v="100"/>
    <s v="Fruta Fresca"/>
    <s v="Total"/>
    <x v="4"/>
    <x v="0"/>
    <x v="0"/>
    <s v="$"/>
    <n v="9800000"/>
    <n v="9800000"/>
    <n v="6468.6468646864687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9900.9900990099013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702.9702970297021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702.9702970297021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702.9702970297021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702.9702970297021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702.9702970297021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805.2506270627055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471.6039603960398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524.752475247526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366.3366336633662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702.9702970297021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702.9702970297021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405.940594059404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300.3300330033003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2940.250825082509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684.168871287133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6202.977762376237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6851.096871287129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6171.617161716171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405.940594059404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224.4224422442248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79207.920792079211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79207.920792079211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19801.980198019803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79207.920792079211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6023.933108910889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2787.948079207927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2013.20132013201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5141.697029702969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42.9336633663365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6.81848184818483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1.815181518151817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195.1616831683168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801610561056105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58.41584158415841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74.56067986798683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51.3399339933994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493.6633663366338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30.03300330033005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6.21122112211219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3.8912211221122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3.8912211221122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500.8292079207921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23.36294389438956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56.43696369636962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281.9191419141916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898.01980198019805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792.756330033003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792.756330033003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792.756330033003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792.756330033003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58.41584158415841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35.64356435643566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35.64356435643566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488.0226204620462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36.1957689768976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524.4037887788782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201.320132013201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201.320132013201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489.9256765676564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1.749174917491743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30.03300330033005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30.03300330033005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60.0660066006601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28052805280528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558.165016501651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558.165016501651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370.6798679867989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558.165016501651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558.165016501651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187.485148514852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19801.980198019803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20.1320132013202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73.2435643564356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1980.1980198019803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207.9207920792078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25.4125412541252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25.4125412541252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1.67062706270627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1.67062706270627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3.95379537953795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5.18151815181517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30.03300330033005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6.03960396039605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6.03960396039605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5.04950495049508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57.75579537953797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5.23168316831681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2.611201320132011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300.3300330033003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300.3300330033003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300.3300330033003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201.320132013201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50.1650165016501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50.1650165016501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50.1650165016501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150.4950495049507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5.01650165016503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990.09900990099015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990.09900990099015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6006600660066006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281.9191419141916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56.0198019801981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568138613861386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30.03300330033005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3.696369636963695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91.215498349835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80.01716171617159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22.36596039603961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5.43337953795378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3.095709570957098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5.5107920792079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23.51815181518157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4.24724752475245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2713267326732662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6.37557755775578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22.07920792079207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9.262191419141914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30.03300330033005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80.01716171617159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3.58110891089109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302.72541254125412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6.90033003300331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202.1023102310231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34.41283168316829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81.29293729372944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70.49504950495054"/>
    <m/>
    <d v="2025-09-10T00:00:00"/>
    <n v="37"/>
    <m/>
    <x v="0"/>
  </r>
  <r>
    <x v="40"/>
    <x v="120"/>
    <m/>
    <s v="Total"/>
    <x v="1"/>
    <x v="0"/>
    <x v="0"/>
    <s v="$"/>
    <n v="1316034.29"/>
    <n v="1316034.29"/>
    <n v="868.66949834983495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3.02906270627062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90.0990099009901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7.062706270627064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2607260726072607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1.881188118811881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9.042904290429043"/>
    <m/>
    <m/>
    <s v="03"/>
    <s v="OPN-10494"/>
    <x v="0"/>
  </r>
  <r>
    <x v="26"/>
    <x v="124"/>
    <m/>
    <s v="Total"/>
    <x v="1"/>
    <x v="0"/>
    <x v="2"/>
    <s v="$"/>
    <n v="46000"/>
    <n v="46000"/>
    <n v="30.363036303630363"/>
    <m/>
    <m/>
    <s v="16"/>
    <m/>
    <x v="0"/>
  </r>
  <r>
    <x v="26"/>
    <x v="124"/>
    <m/>
    <s v="Total"/>
    <x v="1"/>
    <x v="0"/>
    <x v="2"/>
    <s v="$"/>
    <n v="21000"/>
    <n v="21000"/>
    <n v="13.861386138613861"/>
    <m/>
    <m/>
    <s v="16"/>
    <m/>
    <x v="0"/>
  </r>
  <r>
    <x v="26"/>
    <x v="124"/>
    <m/>
    <s v="Total"/>
    <x v="1"/>
    <x v="0"/>
    <x v="2"/>
    <s v="$"/>
    <n v="36660"/>
    <n v="36660"/>
    <n v="24.198019801980198"/>
    <m/>
    <m/>
    <s v="16"/>
    <m/>
    <x v="0"/>
  </r>
  <r>
    <x v="2"/>
    <x v="125"/>
    <s v="Acido Paracetico"/>
    <s v="Total"/>
    <x v="1"/>
    <x v="0"/>
    <x v="0"/>
    <s v="$"/>
    <n v="371726.79"/>
    <n v="371726.79"/>
    <n v="245.36421782178218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5.36421782178218"/>
    <m/>
    <m/>
    <s v="33"/>
    <m/>
    <x v="0"/>
  </r>
  <r>
    <x v="5"/>
    <x v="125"/>
    <s v="Acido paracetico"/>
    <s v="Total"/>
    <x v="1"/>
    <x v="0"/>
    <x v="0"/>
    <s v="$"/>
    <n v="371726.79"/>
    <n v="371726.79"/>
    <n v="245.36421782178218"/>
    <m/>
    <m/>
    <s v="34"/>
    <m/>
    <x v="0"/>
  </r>
  <r>
    <x v="2"/>
    <x v="126"/>
    <s v="Fruta Frersca campaña 2025"/>
    <s v="Total"/>
    <x v="4"/>
    <x v="0"/>
    <x v="0"/>
    <s v="$"/>
    <n v="1500000"/>
    <n v="1500000"/>
    <n v="990.09900990099015"/>
    <m/>
    <m/>
    <s v="32"/>
    <s v="OPN-8720"/>
    <x v="0"/>
  </r>
  <r>
    <x v="23"/>
    <x v="126"/>
    <s v="Monotributo"/>
    <s v="Total"/>
    <x v="1"/>
    <x v="0"/>
    <x v="0"/>
    <s v="$"/>
    <n v="500000"/>
    <n v="500000"/>
    <n v="330.03300330033005"/>
    <m/>
    <m/>
    <s v="43"/>
    <s v="OPN-9640"/>
    <x v="0"/>
  </r>
  <r>
    <x v="34"/>
    <x v="126"/>
    <s v="Campaña 2025"/>
    <s v="Total"/>
    <x v="4"/>
    <x v="0"/>
    <x v="0"/>
    <s v="$"/>
    <n v="1500000"/>
    <n v="1500000"/>
    <n v="990.09900990099015"/>
    <m/>
    <m/>
    <s v="37"/>
    <s v="OPN-9087"/>
    <x v="0"/>
  </r>
  <r>
    <x v="22"/>
    <x v="126"/>
    <s v="Monotributo"/>
    <s v="Total"/>
    <x v="4"/>
    <x v="0"/>
    <x v="0"/>
    <s v="$"/>
    <n v="1000000"/>
    <n v="1000000"/>
    <n v="660.0660066006601"/>
    <m/>
    <m/>
    <s v="42"/>
    <s v="OPN-9552"/>
    <x v="0"/>
  </r>
  <r>
    <x v="16"/>
    <x v="126"/>
    <m/>
    <s v="Total"/>
    <x v="3"/>
    <x v="0"/>
    <x v="0"/>
    <s v="$"/>
    <n v="1500000"/>
    <n v="1500000"/>
    <n v="990.09900990099015"/>
    <m/>
    <m/>
    <s v="50"/>
    <s v="OPN-10166"/>
    <x v="0"/>
  </r>
  <r>
    <x v="11"/>
    <x v="126"/>
    <m/>
    <s v="Total"/>
    <x v="3"/>
    <x v="0"/>
    <x v="0"/>
    <s v="$"/>
    <n v="1500000"/>
    <n v="1500000"/>
    <n v="990.09900990099015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50.49504950495049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6.23762376237624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79.207920792079207"/>
    <m/>
    <m/>
    <s v="12"/>
    <m/>
    <x v="0"/>
  </r>
  <r>
    <x v="51"/>
    <x v="128"/>
    <s v="Combustible"/>
    <s v="Total"/>
    <x v="2"/>
    <x v="0"/>
    <x v="2"/>
    <s v="$"/>
    <n v="232014.7"/>
    <n v="232014.7"/>
    <n v="153.14501650165016"/>
    <m/>
    <m/>
    <s v="15"/>
    <m/>
    <x v="0"/>
  </r>
  <r>
    <x v="26"/>
    <x v="128"/>
    <s v="Combustible"/>
    <s v="Total"/>
    <x v="2"/>
    <x v="0"/>
    <x v="2"/>
    <s v="$"/>
    <n v="120000"/>
    <n v="120000"/>
    <n v="79.207920792079207"/>
    <m/>
    <m/>
    <s v="16"/>
    <m/>
    <x v="0"/>
  </r>
  <r>
    <x v="1"/>
    <x v="128"/>
    <s v="Combustible"/>
    <s v="Total"/>
    <x v="2"/>
    <x v="0"/>
    <x v="2"/>
    <s v="$"/>
    <n v="111000.57"/>
    <n v="111000.57"/>
    <n v="73.267702970297037"/>
    <m/>
    <m/>
    <s v="21"/>
    <m/>
    <x v="0"/>
  </r>
  <r>
    <x v="38"/>
    <x v="128"/>
    <s v="Combustible"/>
    <s v="Total"/>
    <x v="2"/>
    <x v="0"/>
    <x v="2"/>
    <s v="$"/>
    <n v="120000"/>
    <n v="120000"/>
    <n v="79.207920792079207"/>
    <m/>
    <m/>
    <s v="23"/>
    <m/>
    <x v="0"/>
  </r>
  <r>
    <x v="14"/>
    <x v="128"/>
    <s v="Combustible"/>
    <s v="Total"/>
    <x v="2"/>
    <x v="0"/>
    <x v="2"/>
    <s v="$"/>
    <n v="80033.55"/>
    <n v="80033.55"/>
    <n v="52.827425742574256"/>
    <m/>
    <m/>
    <s v="26"/>
    <m/>
    <x v="0"/>
  </r>
  <r>
    <x v="14"/>
    <x v="128"/>
    <s v="Fruta fresca  "/>
    <s v="Parcial"/>
    <x v="4"/>
    <x v="1"/>
    <x v="2"/>
    <s v="$"/>
    <n v="1000000"/>
    <n v="1000000"/>
    <n v="660.0660066006601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1980.1980198019803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6.066072607260736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4.598924092409234"/>
    <m/>
    <m/>
    <s v="29"/>
    <s v="OPN-8556"/>
    <x v="0"/>
  </r>
  <r>
    <x v="39"/>
    <x v="128"/>
    <s v="Combustible"/>
    <s v="Total"/>
    <x v="2"/>
    <x v="0"/>
    <x v="2"/>
    <s v="$"/>
    <n v="100000"/>
    <n v="100000"/>
    <n v="66.006600660066013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6.006627062706272"/>
    <m/>
    <m/>
    <s v="32"/>
    <s v="OPN-8756"/>
    <x v="0"/>
  </r>
  <r>
    <x v="8"/>
    <x v="128"/>
    <s v="Combustible"/>
    <s v="Total"/>
    <x v="2"/>
    <x v="0"/>
    <x v="2"/>
    <s v="$"/>
    <n v="117996.8"/>
    <n v="117996.8"/>
    <n v="77.885676567656773"/>
    <m/>
    <m/>
    <s v="33"/>
    <s v="S"/>
    <x v="0"/>
  </r>
  <r>
    <x v="20"/>
    <x v="128"/>
    <s v="Combustible"/>
    <s v="Total"/>
    <x v="2"/>
    <x v="0"/>
    <x v="2"/>
    <s v="$"/>
    <n v="120000"/>
    <n v="120000"/>
    <n v="79.207920792079207"/>
    <m/>
    <m/>
    <s v="35"/>
    <s v="OPN-9019"/>
    <x v="0"/>
  </r>
  <r>
    <x v="20"/>
    <x v="128"/>
    <s v="Campaña 2025"/>
    <s v="Total"/>
    <x v="4"/>
    <x v="1"/>
    <x v="1"/>
    <s v="$"/>
    <n v="450000"/>
    <n v="450000"/>
    <n v="297.02970297029702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17.16171617161717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14.07400000000001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8.877887788778878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7.887788778877891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1.749174917491743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68.89558415841583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100.08197359735973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4.71596699669968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4.81848184818483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5.83234323432343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19.801980198019802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39.627537953795382"/>
    <m/>
    <m/>
    <s v="36"/>
    <s v="S"/>
    <x v="0"/>
  </r>
  <r>
    <x v="40"/>
    <x v="128"/>
    <s v="Combustible"/>
    <s v="Total"/>
    <x v="1"/>
    <x v="0"/>
    <x v="2"/>
    <s v="$"/>
    <n v="100000"/>
    <n v="100000"/>
    <n v="66.006600660066013"/>
    <m/>
    <m/>
    <s v="36"/>
    <s v="S"/>
    <x v="0"/>
  </r>
  <r>
    <x v="30"/>
    <x v="128"/>
    <s v="Combustible"/>
    <s v="Total"/>
    <x v="2"/>
    <x v="0"/>
    <x v="2"/>
    <s v="$"/>
    <n v="137018.41"/>
    <n v="137018.41"/>
    <n v="90.441194719471952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90.441194719471952"/>
    <m/>
    <m/>
    <s v="39"/>
    <s v="OPN-9360"/>
    <x v="0"/>
  </r>
  <r>
    <x v="21"/>
    <x v="128"/>
    <s v="Combustible"/>
    <s v="Total"/>
    <x v="2"/>
    <x v="0"/>
    <x v="2"/>
    <s v="$"/>
    <n v="130000"/>
    <n v="130000"/>
    <n v="85.808580858085804"/>
    <m/>
    <m/>
    <s v="40"/>
    <s v="OPN-9434"/>
    <x v="0"/>
  </r>
  <r>
    <x v="6"/>
    <x v="128"/>
    <s v="Combustible"/>
    <s v="Total"/>
    <x v="2"/>
    <x v="0"/>
    <x v="2"/>
    <s v="$"/>
    <n v="130000"/>
    <n v="130000"/>
    <n v="85.808580858085804"/>
    <m/>
    <m/>
    <s v="41"/>
    <s v="OPN-9497"/>
    <x v="0"/>
  </r>
  <r>
    <x v="36"/>
    <x v="128"/>
    <s v="Combustible"/>
    <s v="Total"/>
    <x v="2"/>
    <x v="0"/>
    <x v="2"/>
    <s v="$"/>
    <n v="136004.4"/>
    <n v="136004.4"/>
    <n v="89.771881188118812"/>
    <m/>
    <m/>
    <s v="44"/>
    <s v="OPN-9714"/>
    <x v="0"/>
  </r>
  <r>
    <x v="36"/>
    <x v="128"/>
    <s v="Combustible"/>
    <s v="Total"/>
    <x v="2"/>
    <x v="0"/>
    <x v="2"/>
    <s v="$"/>
    <n v="129015"/>
    <n v="129015"/>
    <n v="85.158415841584159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8.44883828382838"/>
    <m/>
    <m/>
    <s v="44"/>
    <s v="OPN-9714"/>
    <x v="0"/>
  </r>
  <r>
    <x v="24"/>
    <x v="128"/>
    <s v="Combustible"/>
    <s v="Total"/>
    <x v="2"/>
    <x v="0"/>
    <x v="2"/>
    <s v="$"/>
    <n v="130000"/>
    <n v="130000"/>
    <n v="85.808580858085804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1.77557755775578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6.50165016501649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36.63366336633658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6.204620462046208"/>
    <m/>
    <m/>
    <s v="46"/>
    <s v="OPN-9916"/>
    <x v="0"/>
  </r>
  <r>
    <x v="7"/>
    <x v="128"/>
    <s v="Campaña 2025"/>
    <s v="Total"/>
    <x v="4"/>
    <x v="1"/>
    <x v="2"/>
    <s v="$"/>
    <n v="1000000"/>
    <n v="1000000"/>
    <n v="660.0660066006601"/>
    <m/>
    <m/>
    <s v="46"/>
    <s v="OPN-5823"/>
    <x v="0"/>
  </r>
  <r>
    <x v="12"/>
    <x v="128"/>
    <s v="Combustible"/>
    <s v="Total"/>
    <x v="2"/>
    <x v="0"/>
    <x v="2"/>
    <s v="$"/>
    <n v="138004"/>
    <n v="138004"/>
    <n v="91.091749174917496"/>
    <m/>
    <m/>
    <s v="47"/>
    <s v="OPN-9998"/>
    <x v="0"/>
  </r>
  <r>
    <x v="4"/>
    <x v="128"/>
    <s v="Campaña 2025"/>
    <s v="Total"/>
    <x v="4"/>
    <x v="1"/>
    <x v="1"/>
    <s v="$"/>
    <n v="1000000"/>
    <n v="1000000"/>
    <n v="660.0660066006601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60.0660066006601"/>
    <m/>
    <d v="2026-01-20T00:00:00"/>
    <n v="4"/>
    <s v="OPN-5995"/>
    <x v="0"/>
  </r>
  <r>
    <x v="44"/>
    <x v="128"/>
    <s v="Campaña 2025"/>
    <s v="Total"/>
    <x v="4"/>
    <x v="1"/>
    <x v="1"/>
    <s v="$"/>
    <n v="1046216.6844827586"/>
    <n v="1046216.6844827586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6.006600660066013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5.47854785478549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31.02310231023102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07.76237623762376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6.49357755775577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3192211221122108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198.87524752475247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81.68910891089109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8.019801980198025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990.09900990099015"/>
    <m/>
    <m/>
    <s v="32"/>
    <s v="OPN-8719"/>
    <x v="0"/>
  </r>
  <r>
    <x v="38"/>
    <x v="129"/>
    <s v="Monotributo"/>
    <s v="Total"/>
    <x v="4"/>
    <x v="0"/>
    <x v="0"/>
    <s v="$"/>
    <n v="921920"/>
    <n v="921920"/>
    <n v="608.52805280528048"/>
    <m/>
    <m/>
    <s v="23"/>
    <m/>
    <x v="0"/>
  </r>
  <r>
    <x v="1"/>
    <x v="129"/>
    <s v="Fruta fresca"/>
    <s v="Total"/>
    <x v="1"/>
    <x v="0"/>
    <x v="0"/>
    <s v="$"/>
    <n v="5000000"/>
    <n v="5000000"/>
    <n v="3300.3300330033003"/>
    <m/>
    <m/>
    <s v="21"/>
    <m/>
    <x v="0"/>
  </r>
  <r>
    <x v="14"/>
    <x v="129"/>
    <s v="Fruta Fresca campaña 2025"/>
    <s v="Total"/>
    <x v="4"/>
    <x v="1"/>
    <x v="1"/>
    <s v="$"/>
    <n v="337000"/>
    <n v="337000"/>
    <n v="222.44224422442244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4.02640264026405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4.02640264026405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300.5794125412541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57.75577557755776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87.45874587458741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60.0660066006601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22.11221122112215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43.1545874587459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782.1782178217823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53.7821782178216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310.1980198019801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584.1584158415842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584.1584158415842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50.1650165016501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50.1650165016501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82.50825082508248"/>
    <m/>
    <m/>
    <s v="28"/>
    <s v="OPN-8423"/>
    <x v="0"/>
  </r>
  <r>
    <x v="19"/>
    <x v="129"/>
    <s v="Fruta Fresca"/>
    <s v="Total"/>
    <x v="4"/>
    <x v="1"/>
    <x v="1"/>
    <s v="$"/>
    <n v="378696"/>
    <n v="378696"/>
    <n v="249.96435643564357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58.84818481848185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82.13201320132015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20.36303630363034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23.43234323432341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30.03300330033005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30.03300330033005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51.88880528052806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63.03630363036302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92.73927392739273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396.03960396039605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35.64356435643566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37.49174917491752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68.64686468646863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81.84818481848185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495.04950495049508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495.04950495049508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11.15511551155117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28.0528052805281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91.02310231023102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12.54125412541259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22.87788778877882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60.0660066006601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60.0660066006601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60.0660066006601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796.25742574257424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72.33267326732675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990.09900990099015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25.4217821782179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600.6600660066006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990.09900990099015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627.7227722772277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68.5808580858086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60.0660066006601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25.08250825082507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83.1439669966996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65.34653465346537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60.0660066006601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38.28382838283824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25.08250825082507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60.0660066006601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64.85148514851483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3.57811881188118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3.76237623762377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3.76237623762377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3.76237623762377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1.77557755775578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2.01320132013203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2.01320132013203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5.9009900990099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30.03300330033005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30.03300330033005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30.03300330033005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63.61056105610561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495.04950495049508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505.34653465346537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74.32343234323434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79.207920792079207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2.01320132013203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21.78217821782178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5.34785478547855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57.42574257425741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300.8171617161716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09.87458745874585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50.19708910891086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396.03960396039605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5.78085808580857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30.7729372937294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58.08580858085804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990.09900990099015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990.09900990099015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20.1320132013202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30.03300330033005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91.82772277227724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81.98019801980195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18.81188118811882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600.6600660066006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30.03300330033005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594.05940594059405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36.9636963696369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50.1650165016501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30.03300330033005"/>
    <m/>
    <m/>
    <s v="04"/>
    <s v="OPN-6169"/>
    <x v="0"/>
  </r>
  <r>
    <x v="9"/>
    <x v="129"/>
    <s v="Campaña 2025"/>
    <s v="Total"/>
    <x v="4"/>
    <x v="1"/>
    <x v="1"/>
    <s v="$"/>
    <n v="1664000"/>
    <n v="1664000"/>
    <n v="1098.3498349834983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493.7293729372936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493.7293729372936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50.1650165016501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30.03300330033005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30.03300330033005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30.03300330033005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15.04950495049508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45.54455445544556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59.37293729372936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59.37293729372936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35.3003300330033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30.03300330033005"/>
    <m/>
    <m/>
    <s v="06"/>
    <s v="OPN-6223"/>
    <x v="0"/>
  </r>
  <r>
    <x v="34"/>
    <x v="129"/>
    <s v="Campaña 2025"/>
    <s v="Total"/>
    <x v="4"/>
    <x v="0"/>
    <x v="0"/>
    <s v="$"/>
    <n v="1500000"/>
    <n v="1500000"/>
    <n v="990.09900990099015"/>
    <m/>
    <m/>
    <s v="37"/>
    <s v="OPN-9088"/>
    <x v="0"/>
  </r>
  <r>
    <x v="6"/>
    <x v="129"/>
    <s v="Campaña 2025"/>
    <s v="Total"/>
    <x v="4"/>
    <x v="0"/>
    <x v="0"/>
    <s v="$"/>
    <n v="3000000"/>
    <n v="3000000"/>
    <n v="1980.1980198019803"/>
    <m/>
    <m/>
    <s v="41"/>
    <s v="OPN-9511"/>
    <x v="0"/>
  </r>
  <r>
    <x v="22"/>
    <x v="129"/>
    <s v="Monotributo"/>
    <s v="Total"/>
    <x v="4"/>
    <x v="0"/>
    <x v="0"/>
    <s v="$"/>
    <n v="1000000"/>
    <n v="1000000"/>
    <n v="660.0660066006601"/>
    <m/>
    <m/>
    <s v="42"/>
    <s v="OPN-9551"/>
    <x v="0"/>
  </r>
  <r>
    <x v="16"/>
    <x v="129"/>
    <m/>
    <s v="Total"/>
    <x v="3"/>
    <x v="0"/>
    <x v="0"/>
    <s v="$"/>
    <n v="4000000"/>
    <n v="4000000"/>
    <n v="2640.2640264026404"/>
    <m/>
    <m/>
    <s v="50"/>
    <s v="OPN-10167"/>
    <x v="0"/>
  </r>
  <r>
    <x v="11"/>
    <x v="129"/>
    <s v="Campaña 2025"/>
    <s v="Total"/>
    <x v="4"/>
    <x v="1"/>
    <x v="1"/>
    <s v="$"/>
    <n v="901034"/>
    <n v="901034"/>
    <n v="594.74191419141914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493.7293729372936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493.7293729372936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300.3300330033003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300.3300330033003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40.2640264026404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698.75155115511552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71.61716171617161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10.53883828382838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4.09504290429041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5.808580858085804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194.7194719471947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7.33993399339934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40.21623762376237"/>
    <m/>
    <m/>
    <s v="34"/>
    <m/>
    <x v="0"/>
  </r>
  <r>
    <x v="23"/>
    <x v="132"/>
    <s v="Campaña 2025"/>
    <s v="Total"/>
    <x v="4"/>
    <x v="1"/>
    <x v="1"/>
    <s v="$"/>
    <n v="268373"/>
    <n v="268373"/>
    <n v="177.14389438943894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3.46534653465346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79.44422442244223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4.05056105610561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10.97161716171618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91.41914191419141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8.019801980198018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3.66172937293732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51.8151815181518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21.94719471947195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43.3452145214521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54.125412541254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56.97689768976898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787.4587458745875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67.6567656765676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30.03300330033005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60.0660066006601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31.023102310231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20.1320132013202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54.125412541254"/>
    <m/>
    <m/>
    <s v="04"/>
    <s v="OPN-6168"/>
    <x v="0"/>
  </r>
  <r>
    <x v="43"/>
    <x v="57"/>
    <s v="Servicio "/>
    <s v="Total"/>
    <x v="0"/>
    <x v="0"/>
    <x v="0"/>
    <s v="$"/>
    <n v="4746.67"/>
    <n v="4746.67"/>
    <n v="3.1331155115511553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11.28491749174907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46.86468646864682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52.47524752475249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198.01980198019803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605.47920792079208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28.0528052805281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28.0528052805281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28.0528052805281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2.01320132013203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2.01320132013203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2.01320132013203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41.21188118811881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6.33333333333334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6.33333333333334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6.33333333333334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6.33333333333334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4.02640264026405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4.02640264026405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302.17491749174917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396.03960396039605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396.03960396039605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396.03960396039605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396.03960396039605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399.57953795379535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66.24356435643563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38.10125412541257"/>
    <m/>
    <m/>
    <s v="24"/>
    <m/>
    <x v="0"/>
  </r>
  <r>
    <x v="39"/>
    <x v="135"/>
    <s v="20 codigos de barra"/>
    <s v="Total"/>
    <x v="1"/>
    <x v="0"/>
    <x v="0"/>
    <s v="$"/>
    <n v="195505.75"/>
    <n v="195505.75"/>
    <n v="129.04669966996698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3.019306930693062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603.8613861386139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071.6171617161717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48.0573465346533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4989.7042904290429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48.84207920792079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2.112211221122109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91.41914191419141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87.52475247524751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28.0528052805281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2.895247524752463"/>
    <m/>
    <m/>
    <s v="39"/>
    <s v="OPN-9297"/>
    <x v="0"/>
  </r>
  <r>
    <x v="16"/>
    <x v="141"/>
    <m/>
    <s v="Total"/>
    <x v="1"/>
    <x v="0"/>
    <x v="0"/>
    <s v="$"/>
    <n v="51931.91"/>
    <n v="51931.91"/>
    <n v="34.27848844884489"/>
    <m/>
    <m/>
    <s v="50"/>
    <s v="OPN-10220"/>
    <x v="0"/>
  </r>
  <r>
    <x v="5"/>
    <x v="142"/>
    <s v="Aridos"/>
    <s v="Total"/>
    <x v="1"/>
    <x v="0"/>
    <x v="0"/>
    <s v="$"/>
    <n v="643943.4"/>
    <n v="643943.4"/>
    <n v="425.04514851485152"/>
    <m/>
    <m/>
    <s v="34"/>
    <s v="S"/>
    <x v="0"/>
  </r>
  <r>
    <x v="11"/>
    <x v="142"/>
    <m/>
    <s v="Total"/>
    <x v="3"/>
    <x v="0"/>
    <x v="0"/>
    <s v="$"/>
    <n v="242000"/>
    <n v="242000"/>
    <n v="159.73597359735973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3.102310231023104"/>
    <m/>
    <m/>
    <s v="15"/>
    <m/>
    <x v="0"/>
  </r>
  <r>
    <x v="32"/>
    <x v="143"/>
    <s v="Servicio Gomeria"/>
    <s v="Total"/>
    <x v="1"/>
    <x v="1"/>
    <x v="2"/>
    <s v="$"/>
    <n v="40000"/>
    <n v="40000"/>
    <n v="26.402640264026402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19.801980198019802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77.02970297029702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78.47068646864682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6.006600660066013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31.02310231023102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63.03630363036302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2.11221122112211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5.41043564356434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71.05044224422443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7.17965676567655"/>
    <m/>
    <m/>
    <s v="34"/>
    <s v="S"/>
    <x v="0"/>
  </r>
  <r>
    <x v="5"/>
    <x v="146"/>
    <s v="Servicio camas "/>
    <s v="Total"/>
    <x v="3"/>
    <x v="0"/>
    <x v="0"/>
    <s v="$"/>
    <n v="515139.81"/>
    <n v="515139.81"/>
    <n v="340.02627722772274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7.11788118811882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79.15871947194722"/>
    <m/>
    <m/>
    <s v="41"/>
    <s v="OPN-9509"/>
    <x v="0"/>
  </r>
  <r>
    <x v="16"/>
    <x v="146"/>
    <m/>
    <s v="Total"/>
    <x v="3"/>
    <x v="0"/>
    <x v="0"/>
    <s v="$"/>
    <n v="577754.77"/>
    <n v="577754.77"/>
    <n v="381.35628382838286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08.97291749174914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8.079207920792079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8.079207920792079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7.69636963696371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2.76567656765675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2.8052805280528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59.70297029702971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6138613861386144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8.765676567656769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90.42904290429044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80.31551155115511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2.3102310231023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6.76633663366337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11.22112211221122"/>
    <m/>
    <m/>
    <s v="43"/>
    <s v="OPN-9643"/>
    <x v="0"/>
  </r>
  <r>
    <x v="11"/>
    <x v="148"/>
    <m/>
    <s v="Total"/>
    <x v="3"/>
    <x v="0"/>
    <x v="0"/>
    <s v="$"/>
    <n v="196000.01"/>
    <n v="196000.01"/>
    <n v="129.37294389438944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990.09900990099015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20.1320132013202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30.03300330033005"/>
    <m/>
    <m/>
    <s v="24"/>
    <s v="OPN-5198"/>
    <x v="0"/>
  </r>
  <r>
    <x v="12"/>
    <x v="150"/>
    <s v="Tienda Nube"/>
    <s v="Total"/>
    <x v="3"/>
    <x v="0"/>
    <x v="0"/>
    <s v="$"/>
    <n v="326325"/>
    <n v="326325"/>
    <n v="215.39603960396039"/>
    <m/>
    <m/>
    <s v="47"/>
    <s v="OPN-9933"/>
    <x v="0"/>
  </r>
  <r>
    <x v="15"/>
    <x v="150"/>
    <s v="Tiendanube"/>
    <s v="Total"/>
    <x v="1"/>
    <x v="0"/>
    <x v="0"/>
    <s v="$"/>
    <n v="336630"/>
    <n v="336630"/>
    <n v="222.19801980198019"/>
    <m/>
    <m/>
    <s v="39"/>
    <s v="OPN-9282"/>
    <x v="0"/>
  </r>
  <r>
    <x v="16"/>
    <x v="150"/>
    <s v="Tienda Nube"/>
    <s v="Total"/>
    <x v="1"/>
    <x v="0"/>
    <x v="0"/>
    <s v="$"/>
    <n v="335485"/>
    <n v="335485"/>
    <n v="221.44224422442244"/>
    <m/>
    <m/>
    <s v="50"/>
    <s v="OPN-10200"/>
    <x v="0"/>
  </r>
  <r>
    <x v="28"/>
    <x v="150"/>
    <s v="Tienda nube"/>
    <s v="Total"/>
    <x v="3"/>
    <x v="0"/>
    <x v="0"/>
    <s v="$"/>
    <n v="333195"/>
    <n v="333195"/>
    <n v="219.93069306930693"/>
    <m/>
    <m/>
    <s v="04"/>
    <s v="OPN-10642"/>
    <x v="0"/>
  </r>
  <r>
    <x v="12"/>
    <x v="151"/>
    <m/>
    <s v="Total"/>
    <x v="1"/>
    <x v="0"/>
    <x v="0"/>
    <s v="$"/>
    <n v="78100"/>
    <n v="78100"/>
    <n v="51.551155115511548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2.409240924092408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49.17491749174917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7.326732673267326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3.33696369636965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1011.5478745874588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783.189960396039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69.1089108910892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69.1089108910892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715.9998151815189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710.8080858085814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287.1287128712872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287.1287128712872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287.1287128712872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287.1287128712872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85.141702970297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73.366389438944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70.1534455445544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67.393663366337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510785478547856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58.30926072607258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62.50831023102307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77.6234323432343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1009.6050825082508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574.2574257425745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50.9816501650166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29.5943366336633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760666666666665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1980.1980198019803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20.1320132013202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8104.8154983498353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60.0660066006601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503.59059405940593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20.1320132013202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493.7293729372936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493.7293729372936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1980.1980198019803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296.4356435643565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67.973597359736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597.3597359735973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78.6611881188119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78.6611881188119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3.102310231023104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2.87128712871286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7.161716171617162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2.80767656765676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36.5624950495048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455894389438946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188.1188118811883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11.28491749174907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67.0627062706271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20.1320132013202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878.2178217821784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92.07927392739273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402640264026402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718.1963036303632"/>
    <m/>
    <m/>
    <s v="24"/>
    <m/>
    <x v="0"/>
  </r>
  <r>
    <x v="37"/>
    <x v="160"/>
    <s v="Bidones 2024"/>
    <s v="Parcial"/>
    <x v="1"/>
    <x v="0"/>
    <x v="1"/>
    <s v="$"/>
    <n v="144427.5"/>
    <n v="144427.5"/>
    <n v="95.331683168316829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28.876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27.44906930693071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16.43918151815183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47.69042904290427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9046930693069317"/>
    <m/>
    <m/>
    <s v="37"/>
    <s v="OPN-9209"/>
    <x v="0"/>
  </r>
  <r>
    <x v="11"/>
    <x v="160"/>
    <s v="Envases"/>
    <s v="Total"/>
    <x v="1"/>
    <x v="0"/>
    <x v="1"/>
    <s v="$"/>
    <n v="1000000"/>
    <n v="1000000"/>
    <n v="660.0660066006601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48.1848184818482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1980.1980198019803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1980.1980198019803"/>
    <m/>
    <d v="2026-04-28T00:00:00"/>
    <n v="18"/>
    <s v="OPN-6394"/>
    <x v="0"/>
  </r>
  <r>
    <x v="7"/>
    <x v="161"/>
    <m/>
    <s v="Total"/>
    <x v="0"/>
    <x v="1"/>
    <x v="2"/>
    <s v="U$D"/>
    <n v="2900750"/>
    <n v="439463625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83.25802640264021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54.75247524752479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706.66424422442253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84.29060726072612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18.8037425742574"/>
    <m/>
    <m/>
    <s v="48"/>
    <s v="OPN-10069"/>
    <x v="0"/>
  </r>
  <r>
    <x v="38"/>
    <x v="164"/>
    <s v="Redes"/>
    <s v="Total"/>
    <x v="3"/>
    <x v="0"/>
    <x v="0"/>
    <s v="$"/>
    <n v="120000"/>
    <n v="120000"/>
    <n v="79.207920792079207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79.207920792079207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79.207920792079207"/>
    <m/>
    <m/>
    <s v="34"/>
    <m/>
    <x v="0"/>
  </r>
  <r>
    <x v="5"/>
    <x v="164"/>
    <s v="Servicio Audiovisual"/>
    <s v="Total"/>
    <x v="3"/>
    <x v="0"/>
    <x v="0"/>
    <s v="$"/>
    <n v="120000"/>
    <n v="120000"/>
    <n v="79.207920792079207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79.207920792079207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79.207920792079207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79.207920792079207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79.207920792079207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8.25306930693068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198.48792079207922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2.99775577557756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43.71986798679865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87.8407392739274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198.16422442244223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50.165016501650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50.165016501650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50.165016501650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50.1650165016501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60.0660066006601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60.0660066006601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60.0660066006601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60.0660066006601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60.0660066006601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60.0660066006601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60.0660066006601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60.0660066006601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60.0660066006601"/>
    <m/>
    <m/>
    <s v="19"/>
    <m/>
    <x v="0"/>
  </r>
  <r>
    <x v="0"/>
    <x v="167"/>
    <s v="Obra salon de ventas"/>
    <s v="Parcial"/>
    <x v="0"/>
    <x v="1"/>
    <x v="1"/>
    <s v="$"/>
    <n v="1000000"/>
    <n v="1000000"/>
    <n v="660.0660066006601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60.0660066006601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60.0660066006601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30.03300330033005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5.808580858085804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5.808580858085804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5.808580858085804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30.03300330033005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49.504950495049506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49.504950495049506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7.763729372937291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6243894389438944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0957095709570956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72.93729372937293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60.0660066006601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792.0792079207921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28.0528052805281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44.22442244224419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52.55445544554459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81.0825082508252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620.4620462046205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41.72541254125417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87.45874587458741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2001.9801980198019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4.608580858085809"/>
    <m/>
    <m/>
    <s v="48"/>
    <s v="OPN-5864"/>
    <x v="0"/>
  </r>
  <r>
    <x v="41"/>
    <x v="57"/>
    <s v="Servicio"/>
    <s v="Total"/>
    <x v="3"/>
    <x v="0"/>
    <x v="0"/>
    <s v="$"/>
    <n v="30690"/>
    <n v="30690"/>
    <n v="20.257425742574256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11.28491749174907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7.291749174917499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05.94059405940595"/>
    <m/>
    <m/>
    <s v="12"/>
    <m/>
    <x v="0"/>
  </r>
  <r>
    <x v="4"/>
    <x v="169"/>
    <s v="Reparacion boba COE"/>
    <s v="Total"/>
    <x v="1"/>
    <x v="0"/>
    <x v="1"/>
    <s v="$"/>
    <n v="2500000"/>
    <n v="2500000"/>
    <n v="1650.165016501650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50.165016501650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50.165016501650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50.165016501650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50.1650165016501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800.85060726072606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5.20048514851484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5.20048514851484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24.25700330033004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24.25700330033004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1.151188118811881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1.151181518151809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93.35183498349835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93.35183498349835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6.63366336633663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79.5994785478548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5.74672607260726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237623762376238"/>
    <m/>
    <m/>
    <s v="31"/>
    <s v="OPN-8649"/>
    <x v="0"/>
  </r>
  <r>
    <x v="21"/>
    <x v="172"/>
    <m/>
    <s v="Total"/>
    <x v="1"/>
    <x v="1"/>
    <x v="1"/>
    <s v="$"/>
    <n v="1000000"/>
    <n v="1000000"/>
    <n v="660.0660066006601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1.77557755775578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7.06916171617166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6.50165016501649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242244224422442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50.46732673267326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16.83168316831683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495.04950495049508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78.87788778877882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30.03300330033005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198.01980198019803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198.87524752475247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507458745874588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2.856310231023102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353.9911287128707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54.99383498349835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54.99383498349835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91.41914191419141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22.1122112211222"/>
    <m/>
    <m/>
    <s v="50"/>
    <s v="OPN-10201"/>
    <x v="0"/>
  </r>
  <r>
    <x v="5"/>
    <x v="175"/>
    <s v="Impresiones RRHH"/>
    <s v="Total"/>
    <x v="1"/>
    <x v="0"/>
    <x v="0"/>
    <s v="$"/>
    <n v="45000"/>
    <n v="45000"/>
    <n v="29.702970297029704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21.78217821782181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513.354587458746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3.93597359735975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5.04950495049508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297.02970297029702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30.03300330033005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30.03300330033005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30.03300330033005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36.63366336633663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63.0363036303630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3.0363036303630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3.03630363036302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5.0745874587459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396.03960396039605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405.02970297029702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27.40594059405942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42.24422442244224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62.04620462046205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28.0528052805281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594.05940594059405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9.312871287128711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4.752475247524753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26.65062706270623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60.0660066006601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493.9933993399341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500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50.1650165016501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48.1848184818482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80.1980198019803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80.1980198019803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1980.1980198019803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376.2376237623762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574.2574257425745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5.58679867986798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287.1287128712872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287.1287128712872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44.989201320132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44.7859273927395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84.9455445544554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5.03630363036302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30.03300330033005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64.85148514851483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85.129188118812"/>
    <m/>
    <m/>
    <s v="42"/>
    <s v="OPN-9567"/>
    <x v="0"/>
  </r>
  <r>
    <x v="16"/>
    <x v="184"/>
    <s v="Campaña 2025"/>
    <s v="Total"/>
    <x v="4"/>
    <x v="0"/>
    <x v="2"/>
    <s v="$"/>
    <n v="984480"/>
    <n v="984480"/>
    <n v="649.82178217821786"/>
    <m/>
    <m/>
    <s v="50"/>
    <s v="OPN-10191"/>
    <x v="0"/>
  </r>
  <r>
    <x v="42"/>
    <x v="184"/>
    <s v="Campaña 2025"/>
    <s v="Total"/>
    <x v="4"/>
    <x v="0"/>
    <x v="1"/>
    <s v="$"/>
    <n v="750000"/>
    <n v="750000"/>
    <n v="495.04950495049508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26.07260726072604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26.07260726072604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55.11551155115512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20.1320132013202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18.0837491749174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898.0946534653465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83.65302310231016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83.60615841584155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405854785478549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60.1327722772276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297.53726732673266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50.1650165016501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4.22031023102312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29.95165016501653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9.95165016501653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9.95165016501653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18.0837491749174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18.0837425742575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74.10306930693071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30.477425742574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35.49669966996703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7.724191419141913"/>
    <m/>
    <m/>
    <s v="44"/>
    <m/>
    <x v="0"/>
  </r>
  <r>
    <x v="24"/>
    <x v="190"/>
    <s v="Perforacion (Rapachioli)"/>
    <s v="Total"/>
    <x v="1"/>
    <x v="0"/>
    <x v="1"/>
    <s v="$"/>
    <n v="750000"/>
    <n v="750000"/>
    <n v="495.04950495049508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602.28712871287132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54.125412541254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35.81188118811883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52.62838283828381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1.67062706270627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48.62046204620461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51.10767656765677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10.24286468646864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29.61201980198018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22.46860066006604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3.19108910891089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8.52062706270627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31.02310231023102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60.0660066006601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29.5423102310233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0999.656765676567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5939.480871287129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600.6600660066006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600.6600660066006"/>
    <m/>
    <m/>
    <s v="27"/>
    <m/>
    <x v="0"/>
  </r>
  <r>
    <x v="17"/>
    <x v="198"/>
    <s v="Fruta Fresca"/>
    <s v="Parcial"/>
    <x v="4"/>
    <x v="0"/>
    <x v="0"/>
    <s v="$"/>
    <n v="6000000"/>
    <n v="6000000"/>
    <n v="3960.3960396039606"/>
    <m/>
    <m/>
    <s v="28"/>
    <s v="OPN-8482"/>
    <x v="0"/>
  </r>
  <r>
    <x v="2"/>
    <x v="198"/>
    <s v="Fruta fresca"/>
    <s v="Total"/>
    <x v="4"/>
    <x v="0"/>
    <x v="0"/>
    <s v="$"/>
    <n v="9804480"/>
    <n v="9804480"/>
    <n v="6471.6039603960398"/>
    <m/>
    <m/>
    <s v="32"/>
    <s v="S"/>
    <x v="0"/>
  </r>
  <r>
    <x v="40"/>
    <x v="198"/>
    <s v="Campaña 2025"/>
    <s v="Total"/>
    <x v="4"/>
    <x v="0"/>
    <x v="0"/>
    <s v="$"/>
    <n v="9804480"/>
    <n v="9804480"/>
    <n v="6471.6039603960398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468.6468646864687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43.5511551155116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40.5940594059407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528.052805280528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177.8745874587457"/>
    <m/>
    <m/>
    <s v="49"/>
    <s v="OPN-10115"/>
    <x v="0"/>
  </r>
  <r>
    <x v="9"/>
    <x v="198"/>
    <s v="Campaña 2025"/>
    <s v="Total"/>
    <x v="4"/>
    <x v="0"/>
    <x v="0"/>
    <s v="$"/>
    <n v="7500000"/>
    <n v="7500000"/>
    <n v="4950.4950495049507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301.63696369637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3.007920792079204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310.8910891089108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593.2547194719473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56.0593333333334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40.2640264026404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63.03630363036302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63.03630363036302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287.1287128712872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287.1287128712872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34.65346534653463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386930693069308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57.8349174917489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39.6529372937296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39.6529372937296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39.6529372937296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300.34310231023102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7914191419141918"/>
    <m/>
    <m/>
    <s v="03"/>
    <s v="OPN-10567"/>
    <x v="0"/>
  </r>
  <r>
    <x v="11"/>
    <x v="201"/>
    <m/>
    <s v="Total"/>
    <x v="3"/>
    <x v="0"/>
    <x v="0"/>
    <s v="$"/>
    <n v="13527"/>
    <n v="13527"/>
    <n v="8.9287128712871286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50.82508250825083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80.9817293729373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24.63926732673269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50.1650165016501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85.7667920792079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50.1650165016501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2013.2013201320133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452.43898349835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9900.9900990099013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30.068699669966996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198.01980198019803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78.21782178217822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199.63028382838283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89.584158415841586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29.76105610561055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92.03324092409241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198.34983498349834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46.86468646864682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49.70297029702971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2.60726072607261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4.93838283828387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4.44950495049505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521.3597359735973"/>
    <m/>
    <m/>
    <s v="12"/>
    <m/>
    <x v="0"/>
  </r>
  <r>
    <x v="0"/>
    <x v="207"/>
    <s v="Fruta fresca 2025"/>
    <s v="Total"/>
    <x v="4"/>
    <x v="1"/>
    <x v="2"/>
    <s v="$"/>
    <n v="500000"/>
    <n v="500000"/>
    <n v="330.03300330033005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30.03300330033005"/>
    <m/>
    <m/>
    <s v="24"/>
    <m/>
    <x v="0"/>
  </r>
  <r>
    <x v="14"/>
    <x v="207"/>
    <s v="Fruta Fresca"/>
    <s v="Total"/>
    <x v="4"/>
    <x v="1"/>
    <x v="2"/>
    <s v="$"/>
    <n v="500000"/>
    <n v="500000"/>
    <n v="330.03300330033005"/>
    <m/>
    <m/>
    <s v="26"/>
    <s v="OPN-5254"/>
    <x v="0"/>
  </r>
  <r>
    <x v="18"/>
    <x v="207"/>
    <s v="Fruta fresca  "/>
    <s v="Total"/>
    <x v="4"/>
    <x v="1"/>
    <x v="2"/>
    <s v="$"/>
    <n v="500000"/>
    <n v="500000"/>
    <n v="330.03300330033005"/>
    <m/>
    <m/>
    <s v="27"/>
    <s v="OPN-5266"/>
    <x v="0"/>
  </r>
  <r>
    <x v="17"/>
    <x v="207"/>
    <s v="Fruta fresca  "/>
    <s v="Total"/>
    <x v="4"/>
    <x v="1"/>
    <x v="2"/>
    <s v="$"/>
    <n v="500000"/>
    <n v="500000"/>
    <n v="330.03300330033005"/>
    <m/>
    <m/>
    <s v="28"/>
    <s v="OPN-5299"/>
    <x v="0"/>
  </r>
  <r>
    <x v="19"/>
    <x v="207"/>
    <s v="Fruta fresca  "/>
    <s v="Total"/>
    <x v="4"/>
    <x v="1"/>
    <x v="2"/>
    <s v="$"/>
    <n v="500000"/>
    <n v="500000"/>
    <n v="330.03300330033005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60.0660066006601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5.646858085808582"/>
    <m/>
    <m/>
    <s v="32"/>
    <m/>
    <x v="0"/>
  </r>
  <r>
    <x v="16"/>
    <x v="209"/>
    <s v="Pozo 19 los cerrillos"/>
    <s v="Total"/>
    <x v="1"/>
    <x v="0"/>
    <x v="1"/>
    <s v="$"/>
    <n v="926247.49"/>
    <n v="926247.49"/>
    <n v="611.38448184818481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52.010501650165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2.904290429042902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7.78877887788779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18.1518151815183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46.5346534653465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39.8019801980199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6.40737293729373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22.36986798679868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13.03458745874588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1.04290429042905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99.009900990099013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7.47502970297032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8.21759735973598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48.97807260726074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1000.5709570957096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5.99518811881188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29.04290429042902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50.1650165016501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5.841584158415841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201320132013201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91.44826402640263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44.11594719471947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44.11594719471947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68.4884488448845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68.4884488448845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18.64686468646869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05.94059405940595"/>
    <m/>
    <m/>
    <s v="21"/>
    <m/>
    <x v="0"/>
  </r>
  <r>
    <x v="1"/>
    <x v="216"/>
    <s v="Calzado"/>
    <s v="Total"/>
    <x v="1"/>
    <x v="0"/>
    <x v="1"/>
    <s v="$"/>
    <n v="4229011.71"/>
    <n v="4229011.71"/>
    <n v="2791.4268712871285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09.45940594059405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400.8587458745874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936.6576039603956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2.545848184818482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297.53330693069307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64.892501650165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49.00122772277234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597.83448184818485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42.63366336633663"/>
    <m/>
    <m/>
    <s v="25"/>
    <s v="OPN-8244"/>
    <x v="0"/>
  </r>
  <r>
    <x v="26"/>
    <x v="219"/>
    <s v="Combustible"/>
    <s v="Total"/>
    <x v="1"/>
    <x v="0"/>
    <x v="2"/>
    <s v="$"/>
    <n v="60000"/>
    <n v="60000"/>
    <n v="39.603960396039604"/>
    <m/>
    <m/>
    <s v="16"/>
    <m/>
    <x v="0"/>
  </r>
  <r>
    <x v="48"/>
    <x v="219"/>
    <s v="Combustible"/>
    <s v="Total"/>
    <x v="1"/>
    <x v="0"/>
    <x v="2"/>
    <s v="$"/>
    <n v="60000"/>
    <n v="60000"/>
    <n v="39.603960396039604"/>
    <m/>
    <m/>
    <s v="20"/>
    <s v="OPN-7892"/>
    <x v="0"/>
  </r>
  <r>
    <x v="38"/>
    <x v="219"/>
    <s v="Honorarios"/>
    <s v="Total"/>
    <x v="3"/>
    <x v="0"/>
    <x v="0"/>
    <s v="$"/>
    <n v="519090"/>
    <n v="519090"/>
    <n v="342.63366336633663"/>
    <m/>
    <m/>
    <s v="23"/>
    <s v="OP N 8110"/>
    <x v="0"/>
  </r>
  <r>
    <x v="17"/>
    <x v="219"/>
    <s v="Combustible"/>
    <s v="Total"/>
    <x v="2"/>
    <x v="0"/>
    <x v="2"/>
    <s v="$"/>
    <n v="60000"/>
    <n v="60000"/>
    <n v="39.603960396039604"/>
    <m/>
    <m/>
    <s v="28"/>
    <s v="OPN-8483"/>
    <x v="0"/>
  </r>
  <r>
    <x v="17"/>
    <x v="219"/>
    <s v="Combustible"/>
    <s v="Total"/>
    <x v="2"/>
    <x v="0"/>
    <x v="2"/>
    <s v="$"/>
    <n v="60000"/>
    <n v="60000"/>
    <n v="39.603960396039604"/>
    <m/>
    <m/>
    <s v="28"/>
    <s v="OPN-8489"/>
    <x v="0"/>
  </r>
  <r>
    <x v="19"/>
    <x v="219"/>
    <s v="Honorarios"/>
    <s v="Total"/>
    <x v="3"/>
    <x v="0"/>
    <x v="0"/>
    <s v="$"/>
    <n v="519090"/>
    <n v="519090"/>
    <n v="342.63366336633663"/>
    <m/>
    <m/>
    <s v="29"/>
    <s v="OPN-8538"/>
    <x v="0"/>
  </r>
  <r>
    <x v="35"/>
    <x v="219"/>
    <s v="Combustible"/>
    <s v="Total"/>
    <x v="2"/>
    <x v="0"/>
    <x v="2"/>
    <s v="$"/>
    <n v="60000"/>
    <n v="60000"/>
    <n v="39.603960396039604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37.85702970297029"/>
    <m/>
    <m/>
    <s v="34"/>
    <s v="OPN-8901"/>
    <x v="0"/>
  </r>
  <r>
    <x v="20"/>
    <x v="219"/>
    <s v="Combustible"/>
    <s v="Total"/>
    <x v="2"/>
    <x v="0"/>
    <x v="2"/>
    <s v="$"/>
    <n v="68029.5"/>
    <n v="68029.5"/>
    <n v="44.903960396039601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42.63366336633663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42.63366336633663"/>
    <m/>
    <m/>
    <s v="41"/>
    <s v="OPN-9512"/>
    <x v="0"/>
  </r>
  <r>
    <x v="12"/>
    <x v="219"/>
    <s v="Combustible"/>
    <s v="Total"/>
    <x v="2"/>
    <x v="0"/>
    <x v="2"/>
    <s v="$"/>
    <n v="72600"/>
    <n v="72600"/>
    <n v="47.920792079207921"/>
    <m/>
    <m/>
    <s v="47"/>
    <s v="OPN-9919"/>
    <x v="0"/>
  </r>
  <r>
    <x v="16"/>
    <x v="219"/>
    <m/>
    <s v="Total"/>
    <x v="3"/>
    <x v="0"/>
    <x v="0"/>
    <s v="$"/>
    <n v="511853.4"/>
    <n v="511853.4"/>
    <n v="337.85702970297029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2.805280528052805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1.485148514851488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79.20792079207922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79.20792079207922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85.8085808580858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85.8085808580858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4.023894389438951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46.08855445544555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610217821782179"/>
    <m/>
    <m/>
    <s v="44"/>
    <s v="OPN-9736"/>
    <x v="0"/>
  </r>
  <r>
    <x v="42"/>
    <x v="221"/>
    <s v="Calzado Olmos"/>
    <s v="Total"/>
    <x v="1"/>
    <x v="0"/>
    <x v="0"/>
    <s v="$"/>
    <n v="67128"/>
    <n v="67128"/>
    <n v="44.308910891089106"/>
    <m/>
    <m/>
    <s v="03"/>
    <s v="OPN-10562"/>
    <x v="0"/>
  </r>
  <r>
    <x v="47"/>
    <x v="222"/>
    <s v="Finca Lolita"/>
    <s v="Total"/>
    <x v="2"/>
    <x v="1"/>
    <x v="2"/>
    <s v="$"/>
    <n v="68600"/>
    <n v="68600"/>
    <n v="45.28052805280528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4.922600660066006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4.418158415841582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41.12128712871288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11.42330033003304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199.42112211221121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63.29900330033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2.343234323432341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287.1287128712872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29.68976897689768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68.2772277227723"/>
    <s v="Urgente!"/>
    <m/>
    <s v="23"/>
    <m/>
    <x v="0"/>
  </r>
  <r>
    <x v="10"/>
    <x v="228"/>
    <s v="Tapas Frascos"/>
    <s v="Total"/>
    <x v="1"/>
    <x v="0"/>
    <x v="0"/>
    <s v="$"/>
    <n v="123904"/>
    <n v="123904"/>
    <n v="81.784818481848191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3.003300330033007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2.67326732673267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93.06938613861388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59081188118812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3.234323432343235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72.36879207920788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61.71617161716171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61.71617161716171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61.71617161716171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61.71617161716171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61.71617161716171"/>
    <m/>
    <m/>
    <s v="43"/>
    <s v="OPN-9641"/>
    <x v="0"/>
  </r>
  <r>
    <x v="7"/>
    <x v="232"/>
    <m/>
    <s v="Total"/>
    <x v="3"/>
    <x v="0"/>
    <x v="0"/>
    <s v="$"/>
    <n v="245000"/>
    <n v="245000"/>
    <n v="161.71617161716171"/>
    <m/>
    <m/>
    <s v="46"/>
    <s v="OPN-9897"/>
    <x v="0"/>
  </r>
  <r>
    <x v="11"/>
    <x v="232"/>
    <m/>
    <s v="Total"/>
    <x v="3"/>
    <x v="0"/>
    <x v="0"/>
    <s v="$"/>
    <n v="245000"/>
    <n v="245000"/>
    <n v="161.71617161716171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49.12688448844887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620.4620462046205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300.3300330033003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300.3300330033003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300.3300330033003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300.3300330033003"/>
    <m/>
    <m/>
    <s v="14"/>
    <m/>
    <x v="0"/>
  </r>
  <r>
    <x v="1"/>
    <x v="234"/>
    <s v="Cava  "/>
    <s v="Total"/>
    <x v="1"/>
    <x v="1"/>
    <x v="1"/>
    <s v="$"/>
    <n v="1988800"/>
    <n v="1988800"/>
    <n v="1312.7392739273928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901.1519933993395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26.07260726072604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111.5511551155116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22.1122112211222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68.1973597359736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990.09900990099015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990.09900990099015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35.64356435643566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50.1650165016501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300.3300330033003"/>
    <m/>
    <m/>
    <s v="16"/>
    <m/>
    <x v="0"/>
  </r>
  <r>
    <x v="26"/>
    <x v="234"/>
    <s v="Planta de aceite   "/>
    <s v="Total"/>
    <x v="1"/>
    <x v="1"/>
    <x v="1"/>
    <s v="$"/>
    <n v="10000000"/>
    <n v="10000000"/>
    <n v="6600.6600660066006"/>
    <m/>
    <m/>
    <s v="16"/>
    <m/>
    <x v="0"/>
  </r>
  <r>
    <x v="29"/>
    <x v="234"/>
    <s v="Cava / Planta Aceite"/>
    <s v="Total"/>
    <x v="1"/>
    <x v="0"/>
    <x v="2"/>
    <s v="$"/>
    <n v="5000000"/>
    <n v="5000000"/>
    <n v="3300.3300330033003"/>
    <m/>
    <m/>
    <s v="17"/>
    <m/>
    <x v="0"/>
  </r>
  <r>
    <x v="53"/>
    <x v="234"/>
    <s v="Cava / Planta Aceite"/>
    <s v="Total"/>
    <x v="1"/>
    <x v="0"/>
    <x v="2"/>
    <s v="$"/>
    <n v="1000000"/>
    <n v="1000000"/>
    <n v="660.0660066006601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28.0528052805281"/>
    <m/>
    <m/>
    <s v="18"/>
    <s v="OPN-4957"/>
    <x v="0"/>
  </r>
  <r>
    <x v="37"/>
    <x v="234"/>
    <s v="Obra Cava"/>
    <s v="Total"/>
    <x v="1"/>
    <x v="1"/>
    <x v="2"/>
    <s v="$"/>
    <n v="2000000"/>
    <n v="2000000"/>
    <n v="1320.1320132013202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303.32871287128711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2.706270627062707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4.02640264026405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5.01650165016503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2.499669966996699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6.07260726072607"/>
    <m/>
    <m/>
    <s v="24"/>
    <m/>
    <x v="0"/>
  </r>
  <r>
    <x v="53"/>
    <x v="238"/>
    <s v="Alquiler Baños quimicos"/>
    <s v="Total"/>
    <x v="1"/>
    <x v="0"/>
    <x v="1"/>
    <s v="$"/>
    <n v="600000"/>
    <n v="600000"/>
    <n v="396.03960396039605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396.03960396039605"/>
    <m/>
    <m/>
    <s v="18"/>
    <s v="OPN-7730"/>
    <x v="0"/>
  </r>
  <r>
    <x v="27"/>
    <x v="239"/>
    <s v="Combustible"/>
    <s v="Total"/>
    <x v="1"/>
    <x v="0"/>
    <x v="2"/>
    <s v="$"/>
    <n v="108000"/>
    <n v="108000"/>
    <n v="71.287128712871294"/>
    <m/>
    <m/>
    <s v="25"/>
    <m/>
    <x v="0"/>
  </r>
  <r>
    <x v="45"/>
    <x v="239"/>
    <s v="Combustible"/>
    <s v="Total"/>
    <x v="2"/>
    <x v="0"/>
    <x v="2"/>
    <s v="$"/>
    <n v="120000"/>
    <n v="120000"/>
    <n v="79.207920792079207"/>
    <m/>
    <m/>
    <s v="12"/>
    <s v="OP"/>
    <x v="0"/>
  </r>
  <r>
    <x v="52"/>
    <x v="239"/>
    <s v="Combustible"/>
    <s v="Total"/>
    <x v="2"/>
    <x v="0"/>
    <x v="2"/>
    <s v="$"/>
    <n v="120000"/>
    <n v="120000"/>
    <n v="79.207920792079207"/>
    <m/>
    <m/>
    <s v="14"/>
    <m/>
    <x v="0"/>
  </r>
  <r>
    <x v="29"/>
    <x v="239"/>
    <s v="Combustible"/>
    <s v="Total"/>
    <x v="2"/>
    <x v="0"/>
    <x v="2"/>
    <s v="$"/>
    <n v="120000"/>
    <n v="120000"/>
    <n v="79.207920792079207"/>
    <m/>
    <m/>
    <s v="17"/>
    <m/>
    <x v="0"/>
  </r>
  <r>
    <x v="46"/>
    <x v="239"/>
    <s v="Combustrible"/>
    <s v="Total"/>
    <x v="2"/>
    <x v="0"/>
    <x v="2"/>
    <s v="$"/>
    <n v="122010"/>
    <n v="122010"/>
    <n v="80.534653465346537"/>
    <m/>
    <m/>
    <s v="13"/>
    <m/>
    <x v="0"/>
  </r>
  <r>
    <x v="51"/>
    <x v="239"/>
    <s v="Combustible"/>
    <s v="Total"/>
    <x v="2"/>
    <x v="0"/>
    <x v="2"/>
    <s v="$"/>
    <n v="120000"/>
    <n v="120000"/>
    <n v="79.207920792079207"/>
    <m/>
    <m/>
    <s v="15"/>
    <m/>
    <x v="0"/>
  </r>
  <r>
    <x v="32"/>
    <x v="239"/>
    <s v="Combustible"/>
    <s v="Total"/>
    <x v="2"/>
    <x v="0"/>
    <x v="2"/>
    <s v="$"/>
    <n v="112004.98"/>
    <n v="112004.98"/>
    <n v="73.930679867986797"/>
    <m/>
    <m/>
    <s v="19"/>
    <m/>
    <x v="0"/>
  </r>
  <r>
    <x v="1"/>
    <x v="239"/>
    <s v="Combustible"/>
    <s v="Total"/>
    <x v="2"/>
    <x v="0"/>
    <x v="2"/>
    <s v="$"/>
    <n v="120000"/>
    <n v="120000"/>
    <n v="79.207920792079207"/>
    <m/>
    <m/>
    <s v="21"/>
    <m/>
    <x v="0"/>
  </r>
  <r>
    <x v="38"/>
    <x v="239"/>
    <s v="Combustible"/>
    <s v="Total"/>
    <x v="2"/>
    <x v="0"/>
    <x v="2"/>
    <s v="$"/>
    <n v="109004.01"/>
    <n v="109004.01"/>
    <n v="71.949841584158406"/>
    <m/>
    <m/>
    <s v="23"/>
    <m/>
    <x v="0"/>
  </r>
  <r>
    <x v="17"/>
    <x v="239"/>
    <s v="Combustible"/>
    <s v="Total"/>
    <x v="2"/>
    <x v="0"/>
    <x v="2"/>
    <s v="$"/>
    <n v="121095.94"/>
    <n v="121095.94"/>
    <n v="79.93131353135314"/>
    <m/>
    <m/>
    <s v="28"/>
    <s v="OPN-8490"/>
    <x v="0"/>
  </r>
  <r>
    <x v="17"/>
    <x v="239"/>
    <s v="Botas Operario"/>
    <s v="Total"/>
    <x v="2"/>
    <x v="0"/>
    <x v="2"/>
    <s v="$"/>
    <n v="59000"/>
    <n v="59000"/>
    <n v="38.943894389438945"/>
    <m/>
    <m/>
    <s v="28"/>
    <s v="OPN-8491"/>
    <x v="0"/>
  </r>
  <r>
    <x v="7"/>
    <x v="239"/>
    <s v="Combustible"/>
    <s v="Total"/>
    <x v="2"/>
    <x v="0"/>
    <x v="2"/>
    <s v="$"/>
    <n v="140000"/>
    <n v="140000"/>
    <n v="92.409240924092416"/>
    <m/>
    <m/>
    <s v="46"/>
    <s v="OPN-9917"/>
    <x v="0"/>
  </r>
  <r>
    <x v="4"/>
    <x v="240"/>
    <s v="Combustible"/>
    <s v="Total"/>
    <x v="2"/>
    <x v="0"/>
    <x v="2"/>
    <s v="$"/>
    <n v="140000"/>
    <n v="140000"/>
    <n v="92.409240924092416"/>
    <m/>
    <m/>
    <s v="51"/>
    <s v="OPN-10352"/>
    <x v="0"/>
  </r>
  <r>
    <x v="28"/>
    <x v="240"/>
    <s v="Combustible"/>
    <s v="Total"/>
    <x v="2"/>
    <x v="0"/>
    <x v="2"/>
    <s v="$"/>
    <n v="140004"/>
    <n v="140004"/>
    <n v="92.411881188118812"/>
    <m/>
    <m/>
    <s v="04"/>
    <s v="OPN-10635"/>
    <x v="0"/>
  </r>
  <r>
    <x v="9"/>
    <x v="240"/>
    <s v="Combustible"/>
    <s v="Total"/>
    <x v="2"/>
    <x v="0"/>
    <x v="2"/>
    <s v="$"/>
    <n v="140000"/>
    <n v="140000"/>
    <n v="92.409240924092416"/>
    <m/>
    <m/>
    <s v="05"/>
    <s v="OPN-10727"/>
    <x v="0"/>
  </r>
  <r>
    <x v="25"/>
    <x v="240"/>
    <s v="Combustible"/>
    <s v="Total"/>
    <x v="2"/>
    <x v="0"/>
    <x v="2"/>
    <s v="$"/>
    <n v="137000"/>
    <n v="137000"/>
    <n v="90.429042904290426"/>
    <m/>
    <m/>
    <s v="08"/>
    <s v="OPN-10974"/>
    <x v="0"/>
  </r>
  <r>
    <x v="47"/>
    <x v="222"/>
    <s v="Finca Lolita"/>
    <s v="Total"/>
    <x v="3"/>
    <x v="1"/>
    <x v="1"/>
    <s v="$"/>
    <n v="425000"/>
    <n v="425000"/>
    <n v="280.52805280528054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22.15264026402645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30.92834323432339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61.05610561056108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5.01650165016503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42.9042904290429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2.60726072607261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6.204620462046208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2.01320132013203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198.01980198019803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61.05610561056108"/>
    <m/>
    <m/>
    <s v="51"/>
    <s v="OPN-6023"/>
    <x v="0"/>
  </r>
  <r>
    <x v="9"/>
    <x v="242"/>
    <s v="Combustible"/>
    <s v="Total"/>
    <x v="2"/>
    <x v="0"/>
    <x v="2"/>
    <s v="$"/>
    <n v="140000"/>
    <n v="140000"/>
    <n v="92.409240924092416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297.02970297029702"/>
    <m/>
    <m/>
    <s v="07"/>
    <s v="OPN-6275"/>
    <x v="0"/>
  </r>
  <r>
    <x v="47"/>
    <x v="222"/>
    <s v="Finca Lolita"/>
    <s v="Total"/>
    <x v="3"/>
    <x v="1"/>
    <x v="1"/>
    <s v="$"/>
    <n v="600000"/>
    <n v="600000"/>
    <n v="396.03960396039605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19.00000660066007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904.2904290429042"/>
    <m/>
    <m/>
    <s v="10"/>
    <s v="OPN-6339"/>
    <x v="0"/>
  </r>
  <r>
    <x v="25"/>
    <x v="242"/>
    <s v="Combustible"/>
    <s v="Total"/>
    <x v="2"/>
    <x v="0"/>
    <x v="2"/>
    <s v="$"/>
    <n v="155001"/>
    <n v="155001"/>
    <n v="102.31089108910891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79.207920792079207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60.0660066006601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66.957491749175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818.5365280528051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83.03630363036302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3.69636963696371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5.808580858085804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1.824019801980199"/>
    <m/>
    <m/>
    <s v="36"/>
    <s v="OPN-9118"/>
    <x v="0"/>
  </r>
  <r>
    <x v="40"/>
    <x v="247"/>
    <s v="Cubiertas Kia"/>
    <s v="Total"/>
    <x v="1"/>
    <x v="0"/>
    <x v="1"/>
    <s v="$"/>
    <n v="290000"/>
    <n v="290000"/>
    <n v="191.41914191419141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45.87458745874585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58.08580858085804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45.87458745874585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45.87458745874585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50.82508250825083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846.7483498349834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883.6066006600661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378.637412541254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771.8087260726079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48.9871881188117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4.02640264026405"/>
    <m/>
    <m/>
    <s v="12"/>
    <m/>
    <x v="0"/>
  </r>
  <r>
    <x v="45"/>
    <x v="253"/>
    <s v="Combustible Nissan"/>
    <s v="Total"/>
    <x v="1"/>
    <x v="0"/>
    <x v="2"/>
    <s v="$"/>
    <n v="80000"/>
    <n v="80000"/>
    <n v="52.805280528052805"/>
    <m/>
    <m/>
    <s v="12"/>
    <m/>
    <x v="0"/>
  </r>
  <r>
    <x v="11"/>
    <x v="254"/>
    <m/>
    <s v="Total"/>
    <x v="3"/>
    <x v="0"/>
    <x v="0"/>
    <s v="$"/>
    <n v="402500"/>
    <n v="402500"/>
    <n v="265.67656765676566"/>
    <m/>
    <m/>
    <s v="07"/>
    <s v="OPN-10908"/>
    <x v="0"/>
  </r>
  <r>
    <x v="16"/>
    <x v="255"/>
    <s v="INV"/>
    <s v="Total"/>
    <x v="3"/>
    <x v="0"/>
    <x v="0"/>
    <s v="$"/>
    <n v="190000"/>
    <n v="190000"/>
    <n v="125.41254125412541"/>
    <m/>
    <m/>
    <s v="50"/>
    <s v="OPN-10164"/>
    <x v="0"/>
  </r>
  <r>
    <x v="5"/>
    <x v="256"/>
    <m/>
    <s v="Total"/>
    <x v="1"/>
    <x v="0"/>
    <x v="1"/>
    <s v="$"/>
    <n v="657032.63"/>
    <n v="657032.63"/>
    <n v="433.68490429042907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595.6896897689767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1000.4808580858086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900.62970297029699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718.4636171617167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2.086171617161718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62.04620462046205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72.6072607260726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300.3300330033003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1980.1980198019803"/>
    <m/>
    <m/>
    <s v="09"/>
    <s v="OPN-9398"/>
    <x v="0"/>
  </r>
  <r>
    <x v="20"/>
    <x v="258"/>
    <s v="Acesor"/>
    <s v="Total"/>
    <x v="3"/>
    <x v="1"/>
    <x v="2"/>
    <s v="$"/>
    <n v="440392.21"/>
    <n v="440392.21"/>
    <n v="290.68792739273931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6.14235643564353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302.29104290429041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303.63036303630361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22.17953795379537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5.346534653465341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402640264026402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3.181518151815183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4.871161716171613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396.03960396039605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6.39616501650164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495.04950495049508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5808580858085808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514.8514851485147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23.1023102310231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20.1320132013202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31.46766996699671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59.405940594059409"/>
    <m/>
    <m/>
    <s v="51"/>
    <s v="OPN-10285"/>
    <x v="0"/>
  </r>
  <r>
    <x v="11"/>
    <x v="261"/>
    <m/>
    <s v="Total"/>
    <x v="3"/>
    <x v="0"/>
    <x v="0"/>
    <s v="$"/>
    <n v="17000"/>
    <n v="17000"/>
    <n v="11.221122112211221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20.1320132013202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40.2640264026404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40.2640264026404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5.84158415841586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600.6600660066006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20.1320132013202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50.1650165016501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50.1650165016501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52.47524752475249"/>
    <m/>
    <m/>
    <s v="03"/>
    <s v="OPN-6155"/>
    <x v="0"/>
  </r>
  <r>
    <x v="31"/>
    <x v="190"/>
    <s v="Pozo finca 6"/>
    <s v="Total"/>
    <x v="1"/>
    <x v="0"/>
    <x v="1"/>
    <s v="$"/>
    <n v="3000000"/>
    <n v="3000000"/>
    <n v="1980.1980198019803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20.1320132013202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30.03300330033005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30.03300330033005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30.03300330033005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30.03300330033005"/>
    <m/>
    <m/>
    <s v="18"/>
    <s v="OPN-4926"/>
    <x v="0"/>
  </r>
  <r>
    <x v="45"/>
    <x v="265"/>
    <s v="Combustible"/>
    <s v="Total"/>
    <x v="2"/>
    <x v="0"/>
    <x v="2"/>
    <s v="$"/>
    <n v="70000"/>
    <n v="70000"/>
    <n v="46.204620462046208"/>
    <m/>
    <m/>
    <s v="12"/>
    <s v="OP"/>
    <x v="0"/>
  </r>
  <r>
    <x v="46"/>
    <x v="265"/>
    <s v="Combustible"/>
    <s v="Total"/>
    <x v="2"/>
    <x v="0"/>
    <x v="2"/>
    <s v="$"/>
    <n v="70000"/>
    <n v="70000"/>
    <n v="46.204620462046208"/>
    <m/>
    <m/>
    <s v="13"/>
    <m/>
    <x v="0"/>
  </r>
  <r>
    <x v="52"/>
    <x v="265"/>
    <s v="Combustible"/>
    <s v="Total"/>
    <x v="2"/>
    <x v="0"/>
    <x v="2"/>
    <s v="$"/>
    <n v="70000"/>
    <n v="70000"/>
    <n v="46.204620462046208"/>
    <m/>
    <m/>
    <s v="14"/>
    <m/>
    <x v="0"/>
  </r>
  <r>
    <x v="51"/>
    <x v="265"/>
    <s v="Combustible"/>
    <s v="Total"/>
    <x v="2"/>
    <x v="0"/>
    <x v="2"/>
    <s v="$"/>
    <n v="60000"/>
    <n v="60000"/>
    <n v="39.603960396039604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4.29042904290429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4.0924092409241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5.049504950495049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5.61056105610561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5.61056105610561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5.41254125412541"/>
    <m/>
    <m/>
    <s v="05"/>
    <s v="OPN-10706"/>
    <x v="0"/>
  </r>
  <r>
    <x v="27"/>
    <x v="268"/>
    <s v="Pedido Planta"/>
    <s v="Total"/>
    <x v="1"/>
    <x v="0"/>
    <x v="1"/>
    <s v="$"/>
    <n v="132132"/>
    <n v="132132"/>
    <n v="87.215841584158412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21.9194191419142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4.45243564356437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4.3039207920792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89.851485148514854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3.55693729372939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198.01980198019803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6.9887788778878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522290429042904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09.18770957095711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2.720349834983494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20.01823102310232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90.09309570957096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52.11291749174916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38.94389438943892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49.83498349834986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499.5187722772277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61.00660066006606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4581254125412535"/>
    <m/>
    <m/>
    <s v="34"/>
    <s v="OPN-8942"/>
    <x v="0"/>
  </r>
  <r>
    <x v="23"/>
    <x v="270"/>
    <s v="Flete Baldes"/>
    <s v="Total"/>
    <x v="1"/>
    <x v="0"/>
    <x v="1"/>
    <s v="$"/>
    <n v="694000"/>
    <n v="694000"/>
    <n v="458.0858085808581"/>
    <m/>
    <m/>
    <s v="43"/>
    <s v="OPN-9655"/>
    <x v="0"/>
  </r>
  <r>
    <x v="5"/>
    <x v="271"/>
    <s v="Servicio GPS"/>
    <s v="Total"/>
    <x v="3"/>
    <x v="0"/>
    <x v="0"/>
    <s v="$"/>
    <n v="378000"/>
    <n v="378000"/>
    <n v="249.50495049504951"/>
    <m/>
    <m/>
    <s v="34"/>
    <s v="OPN-8911"/>
    <x v="0"/>
  </r>
  <r>
    <x v="15"/>
    <x v="271"/>
    <s v="Servicio GPS"/>
    <s v="Total"/>
    <x v="3"/>
    <x v="0"/>
    <x v="0"/>
    <s v="$"/>
    <n v="291500"/>
    <n v="291500"/>
    <n v="192.40924092409242"/>
    <m/>
    <m/>
    <s v="39"/>
    <s v="OPN-9323"/>
    <x v="0"/>
  </r>
  <r>
    <x v="23"/>
    <x v="271"/>
    <s v="Servicio GPS"/>
    <s v="Total"/>
    <x v="3"/>
    <x v="0"/>
    <x v="0"/>
    <s v="$"/>
    <n v="291500"/>
    <n v="291500"/>
    <n v="192.40924092409242"/>
    <m/>
    <m/>
    <s v="43"/>
    <s v="OPN-9642"/>
    <x v="0"/>
  </r>
  <r>
    <x v="7"/>
    <x v="271"/>
    <s v="Servicio GPS"/>
    <s v="Total"/>
    <x v="3"/>
    <x v="0"/>
    <x v="0"/>
    <s v="$"/>
    <n v="216000"/>
    <n v="216000"/>
    <n v="142.57425742574259"/>
    <m/>
    <m/>
    <s v="46"/>
    <s v="OPN-9897"/>
    <x v="0"/>
  </r>
  <r>
    <x v="16"/>
    <x v="271"/>
    <s v="Servicio GPS"/>
    <s v="Total"/>
    <x v="3"/>
    <x v="0"/>
    <x v="0"/>
    <s v="$"/>
    <n v="216000"/>
    <n v="216000"/>
    <n v="142.57425742574259"/>
    <m/>
    <m/>
    <s v="50"/>
    <s v="OPN-10161"/>
    <x v="0"/>
  </r>
  <r>
    <x v="17"/>
    <x v="272"/>
    <s v="Nafta Campo"/>
    <s v="Total"/>
    <x v="2"/>
    <x v="0"/>
    <x v="2"/>
    <s v="$"/>
    <n v="100000"/>
    <n v="100000"/>
    <n v="66.006600660066013"/>
    <m/>
    <m/>
    <s v="28"/>
    <s v="OPN-8444"/>
    <x v="0"/>
  </r>
  <r>
    <x v="19"/>
    <x v="272"/>
    <s v="Nafta Campo"/>
    <s v="Total"/>
    <x v="2"/>
    <x v="0"/>
    <x v="2"/>
    <s v="$"/>
    <n v="100000"/>
    <n v="100000"/>
    <n v="66.006600660066013"/>
    <m/>
    <m/>
    <s v="29"/>
    <s v="OPN-8523"/>
    <x v="0"/>
  </r>
  <r>
    <x v="2"/>
    <x v="272"/>
    <s v="Nafta Campo"/>
    <s v="Total"/>
    <x v="2"/>
    <x v="0"/>
    <x v="2"/>
    <s v="$"/>
    <n v="140000"/>
    <n v="140000"/>
    <n v="92.409240924092416"/>
    <m/>
    <m/>
    <s v="32"/>
    <s v="S"/>
    <x v="0"/>
  </r>
  <r>
    <x v="2"/>
    <x v="272"/>
    <s v="Nafta Senda"/>
    <s v="Total"/>
    <x v="2"/>
    <x v="0"/>
    <x v="2"/>
    <s v="$"/>
    <n v="50000"/>
    <n v="50000"/>
    <n v="33.003300330033007"/>
    <m/>
    <m/>
    <s v="32"/>
    <m/>
    <x v="0"/>
  </r>
  <r>
    <x v="20"/>
    <x v="272"/>
    <s v="Combustible campo"/>
    <s v="Total"/>
    <x v="2"/>
    <x v="0"/>
    <x v="2"/>
    <s v="$"/>
    <n v="140000"/>
    <n v="140000"/>
    <n v="92.409240924092416"/>
    <m/>
    <m/>
    <s v="35"/>
    <s v="S"/>
    <x v="0"/>
  </r>
  <r>
    <x v="40"/>
    <x v="272"/>
    <s v="Nafta taller"/>
    <s v="Total"/>
    <x v="2"/>
    <x v="0"/>
    <x v="2"/>
    <s v="$"/>
    <n v="140000"/>
    <n v="140000"/>
    <n v="92.409240924092416"/>
    <m/>
    <m/>
    <s v="36"/>
    <s v="OPN-9128"/>
    <x v="0"/>
  </r>
  <r>
    <x v="15"/>
    <x v="272"/>
    <s v="Nafta taller"/>
    <s v="Total"/>
    <x v="2"/>
    <x v="0"/>
    <x v="2"/>
    <s v="$"/>
    <n v="140000"/>
    <n v="140000"/>
    <n v="92.409240924092416"/>
    <m/>
    <m/>
    <s v="39"/>
    <s v="OPN-9291"/>
    <x v="0"/>
  </r>
  <r>
    <x v="21"/>
    <x v="272"/>
    <s v="Nafta taller"/>
    <s v="Total"/>
    <x v="2"/>
    <x v="0"/>
    <x v="2"/>
    <s v="$"/>
    <n v="140000"/>
    <n v="140000"/>
    <n v="92.409240924092416"/>
    <m/>
    <m/>
    <s v="40"/>
    <s v="OPN-9378"/>
    <x v="0"/>
  </r>
  <r>
    <x v="23"/>
    <x v="272"/>
    <s v="Nafta taller"/>
    <s v="Total"/>
    <x v="2"/>
    <x v="0"/>
    <x v="2"/>
    <s v="$"/>
    <n v="140000"/>
    <n v="140000"/>
    <n v="92.409240924092416"/>
    <m/>
    <m/>
    <s v="43"/>
    <s v="OPN-9694"/>
    <x v="0"/>
  </r>
  <r>
    <x v="24"/>
    <x v="272"/>
    <s v="Nafta taller"/>
    <s v="Total"/>
    <x v="2"/>
    <x v="0"/>
    <x v="2"/>
    <s v="$"/>
    <n v="140000"/>
    <n v="140000"/>
    <n v="92.409240924092416"/>
    <m/>
    <m/>
    <s v="45"/>
    <s v="OPN-9758"/>
    <x v="0"/>
  </r>
  <r>
    <x v="7"/>
    <x v="272"/>
    <s v="Nafta taller"/>
    <s v="Total"/>
    <x v="2"/>
    <x v="0"/>
    <x v="2"/>
    <s v="$"/>
    <n v="90000"/>
    <n v="90000"/>
    <n v="59.405940594059409"/>
    <m/>
    <m/>
    <s v="46"/>
    <s v="OPN-9941"/>
    <x v="0"/>
  </r>
  <r>
    <x v="10"/>
    <x v="272"/>
    <s v="Nafta taller"/>
    <s v="Total"/>
    <x v="2"/>
    <x v="0"/>
    <x v="2"/>
    <s v="$"/>
    <n v="140000"/>
    <n v="140000"/>
    <n v="92.409240924092416"/>
    <m/>
    <m/>
    <s v="48"/>
    <s v="OPN-10043"/>
    <x v="0"/>
  </r>
  <r>
    <x v="42"/>
    <x v="272"/>
    <s v="Nafta taller"/>
    <s v="Total"/>
    <x v="2"/>
    <x v="0"/>
    <x v="2"/>
    <s v="$"/>
    <n v="140000"/>
    <n v="140000"/>
    <n v="92.409240924092416"/>
    <m/>
    <m/>
    <s v="03"/>
    <s v="OPN-10590"/>
    <x v="0"/>
  </r>
  <r>
    <x v="28"/>
    <x v="272"/>
    <s v="Nafta taller"/>
    <s v="Total"/>
    <x v="2"/>
    <x v="0"/>
    <x v="2"/>
    <s v="$"/>
    <n v="140000"/>
    <n v="140000"/>
    <n v="92.409240924092416"/>
    <m/>
    <m/>
    <s v="04"/>
    <s v="OPN-10675"/>
    <x v="0"/>
  </r>
  <r>
    <x v="33"/>
    <x v="272"/>
    <s v="Nafta taller"/>
    <s v="Total"/>
    <x v="2"/>
    <x v="0"/>
    <x v="2"/>
    <s v="$"/>
    <n v="140000"/>
    <n v="140000"/>
    <n v="92.409240924092416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67.0627062706271"/>
    <m/>
    <m/>
    <s v="09"/>
    <s v="OPN-9398"/>
    <x v="0"/>
  </r>
  <r>
    <x v="25"/>
    <x v="272"/>
    <s v="Nafta taller"/>
    <s v="Total"/>
    <x v="2"/>
    <x v="0"/>
    <x v="2"/>
    <s v="$"/>
    <n v="140000"/>
    <n v="140000"/>
    <n v="92.409240924092416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14.85148514851483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81.58415841584156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18.81188118811882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88.97689768976898"/>
    <m/>
    <m/>
    <s v="26"/>
    <s v="OPN-8344"/>
    <x v="0"/>
  </r>
  <r>
    <x v="26"/>
    <x v="273"/>
    <s v="Nafta"/>
    <s v="Total"/>
    <x v="1"/>
    <x v="0"/>
    <x v="2"/>
    <s v="$"/>
    <n v="50000"/>
    <n v="50000"/>
    <n v="33.003300330033007"/>
    <m/>
    <m/>
    <s v="16"/>
    <m/>
    <x v="0"/>
  </r>
  <r>
    <x v="53"/>
    <x v="273"/>
    <s v="Servicio de gomeria"/>
    <s v="Total"/>
    <x v="1"/>
    <x v="0"/>
    <x v="0"/>
    <s v="$"/>
    <n v="165000"/>
    <n v="165000"/>
    <n v="108.91089108910892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604825082508249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990.09900990099015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63.03630363036302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37.33333333333331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6.23102310231023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93.62028382838281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201.6335181518152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6.16533993399339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2.01320132013203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8.0528052805281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8.0528052805281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30.03300330033005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31.02310231023102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0.957095709570957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74.78547854785484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50.125412541254128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7.00066006600662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6066006600660074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2.970297029702969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6.03960396039605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31.02310231023102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8.382838283828384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13.86138613861385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72.2772277227723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30.03300330033005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3.76237623762376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198.01980198019803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5.973597359735976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2.01320132013203"/>
    <m/>
    <m/>
    <s v="06"/>
    <s v="OPN-6262"/>
    <x v="0"/>
  </r>
  <r>
    <x v="33"/>
    <x v="273"/>
    <s v="Reparación COE"/>
    <s v="Total"/>
    <x v="2"/>
    <x v="1"/>
    <x v="2"/>
    <s v="$"/>
    <n v="600000"/>
    <n v="600000"/>
    <n v="396.03960396039605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3.234323432343231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79.44554455445547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59.6308910891089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7.259405940594057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35.17729372937288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700.00660066006606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26.07260726072604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287.1287128712872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11.37953795379539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22.1122112211222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30.03300330033005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61.05610561056108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63.03630363036302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594.74191419141914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71.9471947194719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18.81188118811882"/>
    <m/>
    <m/>
    <s v="25"/>
    <m/>
    <x v="0"/>
  </r>
  <r>
    <x v="38"/>
    <x v="279"/>
    <s v="SH"/>
    <s v="Total"/>
    <x v="3"/>
    <x v="0"/>
    <x v="0"/>
    <s v="$"/>
    <n v="180000"/>
    <n v="180000"/>
    <n v="118.81188118811882"/>
    <m/>
    <m/>
    <s v="23"/>
    <s v="OP N 8116"/>
    <x v="0"/>
  </r>
  <r>
    <x v="5"/>
    <x v="279"/>
    <s v="Servicio SH"/>
    <s v="Total"/>
    <x v="3"/>
    <x v="0"/>
    <x v="0"/>
    <s v="$"/>
    <n v="180000"/>
    <n v="180000"/>
    <n v="118.81188118811882"/>
    <m/>
    <m/>
    <s v="34"/>
    <s v="OPN-8903"/>
    <x v="0"/>
  </r>
  <r>
    <x v="5"/>
    <x v="279"/>
    <s v="Servicio SH"/>
    <s v="Total"/>
    <x v="3"/>
    <x v="0"/>
    <x v="0"/>
    <s v="$"/>
    <n v="200000"/>
    <n v="200000"/>
    <n v="132.01320132013203"/>
    <m/>
    <m/>
    <s v="34"/>
    <s v="OPN-8903"/>
    <x v="0"/>
  </r>
  <r>
    <x v="15"/>
    <x v="279"/>
    <s v="Servicio SH"/>
    <s v="Total"/>
    <x v="3"/>
    <x v="0"/>
    <x v="0"/>
    <s v="$"/>
    <n v="200000"/>
    <n v="200000"/>
    <n v="132.01320132013203"/>
    <m/>
    <m/>
    <s v="39"/>
    <s v="OPN-9322"/>
    <x v="0"/>
  </r>
  <r>
    <x v="23"/>
    <x v="279"/>
    <m/>
    <s v="Total"/>
    <x v="3"/>
    <x v="0"/>
    <x v="0"/>
    <s v="$"/>
    <n v="200000"/>
    <n v="200000"/>
    <n v="132.01320132013203"/>
    <m/>
    <m/>
    <s v="43"/>
    <s v="OPN-9648"/>
    <x v="0"/>
  </r>
  <r>
    <x v="7"/>
    <x v="279"/>
    <s v="Honorarios SH"/>
    <s v="Total"/>
    <x v="3"/>
    <x v="0"/>
    <x v="0"/>
    <s v="$"/>
    <n v="200000"/>
    <n v="200000"/>
    <n v="132.01320132013203"/>
    <m/>
    <m/>
    <s v="46"/>
    <s v="OPN-9888"/>
    <x v="0"/>
  </r>
  <r>
    <x v="16"/>
    <x v="279"/>
    <m/>
    <s v="Total"/>
    <x v="3"/>
    <x v="0"/>
    <x v="0"/>
    <s v="$"/>
    <n v="200000"/>
    <n v="200000"/>
    <n v="132.01320132013203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60.0660066006601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785.2587458745875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43.20472607260717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38.93564356435644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3.930792079207919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08.42745874587456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10.5062706270627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60.0660066006601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60.0660066006601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60.0660066006601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6.006600660066013"/>
    <m/>
    <m/>
    <s v="10"/>
    <s v="OPN-6478"/>
    <x v="0"/>
  </r>
  <r>
    <x v="4"/>
    <x v="281"/>
    <s v="Flete etiquetas"/>
    <s v="Total"/>
    <x v="1"/>
    <x v="0"/>
    <x v="0"/>
    <s v="$"/>
    <n v="33000"/>
    <n v="33000"/>
    <n v="21.782178217821784"/>
    <m/>
    <m/>
    <s v="51"/>
    <s v="OPN-10306"/>
    <x v="0"/>
  </r>
  <r>
    <x v="12"/>
    <x v="282"/>
    <m/>
    <s v="Total"/>
    <x v="1"/>
    <x v="0"/>
    <x v="0"/>
    <s v="$"/>
    <n v="70000"/>
    <n v="70000"/>
    <n v="46.204620462046208"/>
    <m/>
    <m/>
    <s v="47"/>
    <s v="OPN-9999"/>
    <x v="0"/>
  </r>
  <r>
    <x v="28"/>
    <x v="282"/>
    <s v="Flete Bomba COE"/>
    <s v="Total"/>
    <x v="1"/>
    <x v="0"/>
    <x v="0"/>
    <s v="$"/>
    <n v="30000"/>
    <n v="30000"/>
    <n v="19.801980198019802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19.801980198019802"/>
    <m/>
    <m/>
    <s v="05"/>
    <s v="OPN-10693"/>
    <x v="0"/>
  </r>
  <r>
    <x v="27"/>
    <x v="271"/>
    <s v="Servicio GPS"/>
    <s v="Total"/>
    <x v="3"/>
    <x v="0"/>
    <x v="0"/>
    <s v="$"/>
    <n v="144000"/>
    <n v="144000"/>
    <n v="95.049504950495049"/>
    <m/>
    <m/>
    <s v="25"/>
    <m/>
    <x v="0"/>
  </r>
  <r>
    <x v="5"/>
    <x v="271"/>
    <s v="Servicio GPS"/>
    <s v="Total"/>
    <x v="1"/>
    <x v="0"/>
    <x v="0"/>
    <s v="$"/>
    <n v="378000"/>
    <n v="378000"/>
    <n v="249.50495049504951"/>
    <m/>
    <m/>
    <s v="34"/>
    <s v="OPN-8911"/>
    <x v="0"/>
  </r>
  <r>
    <x v="11"/>
    <x v="271"/>
    <s v="Servicio GPS"/>
    <s v="Total"/>
    <x v="3"/>
    <x v="0"/>
    <x v="0"/>
    <s v="$"/>
    <n v="288000"/>
    <n v="288000"/>
    <n v="190.0990099009901"/>
    <m/>
    <m/>
    <s v="07"/>
    <s v="OPN-10904"/>
    <x v="0"/>
  </r>
  <r>
    <x v="11"/>
    <x v="283"/>
    <m/>
    <s v="Total"/>
    <x v="3"/>
    <x v="0"/>
    <x v="0"/>
    <s v="$"/>
    <n v="112000"/>
    <n v="112000"/>
    <n v="73.927392739273927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24.0924092409241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990.09900990099015"/>
    <m/>
    <m/>
    <s v="08"/>
    <s v="OPN-6391"/>
    <x v="0"/>
  </r>
  <r>
    <x v="14"/>
    <x v="285"/>
    <s v="Remitos  R/X"/>
    <s v="Total"/>
    <x v="1"/>
    <x v="0"/>
    <x v="0"/>
    <s v="$"/>
    <n v="96000"/>
    <n v="96000"/>
    <n v="63.366336633663366"/>
    <m/>
    <m/>
    <s v="26"/>
    <m/>
    <x v="0"/>
  </r>
  <r>
    <x v="21"/>
    <x v="286"/>
    <s v="Talonarios X"/>
    <s v="Total"/>
    <x v="1"/>
    <x v="0"/>
    <x v="0"/>
    <s v="$"/>
    <n v="89600"/>
    <n v="89600"/>
    <n v="59.14191419141914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78.04026402640261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635.3135313531352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18.48184818481849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46.86468646864688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60.0660066006601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60.0660066006601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79.1527392739273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804.71287128712868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20.1320132013202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22.7062706270626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60.0660066006601"/>
    <m/>
    <m/>
    <s v="29"/>
    <s v="OPN5338"/>
    <x v="0"/>
  </r>
  <r>
    <x v="19"/>
    <x v="288"/>
    <s v="Fruta fresca  "/>
    <s v="Total"/>
    <x v="4"/>
    <x v="1"/>
    <x v="1"/>
    <s v="$"/>
    <n v="125150"/>
    <n v="125150"/>
    <n v="82.60726072607261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8.714191419141912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8.714191419141912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2.21122112211221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30.03300330033002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38.61386138613861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17.91502310231022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70.95709570957092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792.0792079207921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990.09900990099015"/>
    <m/>
    <m/>
    <s v="32"/>
    <s v="S"/>
    <x v="0"/>
  </r>
  <r>
    <x v="2"/>
    <x v="288"/>
    <s v="Obra Cava"/>
    <s v="Total"/>
    <x v="1"/>
    <x v="1"/>
    <x v="1"/>
    <s v="$"/>
    <n v="605330"/>
    <n v="605330"/>
    <n v="399.55775577557756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87.45874587458741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696.3696369636964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41.58415841584156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40.2640264026404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55.23166336633665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415.2161188118812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814.5704884488448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6205214521452147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6.13861386138615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6.32745874587457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28.0528052805281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28.0528052805281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28.0528052805281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496.64224422442243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594.05940594059405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21.82178217821786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501.65016501650166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2.01320132013203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57.82574257425745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13.34612541254126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3.67524752475248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433.8969504950492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787.4587458745875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479.2079207920792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86.79867986798678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396.04488448844887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1980.1980198019803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198.01980198019803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1980.1980198019803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089.1089108910892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54.125412541254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310.2310231023102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089.1089108910892"/>
    <m/>
    <m/>
    <s v="45"/>
    <s v="OPN-5750"/>
    <x v="0"/>
  </r>
  <r>
    <x v="24"/>
    <x v="288"/>
    <s v="Campaña 2025"/>
    <s v="Parcial"/>
    <x v="4"/>
    <x v="1"/>
    <x v="1"/>
    <s v="$"/>
    <n v="910000"/>
    <n v="910000"/>
    <n v="600.66006600660069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36.63366336633658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123.7029702970299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36.63366336633658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300.3300330033003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1980.1980198019803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39.2739273927393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310.2310231023102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5.01828382838283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91.74917491749176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50.1650165016501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68.0792079207921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696.36963696369639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20.1320132013202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20.1320132013202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40.2640264026404"/>
    <m/>
    <m/>
    <s v="50"/>
    <s v="OPN-5982"/>
    <x v="0"/>
  </r>
  <r>
    <x v="4"/>
    <x v="288"/>
    <s v="Campaña 2025"/>
    <s v="Total"/>
    <x v="4"/>
    <x v="1"/>
    <x v="2"/>
    <s v="$"/>
    <n v="5000000"/>
    <n v="5000000"/>
    <n v="3300.3300330033003"/>
    <m/>
    <m/>
    <s v="51"/>
    <s v="OPN-6001"/>
    <x v="0"/>
  </r>
  <r>
    <x v="42"/>
    <x v="288"/>
    <s v="Campaña 2025"/>
    <s v="Total"/>
    <x v="4"/>
    <x v="1"/>
    <x v="1"/>
    <s v="$"/>
    <n v="260000"/>
    <n v="260000"/>
    <n v="171.61716171617161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60.0660066006601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60.0660066006601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881.1881188118812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914.1914191419141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1.287128712871294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4.03168316831682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66.33663366336634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20.1320132013202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69.3993399339934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50.1650165016501"/>
    <m/>
    <m/>
    <s v="04"/>
    <s v="OPN-6165"/>
    <x v="0"/>
  </r>
  <r>
    <x v="9"/>
    <x v="288"/>
    <s v="Campaña 2025"/>
    <s v="Total"/>
    <x v="4"/>
    <x v="1"/>
    <x v="1"/>
    <s v="$"/>
    <n v="2263000"/>
    <n v="2263000"/>
    <n v="1493.7293729372936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493.7293729372936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30.69306930693068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493.7293729372936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493.7293729372936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493.7293729372936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493.7293729372936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50.1650165016501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990.09900990099015"/>
    <m/>
    <m/>
    <s v="06"/>
    <s v="OPN-6227"/>
    <x v="0"/>
  </r>
  <r>
    <x v="33"/>
    <x v="288"/>
    <s v="Campaña 2025"/>
    <s v="Total"/>
    <x v="4"/>
    <x v="1"/>
    <x v="1"/>
    <s v="$"/>
    <n v="378419"/>
    <n v="378419"/>
    <n v="249.78151815181519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50.82508250825083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396.03960396039605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396.03960396039605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60.0660066006601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14.52541254125413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493.7293729372936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7.80198019801981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74.66033003300322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195.8561056105611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990.09900990099015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2.27722772277227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600.6600660066006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60.0660066006601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4.92802640264028"/>
    <m/>
    <m/>
    <s v="11"/>
    <s v="OPN-11139"/>
    <x v="0"/>
  </r>
  <r>
    <x v="20"/>
    <x v="288"/>
    <s v="Campaña 2025"/>
    <s v="Total"/>
    <x v="4"/>
    <x v="1"/>
    <x v="1"/>
    <s v="$"/>
    <n v="150000"/>
    <n v="150000"/>
    <n v="99.009900990099013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34.3234323432343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4.02640264026405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4.02640264026405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4.02640264026405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71.94719471947195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62.04620462046205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13.86138613861385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617069306930693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88.8765676567657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88.8765676567657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83.7128712871288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300.3300330033003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30.27801980198018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85.72059405940593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3.86666666666667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7.1005082508251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3.76674587458746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23.1976303630363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33.45924752475253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48.8578745874588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73.60854785478546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77.00351155115504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50.1650165016501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630.9185478547852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10.38943894389439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21.78217821782178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79.86798679867985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2.135920792079162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20.1320132013202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80.52805280528054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5.445544554455445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23.20049504950492"/>
    <m/>
    <m/>
    <s v="24"/>
    <m/>
    <x v="0"/>
  </r>
  <r>
    <x v="43"/>
    <x v="116"/>
    <s v="Pago Cuenta corriente"/>
    <s v="Total"/>
    <x v="5"/>
    <x v="0"/>
    <x v="1"/>
    <s v="$"/>
    <n v="625000"/>
    <n v="625000"/>
    <n v="412.54125412541254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808.5808580858086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7.71655445544553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4985940594059404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2.01320132013203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396.03960396039605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72.62013201320133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15.63960396039602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15.63960396039602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61.9405940594058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35.6435643564356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39.27392739273932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82.83828382838283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59.40594059405942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20.1320132013202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943.894389438944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22.82918151815184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7.19075907590759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51.61320132013202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60.0660066006601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15.63960396039602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990.09900990099015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990.09900990099015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46.85266666666666"/>
    <m/>
    <m/>
    <s v="12"/>
    <s v="OPN-6547"/>
    <x v="0"/>
  </r>
  <r>
    <x v="43"/>
    <x v="296"/>
    <s v="AS"/>
    <s v="Total"/>
    <x v="2"/>
    <x v="0"/>
    <x v="2"/>
    <s v="$"/>
    <n v="131421"/>
    <n v="131421"/>
    <n v="86.746534653465346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24.45610561056105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60.0660066006601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4.31023102310232"/>
    <m/>
    <m/>
    <s v="11"/>
    <s v="OPN-11143"/>
    <x v="0"/>
  </r>
  <r>
    <x v="43"/>
    <x v="150"/>
    <s v="Tienda Nube"/>
    <s v="Total"/>
    <x v="3"/>
    <x v="0"/>
    <x v="0"/>
    <s v="$"/>
    <n v="322890"/>
    <n v="322890"/>
    <n v="213.12871287128712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240.924092409241"/>
    <m/>
    <m/>
    <s v="10"/>
    <s v="OPN-11096"/>
    <x v="0"/>
  </r>
  <r>
    <x v="41"/>
    <x v="115"/>
    <s v="Fletes"/>
    <s v="Total"/>
    <x v="5"/>
    <x v="0"/>
    <x v="1"/>
    <s v="$"/>
    <n v="400000"/>
    <n v="400000"/>
    <n v="264.02640264026405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69.38943894389433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3.13531353135315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2.53267326732674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30.03300330033005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28.0528052805281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55.11551155115512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6.813861386138612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71.61716171617161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2.39603960396039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44.68456765676569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2.01320132013203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198.01980198019803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09.75907590759078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60.56105610561059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65.37730033003299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605.54785478547853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26.07260726072604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5.0237557755775573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44.68456105610562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471267326732674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20.1320132013202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300.3300330033003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32.29851485148515"/>
    <m/>
    <m/>
    <s v="10"/>
    <s v="OPN-11048"/>
    <x v="0"/>
  </r>
  <r>
    <x v="43"/>
    <x v="160"/>
    <s v="Embases "/>
    <s v="Parcial"/>
    <x v="0"/>
    <x v="0"/>
    <x v="1"/>
    <s v="$"/>
    <n v="1223150"/>
    <n v="1223150"/>
    <n v="807.35973597359737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10.064838283828383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18.81188118811882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582.9126336633672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3.148521452145211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4.145049504950492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100.33004620462046"/>
    <m/>
    <m/>
    <s v="10"/>
    <s v="OPN-11047"/>
    <x v="0"/>
  </r>
  <r>
    <x v="43"/>
    <x v="184"/>
    <s v="Campaña 2025"/>
    <s v="Total"/>
    <x v="4"/>
    <x v="0"/>
    <x v="2"/>
    <s v="$"/>
    <n v="500000"/>
    <n v="500000"/>
    <n v="330.03300330033005"/>
    <m/>
    <m/>
    <s v="11"/>
    <s v="OPN-11133"/>
    <x v="0"/>
  </r>
  <r>
    <x v="47"/>
    <x v="240"/>
    <s v="Combustible"/>
    <s v="Total"/>
    <x v="2"/>
    <x v="0"/>
    <x v="2"/>
    <s v="$"/>
    <n v="147006"/>
    <n v="147006"/>
    <n v="97.03366336633664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48.84488448844883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2.86996699669967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795.49625742574267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2805280528052805"/>
    <m/>
    <m/>
    <s v="33"/>
    <s v="OPN-8891"/>
    <x v="0"/>
  </r>
  <r>
    <x v="39"/>
    <x v="299"/>
    <s v="Tarimas "/>
    <s v="Total"/>
    <x v="1"/>
    <x v="1"/>
    <x v="1"/>
    <s v="$"/>
    <n v="858143.4"/>
    <n v="858143.4"/>
    <n v="566.43128712871294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51.3157755775577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800.12044884488444"/>
    <m/>
    <m/>
    <s v="39"/>
    <s v="OPN-9366"/>
    <x v="0"/>
  </r>
  <r>
    <x v="23"/>
    <x v="301"/>
    <s v="Flete"/>
    <s v="Total"/>
    <x v="1"/>
    <x v="0"/>
    <x v="0"/>
    <s v="$"/>
    <n v="1000820"/>
    <n v="1000820"/>
    <n v="660.60726072607258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09.27306270627062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6.34329372937296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5.756580858085812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51.3157755775577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795.49625742574267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6.42840264026404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2.675557755775571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496.31552475247526"/>
    <m/>
    <m/>
    <s v="03"/>
    <s v="OPN-10582"/>
    <x v="0"/>
  </r>
  <r>
    <x v="45"/>
    <x v="304"/>
    <s v="Combustible"/>
    <s v="Total"/>
    <x v="2"/>
    <x v="0"/>
    <x v="2"/>
    <s v="$"/>
    <n v="60000"/>
    <n v="60000"/>
    <n v="39.603960396039604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39.604382838283826"/>
    <m/>
    <m/>
    <s v="13"/>
    <m/>
    <x v="0"/>
  </r>
  <r>
    <x v="52"/>
    <x v="304"/>
    <s v="Combustible"/>
    <s v="Total"/>
    <x v="2"/>
    <x v="0"/>
    <x v="2"/>
    <s v="$"/>
    <n v="60000"/>
    <n v="60000"/>
    <n v="39.603960396039604"/>
    <m/>
    <m/>
    <s v="14"/>
    <m/>
    <x v="0"/>
  </r>
  <r>
    <x v="51"/>
    <x v="304"/>
    <s v="Combustible"/>
    <s v="Total"/>
    <x v="2"/>
    <x v="0"/>
    <x v="2"/>
    <s v="$"/>
    <n v="60000"/>
    <n v="60000"/>
    <n v="39.603960396039604"/>
    <m/>
    <m/>
    <s v="15"/>
    <m/>
    <x v="0"/>
  </r>
  <r>
    <x v="26"/>
    <x v="304"/>
    <s v="Combustible"/>
    <s v="Total"/>
    <x v="2"/>
    <x v="0"/>
    <x v="2"/>
    <s v="$"/>
    <n v="60000"/>
    <n v="60000"/>
    <n v="39.603960396039604"/>
    <m/>
    <m/>
    <s v="16"/>
    <m/>
    <x v="0"/>
  </r>
  <r>
    <x v="29"/>
    <x v="304"/>
    <s v="Combustible"/>
    <s v="Total"/>
    <x v="2"/>
    <x v="0"/>
    <x v="2"/>
    <s v="$"/>
    <n v="60000"/>
    <n v="60000"/>
    <n v="39.603960396039604"/>
    <m/>
    <m/>
    <s v="17"/>
    <m/>
    <x v="0"/>
  </r>
  <r>
    <x v="38"/>
    <x v="304"/>
    <s v="Combustible"/>
    <s v="Total"/>
    <x v="2"/>
    <x v="0"/>
    <x v="2"/>
    <s v="$"/>
    <n v="59999.96"/>
    <n v="59999.96"/>
    <n v="39.603933993399338"/>
    <m/>
    <m/>
    <s v="23"/>
    <m/>
    <x v="0"/>
  </r>
  <r>
    <x v="37"/>
    <x v="304"/>
    <s v="Combustible"/>
    <s v="Total"/>
    <x v="2"/>
    <x v="0"/>
    <x v="2"/>
    <s v="$"/>
    <n v="60000"/>
    <n v="60000"/>
    <n v="39.603960396039604"/>
    <m/>
    <m/>
    <s v="24"/>
    <m/>
    <x v="0"/>
  </r>
  <r>
    <x v="14"/>
    <x v="304"/>
    <s v="Combustible"/>
    <s v="Total"/>
    <x v="2"/>
    <x v="0"/>
    <x v="2"/>
    <s v="$"/>
    <n v="60000"/>
    <n v="60000"/>
    <n v="39.603960396039604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2.909386138613861"/>
    <m/>
    <m/>
    <s v="28"/>
    <s v="OPN-8485"/>
    <x v="0"/>
  </r>
  <r>
    <x v="19"/>
    <x v="304"/>
    <s v="Combustible"/>
    <s v="Total"/>
    <x v="2"/>
    <x v="0"/>
    <x v="2"/>
    <s v="$"/>
    <n v="60000"/>
    <n v="60000"/>
    <n v="39.603960396039604"/>
    <m/>
    <m/>
    <s v="29"/>
    <s v="OPN-8565"/>
    <x v="0"/>
  </r>
  <r>
    <x v="35"/>
    <x v="304"/>
    <s v="Combustible"/>
    <s v="Total"/>
    <x v="2"/>
    <x v="0"/>
    <x v="2"/>
    <s v="$"/>
    <n v="60000"/>
    <n v="60000"/>
    <n v="39.603960396039604"/>
    <m/>
    <m/>
    <s v="30"/>
    <s v="OPN-8605"/>
    <x v="0"/>
  </r>
  <r>
    <x v="39"/>
    <x v="304"/>
    <s v="Combustible"/>
    <s v="Total"/>
    <x v="2"/>
    <x v="0"/>
    <x v="2"/>
    <s v="$"/>
    <n v="65000"/>
    <n v="65000"/>
    <n v="42.904290429042902"/>
    <m/>
    <m/>
    <s v="31"/>
    <s v="S"/>
    <x v="0"/>
  </r>
  <r>
    <x v="8"/>
    <x v="304"/>
    <s v="Combustible"/>
    <s v="Total"/>
    <x v="2"/>
    <x v="0"/>
    <x v="2"/>
    <s v="$"/>
    <n v="65000"/>
    <n v="65000"/>
    <n v="42.904290429042902"/>
    <m/>
    <m/>
    <s v="33"/>
    <s v="OPN-8836"/>
    <x v="0"/>
  </r>
  <r>
    <x v="2"/>
    <x v="304"/>
    <s v="Combustible - "/>
    <s v="Total"/>
    <x v="2"/>
    <x v="0"/>
    <x v="2"/>
    <s v="$"/>
    <n v="68000"/>
    <n v="68000"/>
    <n v="44.884488448844884"/>
    <m/>
    <m/>
    <s v="32"/>
    <s v="OPN-8782"/>
    <x v="0"/>
  </r>
  <r>
    <x v="5"/>
    <x v="304"/>
    <s v="Combustible"/>
    <s v="Total"/>
    <x v="2"/>
    <x v="0"/>
    <x v="2"/>
    <s v="$"/>
    <n v="65000"/>
    <n v="65000"/>
    <n v="42.904290429042902"/>
    <m/>
    <m/>
    <s v="34"/>
    <s v="OPN-8940"/>
    <x v="0"/>
  </r>
  <r>
    <x v="20"/>
    <x v="304"/>
    <s v="Combustible"/>
    <s v="Total"/>
    <x v="2"/>
    <x v="0"/>
    <x v="2"/>
    <s v="$"/>
    <n v="65000"/>
    <n v="65000"/>
    <n v="42.904290429042902"/>
    <m/>
    <m/>
    <s v="35"/>
    <s v="OPN-9019"/>
    <x v="0"/>
  </r>
  <r>
    <x v="34"/>
    <x v="304"/>
    <s v="Combustible"/>
    <s v="Total"/>
    <x v="2"/>
    <x v="0"/>
    <x v="2"/>
    <s v="$"/>
    <n v="65000"/>
    <n v="65000"/>
    <n v="42.904290429042902"/>
    <m/>
    <m/>
    <s v="37"/>
    <s v="OPN-9147"/>
    <x v="0"/>
  </r>
  <r>
    <x v="30"/>
    <x v="304"/>
    <s v="Combustible"/>
    <s v="Total"/>
    <x v="2"/>
    <x v="0"/>
    <x v="2"/>
    <s v="$"/>
    <n v="65000"/>
    <n v="65000"/>
    <n v="42.904290429042902"/>
    <m/>
    <m/>
    <s v="38"/>
    <s v="OPN-9275"/>
    <x v="0"/>
  </r>
  <r>
    <x v="15"/>
    <x v="304"/>
    <s v="Combustible"/>
    <s v="Total"/>
    <x v="2"/>
    <x v="0"/>
    <x v="2"/>
    <s v="$"/>
    <n v="65000"/>
    <n v="65000"/>
    <n v="42.904290429042902"/>
    <m/>
    <m/>
    <s v="39"/>
    <s v="OPN-9359"/>
    <x v="0"/>
  </r>
  <r>
    <x v="22"/>
    <x v="304"/>
    <s v="Combustible"/>
    <s v="Total"/>
    <x v="2"/>
    <x v="0"/>
    <x v="2"/>
    <s v="$"/>
    <n v="75000"/>
    <n v="75000"/>
    <n v="49.504950495049506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9.504904290429039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9.504917491749175"/>
    <m/>
    <m/>
    <s v="44"/>
    <s v="OPN-9752"/>
    <x v="0"/>
  </r>
  <r>
    <x v="24"/>
    <x v="304"/>
    <s v="Combustible"/>
    <s v="Total"/>
    <x v="2"/>
    <x v="0"/>
    <x v="2"/>
    <s v="$"/>
    <n v="75000"/>
    <n v="75000"/>
    <n v="49.504950495049506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9.504924092409247"/>
    <m/>
    <m/>
    <s v="46"/>
    <s v="OPN-9930"/>
    <x v="0"/>
  </r>
  <r>
    <x v="13"/>
    <x v="304"/>
    <s v="Combustible"/>
    <s v="Total"/>
    <x v="2"/>
    <x v="0"/>
    <x v="2"/>
    <s v="$"/>
    <n v="75000"/>
    <n v="75000"/>
    <n v="49.504950495049506"/>
    <m/>
    <m/>
    <s v="49"/>
    <s v="OPN-10188"/>
    <x v="0"/>
  </r>
  <r>
    <x v="4"/>
    <x v="304"/>
    <s v="Combustible"/>
    <s v="Total"/>
    <x v="2"/>
    <x v="0"/>
    <x v="2"/>
    <s v="$"/>
    <n v="75000"/>
    <n v="75000"/>
    <n v="49.504950495049506"/>
    <m/>
    <m/>
    <s v="51"/>
    <s v="OPN-10351"/>
    <x v="0"/>
  </r>
  <r>
    <x v="42"/>
    <x v="304"/>
    <s v="Combustible"/>
    <s v="Total"/>
    <x v="2"/>
    <x v="0"/>
    <x v="2"/>
    <s v="$"/>
    <n v="75000"/>
    <n v="75000"/>
    <n v="49.504950495049506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1.48511551155115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1.48511551155115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1.485174917491747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732580858085807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582.9126336633672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100.66006600660066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68.97689768976898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46.0726072607263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4.91749174917493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297.53330693069307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4.08385478547854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7.72957095709571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295122112211221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4.89108910891089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40.42151815181518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50.168316831683171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6.868693069306936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6.207234323432345"/>
    <m/>
    <m/>
    <s v="23"/>
    <m/>
    <x v="0"/>
  </r>
  <r>
    <x v="17"/>
    <x v="309"/>
    <s v="Combustible"/>
    <s v="Total"/>
    <x v="2"/>
    <x v="0"/>
    <x v="2"/>
    <s v="$"/>
    <n v="70000"/>
    <n v="70000"/>
    <n v="46.204620462046208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5.747201320132014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8.858785478547851"/>
    <m/>
    <m/>
    <s v="30"/>
    <s v="OPN-8606"/>
    <x v="0"/>
  </r>
  <r>
    <x v="8"/>
    <x v="309"/>
    <s v="Combustible"/>
    <s v="Total"/>
    <x v="2"/>
    <x v="0"/>
    <x v="2"/>
    <s v="$"/>
    <n v="75000"/>
    <n v="75000"/>
    <n v="49.504950495049506"/>
    <m/>
    <m/>
    <s v="33"/>
    <s v="OPN-8837"/>
    <x v="0"/>
  </r>
  <r>
    <x v="20"/>
    <x v="309"/>
    <s v="Combustible"/>
    <s v="Total"/>
    <x v="2"/>
    <x v="0"/>
    <x v="2"/>
    <s v="$"/>
    <n v="62000"/>
    <n v="62000"/>
    <n v="40.924092409240927"/>
    <m/>
    <m/>
    <s v="35"/>
    <s v="OPN-9019"/>
    <x v="0"/>
  </r>
  <r>
    <x v="30"/>
    <x v="309"/>
    <s v="Combustible"/>
    <s v="Total"/>
    <x v="2"/>
    <x v="0"/>
    <x v="2"/>
    <s v="$"/>
    <n v="70000"/>
    <n v="70000"/>
    <n v="46.204620462046208"/>
    <m/>
    <m/>
    <s v="38"/>
    <s v="OPN-9274"/>
    <x v="0"/>
  </r>
  <r>
    <x v="15"/>
    <x v="309"/>
    <s v="Combustible"/>
    <s v="Total"/>
    <x v="2"/>
    <x v="0"/>
    <x v="2"/>
    <s v="$"/>
    <n v="65000"/>
    <n v="65000"/>
    <n v="42.904290429042902"/>
    <m/>
    <m/>
    <s v="39"/>
    <s v="OPN-9362"/>
    <x v="0"/>
  </r>
  <r>
    <x v="23"/>
    <x v="309"/>
    <s v="Combustible"/>
    <s v="Total"/>
    <x v="2"/>
    <x v="0"/>
    <x v="2"/>
    <s v="$"/>
    <n v="90022.51"/>
    <n v="90022.51"/>
    <n v="59.420798679867985"/>
    <m/>
    <m/>
    <s v="43"/>
    <s v="opn-9706"/>
    <x v="0"/>
  </r>
  <r>
    <x v="24"/>
    <x v="309"/>
    <s v="Combustible"/>
    <s v="Total"/>
    <x v="2"/>
    <x v="0"/>
    <x v="2"/>
    <s v="$"/>
    <n v="89000"/>
    <n v="89000"/>
    <n v="58.745874587458744"/>
    <m/>
    <m/>
    <s v="45"/>
    <s v="OPN-9813"/>
    <x v="0"/>
  </r>
  <r>
    <x v="12"/>
    <x v="309"/>
    <s v="Combustible"/>
    <s v="Total"/>
    <x v="2"/>
    <x v="0"/>
    <x v="2"/>
    <s v="$"/>
    <n v="85003"/>
    <n v="85003"/>
    <n v="56.107590759075904"/>
    <m/>
    <m/>
    <s v="47"/>
    <s v="OPN-9997"/>
    <x v="0"/>
  </r>
  <r>
    <x v="16"/>
    <x v="309"/>
    <s v="Combustible"/>
    <s v="Total"/>
    <x v="2"/>
    <x v="0"/>
    <x v="2"/>
    <s v="$"/>
    <n v="87008"/>
    <n v="87008"/>
    <n v="57.431023102310228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6.009940594059401"/>
    <m/>
    <m/>
    <s v="03"/>
    <s v="OPN-10581"/>
    <x v="0"/>
  </r>
  <r>
    <x v="33"/>
    <x v="309"/>
    <s v="Combustible"/>
    <s v="Total"/>
    <x v="2"/>
    <x v="0"/>
    <x v="2"/>
    <s v="$"/>
    <n v="100000"/>
    <n v="100000"/>
    <n v="66.006600660066013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1.387419141914194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4.43168316831682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401.5504950495051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401.5504950495051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2007.2607260726072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17.82178217821783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10.23102310231025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49.83498349834986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77.77557755775575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60.0660066006601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5.01650165016503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89.3025808580858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50.1650165016501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50.1650165016501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8.56024422442243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300.3300330033003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9900.9900990099013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9900.9900990099013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600.6600660066006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5971.9678877887791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1980.1980198019803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2.009900990099013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5.09873927392741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21.1221122112211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21.1221122112211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21.1221122112211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111.1990099009899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5.88159075907589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665.1745808580863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537.7361452145215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537.7361386138618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21.02099009900989"/>
    <m/>
    <m/>
    <s v="44"/>
    <s v="OPN-9676"/>
    <x v="0"/>
  </r>
  <r>
    <x v="7"/>
    <x v="314"/>
    <m/>
    <s v="Total"/>
    <x v="3"/>
    <x v="0"/>
    <x v="0"/>
    <s v="$"/>
    <n v="556800"/>
    <n v="556800"/>
    <n v="367.52475247524751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59.4101188118812"/>
    <m/>
    <m/>
    <s v="12"/>
    <m/>
    <x v="0"/>
  </r>
  <r>
    <x v="29"/>
    <x v="315"/>
    <s v="Honorarios"/>
    <s v="Total"/>
    <x v="1"/>
    <x v="1"/>
    <x v="2"/>
    <s v="$"/>
    <n v="400000"/>
    <n v="400000"/>
    <n v="264.02640264026405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4.19520792079209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79.70297029702971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53.79537953795381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30.71789438943892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2.01320132013203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30.03300330033005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30.03300330033005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2.041848184818484"/>
    <m/>
    <m/>
    <s v="04"/>
    <s v="OPN-10602"/>
    <x v="0"/>
  </r>
  <r>
    <x v="23"/>
    <x v="317"/>
    <s v="INV Bodega"/>
    <s v="Total"/>
    <x v="3"/>
    <x v="0"/>
    <x v="0"/>
    <s v="$"/>
    <n v="1914000"/>
    <n v="1914000"/>
    <n v="1263.3663366336634"/>
    <m/>
    <m/>
    <s v="43"/>
    <s v="OPN-9650"/>
    <x v="0"/>
  </r>
  <r>
    <x v="42"/>
    <x v="317"/>
    <s v="Honorarios"/>
    <s v="Total"/>
    <x v="3"/>
    <x v="0"/>
    <x v="0"/>
    <s v="$"/>
    <n v="198400"/>
    <n v="198400"/>
    <n v="130.95709570957095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57.42574257425741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2.65424422442244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50.19112211221125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30.3416501650165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495.04950495049508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495.04950495049508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58.08580858085804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54.45544554455444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5.41254125412541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998.44884488448849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43.8943894389438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57.5522112211222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46.64026402640263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56.2436963696373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62.2310231023102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51.55475907590755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199.09966996699669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396.03960396039605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84.97953795379533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582.9126336633672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807.24422442244224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772.2772277227723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705.342396039604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705.342396039604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28.0528052805281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4884488448844886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705.3424026402645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6.041254125412536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300.3300330033003"/>
    <m/>
    <m/>
    <s v="14"/>
    <m/>
    <x v="0"/>
  </r>
  <r>
    <x v="0"/>
    <x v="322"/>
    <s v="Tinglado Bodega"/>
    <s v="Total"/>
    <x v="1"/>
    <x v="1"/>
    <x v="2"/>
    <s v="$"/>
    <n v="500000"/>
    <n v="500000"/>
    <n v="330.03300330033005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156.831419141916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80.905557755775575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29.41172937293732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5.97543894389437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199.518613861386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3.515359735973597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1.89105610561057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26.90407920792074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26.90407920792074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209.1059273927392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2.20990099009902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68.31683168316829"/>
    <m/>
    <m/>
    <s v="23"/>
    <m/>
    <x v="0"/>
  </r>
  <r>
    <x v="39"/>
    <x v="326"/>
    <s v="Mosuse - Compras / Planta"/>
    <s v="Total"/>
    <x v="2"/>
    <x v="0"/>
    <x v="2"/>
    <s v="$"/>
    <n v="25896"/>
    <n v="25896"/>
    <n v="17.093069306930694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5.80422442244225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61.87175577557753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34.61899009900992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2.49532013201321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506.3421782178218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5.04625082508252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21.80799999999999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27.78036303630364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9.0814257425742575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287.1287128712872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59.3708250825083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10.24343234323436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5.01650165016503"/>
    <m/>
    <m/>
    <s v="32"/>
    <m/>
    <x v="0"/>
  </r>
  <r>
    <x v="20"/>
    <x v="333"/>
    <s v="Combustible"/>
    <s v="Total"/>
    <x v="2"/>
    <x v="0"/>
    <x v="2"/>
    <s v="$"/>
    <n v="20000"/>
    <n v="20000"/>
    <n v="13.201320132013201"/>
    <m/>
    <m/>
    <s v="35"/>
    <s v="OPN-9019"/>
    <x v="0"/>
  </r>
  <r>
    <x v="20"/>
    <x v="333"/>
    <s v="Combustible"/>
    <s v="Total"/>
    <x v="2"/>
    <x v="0"/>
    <x v="2"/>
    <s v="$"/>
    <n v="20000"/>
    <n v="20000"/>
    <n v="13.201320132013201"/>
    <m/>
    <m/>
    <s v="35"/>
    <s v="OPN-9019"/>
    <x v="0"/>
  </r>
  <r>
    <x v="40"/>
    <x v="333"/>
    <s v="Combustible"/>
    <s v="Total"/>
    <x v="2"/>
    <x v="0"/>
    <x v="2"/>
    <s v="$"/>
    <n v="40000"/>
    <n v="40000"/>
    <n v="26.402640264026402"/>
    <m/>
    <m/>
    <s v="36"/>
    <s v="OPN-9092"/>
    <x v="0"/>
  </r>
  <r>
    <x v="23"/>
    <x v="333"/>
    <s v="Combustible"/>
    <s v="Total"/>
    <x v="2"/>
    <x v="0"/>
    <x v="2"/>
    <s v="$"/>
    <n v="127000"/>
    <n v="127000"/>
    <n v="83.828382838283829"/>
    <m/>
    <m/>
    <s v="43"/>
    <s v="OPN-9705"/>
    <x v="0"/>
  </r>
  <r>
    <x v="36"/>
    <x v="333"/>
    <s v="Combustible"/>
    <s v="Total"/>
    <x v="2"/>
    <x v="0"/>
    <x v="2"/>
    <s v="$"/>
    <n v="113004"/>
    <n v="113004"/>
    <n v="74.590099009900996"/>
    <m/>
    <m/>
    <s v="44"/>
    <s v="OPN-9751"/>
    <x v="0"/>
  </r>
  <r>
    <x v="12"/>
    <x v="333"/>
    <s v="Combustible"/>
    <s v="Total"/>
    <x v="2"/>
    <x v="0"/>
    <x v="2"/>
    <s v="$"/>
    <n v="130000"/>
    <n v="130000"/>
    <n v="85.808580858085804"/>
    <m/>
    <m/>
    <s v="47"/>
    <s v="OPN-9920"/>
    <x v="0"/>
  </r>
  <r>
    <x v="13"/>
    <x v="333"/>
    <s v="Combustible"/>
    <s v="Total"/>
    <x v="2"/>
    <x v="0"/>
    <x v="2"/>
    <s v="$"/>
    <n v="51000"/>
    <n v="51000"/>
    <n v="33.663366336633665"/>
    <m/>
    <m/>
    <s v="49"/>
    <s v="OPN-10123"/>
    <x v="0"/>
  </r>
  <r>
    <x v="16"/>
    <x v="333"/>
    <s v="Combustible"/>
    <s v="Total"/>
    <x v="2"/>
    <x v="0"/>
    <x v="2"/>
    <s v="$"/>
    <n v="143007"/>
    <n v="143007"/>
    <n v="94.394059405940595"/>
    <m/>
    <m/>
    <s v="50"/>
    <s v="OPN-10231"/>
    <x v="0"/>
  </r>
  <r>
    <x v="9"/>
    <x v="333"/>
    <s v="Combustible"/>
    <s v="Total"/>
    <x v="2"/>
    <x v="0"/>
    <x v="2"/>
    <s v="$"/>
    <n v="158000"/>
    <n v="158000"/>
    <n v="104.29042904290429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5.63163036303631"/>
    <m/>
    <m/>
    <s v="06"/>
    <s v="OPN-10809"/>
    <x v="0"/>
  </r>
  <r>
    <x v="25"/>
    <x v="333"/>
    <s v="Nafta taller"/>
    <s v="Total"/>
    <x v="2"/>
    <x v="0"/>
    <x v="2"/>
    <s v="$"/>
    <n v="159003"/>
    <n v="159003"/>
    <n v="104.95247524752476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6.023353135313528"/>
    <m/>
    <m/>
    <s v="28"/>
    <s v="OPN-8484"/>
    <x v="0"/>
  </r>
  <r>
    <x v="19"/>
    <x v="334"/>
    <s v="Combustible"/>
    <s v="Total"/>
    <x v="2"/>
    <x v="0"/>
    <x v="2"/>
    <s v="$"/>
    <n v="103007"/>
    <n v="103007"/>
    <n v="67.991419141914193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7.955782178217817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402640264026402"/>
    <m/>
    <m/>
    <s v="08"/>
    <s v="OPN-10966"/>
    <x v="0"/>
  </r>
  <r>
    <x v="33"/>
    <x v="336"/>
    <m/>
    <s v="Total"/>
    <x v="1"/>
    <x v="0"/>
    <x v="0"/>
    <s v="$"/>
    <n v="2119693.33"/>
    <n v="2119693.33"/>
    <n v="1399.1375115511551"/>
    <m/>
    <m/>
    <s v="06"/>
    <s v="OPN-10731"/>
    <x v="0"/>
  </r>
  <r>
    <x v="33"/>
    <x v="336"/>
    <m/>
    <s v="Total"/>
    <x v="1"/>
    <x v="0"/>
    <x v="1"/>
    <s v="$"/>
    <n v="2119693.33"/>
    <n v="2119693.33"/>
    <n v="1399.1375115511551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399.1375181518151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503.8646864686471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384.745240924092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384.745240924092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3.05174917491752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68.27788778877886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396.03960396039605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29.04290429042902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62.04620462046205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62.04620462046205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71.16633663366338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36.30363036303629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60.0660066006601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53.99339933993394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14.86996699669965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990.09900990099015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16.0658085808581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56.1056105610562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089.1089108910892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716.1716171617161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1980.1980198019803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741.843907590759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300.3300330033003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596.6233003300331"/>
    <m/>
    <m/>
    <s v="39"/>
    <s v="OPN-9345"/>
    <x v="0"/>
  </r>
  <r>
    <x v="6"/>
    <x v="337"/>
    <s v="Insumos planta"/>
    <s v="Total"/>
    <x v="1"/>
    <x v="0"/>
    <x v="1"/>
    <s v="$"/>
    <n v="744600"/>
    <n v="744600"/>
    <n v="491.48514851485146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479.2079207920792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6067.2216765676567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41.9872145214522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4996.439729372938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6030.9893267326734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624.9707524752466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4.2505610561056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8.11596699669967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3.567683168316826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58.08580858085804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45.87458745874585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45.87458745874585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6.209214521452147"/>
    <m/>
    <m/>
    <s v="46"/>
    <s v="OPN-9880"/>
    <x v="0"/>
  </r>
  <r>
    <x v="16"/>
    <x v="338"/>
    <m/>
    <s v="Total"/>
    <x v="3"/>
    <x v="0"/>
    <x v="0"/>
    <s v="$"/>
    <n v="1130000"/>
    <n v="1130000"/>
    <n v="745.87458745874585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5.214521452145213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404.94653465346533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60.0660066006601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4.096369636963697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584.1584158415842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2.01320132013203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59.53135313531354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198.01980198019803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4.21883828382835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68.97689768976898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48505610561056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31.02310231023102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2.01320132013203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2.01320132013203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69.26732673267327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60.0660066006601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5.76840264026401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5.76839603960394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36.4243498349836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1004.9227326732673"/>
    <m/>
    <m/>
    <s v="23"/>
    <s v="OP N 8117"/>
    <x v="0"/>
  </r>
  <r>
    <x v="15"/>
    <x v="344"/>
    <m/>
    <s v="Total"/>
    <x v="3"/>
    <x v="0"/>
    <x v="0"/>
    <s v="$"/>
    <n v="2195215.59"/>
    <n v="2195215.59"/>
    <n v="1448.9871881188117"/>
    <m/>
    <m/>
    <s v="39"/>
    <s v="OPN-9316"/>
    <x v="0"/>
  </r>
  <r>
    <x v="6"/>
    <x v="344"/>
    <m/>
    <s v="Total"/>
    <x v="3"/>
    <x v="0"/>
    <x v="0"/>
    <s v="$"/>
    <n v="1015185.53"/>
    <n v="1015185.53"/>
    <n v="670.08945874587459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20.6317227722773"/>
    <m/>
    <m/>
    <s v="43"/>
    <s v="OPN-9651"/>
    <x v="0"/>
  </r>
  <r>
    <x v="16"/>
    <x v="344"/>
    <m/>
    <s v="Total"/>
    <x v="3"/>
    <x v="0"/>
    <x v="0"/>
    <s v="$"/>
    <n v="1264683.08"/>
    <n v="1264683.08"/>
    <n v="834.77431023102315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60.0660066006601"/>
    <m/>
    <m/>
    <s v="32"/>
    <s v="S"/>
    <x v="0"/>
  </r>
  <r>
    <x v="32"/>
    <x v="346"/>
    <s v="Desagote Bodega"/>
    <s v="Total"/>
    <x v="1"/>
    <x v="1"/>
    <x v="2"/>
    <s v="$"/>
    <n v="140000"/>
    <n v="140000"/>
    <n v="92.409240924092416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99.009900990099013"/>
    <m/>
    <m/>
    <s v="32"/>
    <m/>
    <x v="0"/>
  </r>
  <r>
    <x v="9"/>
    <x v="346"/>
    <s v="Desagote pozo planta"/>
    <s v="Total"/>
    <x v="2"/>
    <x v="1"/>
    <x v="2"/>
    <s v="$"/>
    <n v="100000"/>
    <n v="100000"/>
    <n v="66.006600660066013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6.006600660066013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5.808580858085804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71.61716171617161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5.808580858085804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5.808580858085804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2.21122112211221"/>
    <m/>
    <m/>
    <s v="07"/>
    <s v="OPN-10909"/>
    <x v="0"/>
  </r>
  <r>
    <x v="38"/>
    <x v="347"/>
    <s v="Alojamiento  "/>
    <s v="Total"/>
    <x v="1"/>
    <x v="0"/>
    <x v="0"/>
    <s v="$"/>
    <n v="70000"/>
    <n v="70000"/>
    <n v="46.204620462046208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79.207920792079207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6.303630363036305"/>
    <m/>
    <m/>
    <s v="48"/>
    <s v="OPN-10038"/>
    <x v="0"/>
  </r>
  <r>
    <x v="11"/>
    <x v="347"/>
    <m/>
    <s v="Total"/>
    <x v="3"/>
    <x v="0"/>
    <x v="0"/>
    <s v="$"/>
    <n v="120000"/>
    <n v="120000"/>
    <n v="79.207920792079207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5.21452145214522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4.02640264026405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93.7293729372937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22.1122112211222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51.8151815181518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5.01650165016503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1631155115511564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27.14365016501654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74.7650363036303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50.1650165016501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9.0085808580858089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582.9126336633672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21.37293729372936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2.01320132013203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30.03300330033005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90.111551155115507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1.881188118811878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07.92079207920793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67986798679868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57.01650165016497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792.0792079207921"/>
    <m/>
    <m/>
    <s v="07"/>
    <s v="OPN-10845"/>
    <x v="0"/>
  </r>
  <r>
    <x v="11"/>
    <x v="350"/>
    <m/>
    <s v="Total"/>
    <x v="3"/>
    <x v="0"/>
    <x v="0"/>
    <s v="$"/>
    <n v="372445.28"/>
    <n v="372445.28"/>
    <n v="245.8384686468647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602.424231023102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84.48844884488449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12.54125412541254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30.79207920792078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536.6336633663359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2.409240924092416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533.1015247524756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533.1015445544544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36.89768976897687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53.8943894389439"/>
    <m/>
    <m/>
    <s v="23"/>
    <m/>
    <x v="0"/>
  </r>
  <r>
    <x v="19"/>
    <x v="353"/>
    <s v="Honorarios"/>
    <s v="Total"/>
    <x v="3"/>
    <x v="0"/>
    <x v="0"/>
    <s v="$"/>
    <n v="247200"/>
    <n v="247200"/>
    <n v="163.16831683168317"/>
    <m/>
    <m/>
    <s v="29"/>
    <s v="OPN-8518"/>
    <x v="0"/>
  </r>
  <r>
    <x v="19"/>
    <x v="353"/>
    <s v="Honorarios"/>
    <s v="Total"/>
    <x v="3"/>
    <x v="0"/>
    <x v="0"/>
    <s v="$"/>
    <n v="545600"/>
    <n v="545600"/>
    <n v="360.13201320132015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5.65676567656766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76.78877887788781"/>
    <m/>
    <m/>
    <s v="39"/>
    <s v="OPN-9317"/>
    <x v="0"/>
  </r>
  <r>
    <x v="23"/>
    <x v="353"/>
    <m/>
    <s v="Total"/>
    <x v="3"/>
    <x v="0"/>
    <x v="0"/>
    <s v="$"/>
    <n v="541910"/>
    <n v="541910"/>
    <n v="357.69636963696371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44.09570957095707"/>
    <m/>
    <m/>
    <s v="46"/>
    <s v="OPN-9889"/>
    <x v="0"/>
  </r>
  <r>
    <x v="16"/>
    <x v="353"/>
    <m/>
    <s v="Total"/>
    <x v="3"/>
    <x v="0"/>
    <x v="0"/>
    <s v="$"/>
    <n v="580000"/>
    <n v="580000"/>
    <n v="382.83828382838283"/>
    <m/>
    <m/>
    <s v="50"/>
    <s v="OPN-10158"/>
    <x v="0"/>
  </r>
  <r>
    <x v="11"/>
    <x v="353"/>
    <m/>
    <s v="Total"/>
    <x v="3"/>
    <x v="0"/>
    <x v="0"/>
    <s v="$"/>
    <n v="562460"/>
    <n v="562460"/>
    <n v="371.26072607260727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58.08580858085804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45.87458745874585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45.87458745874585"/>
    <m/>
    <m/>
    <s v="45"/>
    <s v="OPN-9779"/>
    <x v="0"/>
  </r>
  <r>
    <x v="16"/>
    <x v="354"/>
    <s v="Consultora"/>
    <s v="Total"/>
    <x v="3"/>
    <x v="0"/>
    <x v="0"/>
    <s v="$"/>
    <n v="1130000"/>
    <n v="1130000"/>
    <n v="745.87458745874585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66.2937293729374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68.9827590759073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3024.6390759075907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60.4467854785478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1980.1980198019803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06.71349834983494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501.29516171617166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62.04620462046205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74.88636963696365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6.653465346534659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30.03300330033005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1.036303630363037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6.36963696369639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62.04620462046205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62.04620462046205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62.04620462046205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495.04950495049508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36.30363036303629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36.63366336633658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20.1320132013202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55.66536633663372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287.1287128712872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317359735973596"/>
    <m/>
    <m/>
    <s v="50"/>
    <s v="OPN-10226"/>
    <x v="0"/>
  </r>
  <r>
    <x v="42"/>
    <x v="359"/>
    <s v="Sebo bodeguero"/>
    <s v="Total"/>
    <x v="1"/>
    <x v="0"/>
    <x v="0"/>
    <s v="$"/>
    <n v="152218"/>
    <n v="152218"/>
    <n v="100.47392739273927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76.6740198019802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516.2576633663371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27.0446204620462"/>
    <m/>
    <m/>
    <s v="34"/>
    <s v="S"/>
    <x v="0"/>
  </r>
  <r>
    <x v="23"/>
    <x v="355"/>
    <s v="Deuda facturas "/>
    <s v="Total"/>
    <x v="1"/>
    <x v="0"/>
    <x v="0"/>
    <s v="$"/>
    <n v="4000000"/>
    <n v="4000000"/>
    <n v="2640.2640264026404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3960.3960396039606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792.0792079207921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792.0792079207921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55.70812541254134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50.1650165016501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50.1650165016501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50.1650165016501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5.210356435643568"/>
    <m/>
    <m/>
    <s v="50"/>
    <s v="OPN-10224"/>
    <x v="0"/>
  </r>
  <r>
    <x v="11"/>
    <x v="355"/>
    <m/>
    <s v="Total"/>
    <x v="3"/>
    <x v="0"/>
    <x v="0"/>
    <s v="$"/>
    <n v="2061076.88"/>
    <n v="2061076.88"/>
    <n v="1360.4467854785478"/>
    <m/>
    <m/>
    <s v="07"/>
    <s v="OPN-10902"/>
    <x v="0"/>
  </r>
  <r>
    <x v="11"/>
    <x v="360"/>
    <m/>
    <s v="Total"/>
    <x v="3"/>
    <x v="0"/>
    <x v="0"/>
    <s v="$"/>
    <n v="235000"/>
    <n v="235000"/>
    <n v="155.11551155115512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19.801980198019802"/>
    <m/>
    <m/>
    <s v="51"/>
    <s v="OPN-10300"/>
    <x v="0"/>
  </r>
  <r>
    <x v="27"/>
    <x v="360"/>
    <m/>
    <s v="Total"/>
    <x v="3"/>
    <x v="0"/>
    <x v="0"/>
    <s v="$"/>
    <n v="195100.02"/>
    <n v="195100.02"/>
    <n v="128.7788910891089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7.18205280528052"/>
    <m/>
    <m/>
    <s v="26"/>
    <s v="OPN-8241"/>
    <x v="0"/>
  </r>
  <r>
    <x v="19"/>
    <x v="360"/>
    <s v="Servicio"/>
    <s v="Total"/>
    <x v="3"/>
    <x v="0"/>
    <x v="0"/>
    <s v="$"/>
    <n v="195100.02"/>
    <n v="195100.02"/>
    <n v="128.7788910891089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5.61056105610561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3.168316831683168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201.5461518151815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2.55161716171617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5.11551155115512"/>
    <m/>
    <m/>
    <s v="39"/>
    <s v="OPN-9321"/>
    <x v="0"/>
  </r>
  <r>
    <x v="7"/>
    <x v="360"/>
    <m/>
    <s v="Total"/>
    <x v="3"/>
    <x v="0"/>
    <x v="0"/>
    <s v="$"/>
    <n v="235000"/>
    <n v="235000"/>
    <n v="155.11551155115512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7.18205280528052"/>
    <m/>
    <m/>
    <s v="47"/>
    <s v="OPN-9932"/>
    <x v="0"/>
  </r>
  <r>
    <x v="16"/>
    <x v="360"/>
    <m/>
    <s v="Total"/>
    <x v="3"/>
    <x v="0"/>
    <x v="0"/>
    <s v="$"/>
    <n v="232459.1"/>
    <n v="232459.1"/>
    <n v="153.43834983498351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382838283828384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6.73267326732673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33.3156963696367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50.1650165016501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408.7011551155115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90.21643564356441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990.09900990099015"/>
    <m/>
    <m/>
    <s v="34"/>
    <s v="S"/>
    <x v="0"/>
  </r>
  <r>
    <x v="5"/>
    <x v="362"/>
    <s v="Synagro"/>
    <s v="Total"/>
    <x v="3"/>
    <x v="0"/>
    <x v="1"/>
    <s v="$"/>
    <n v="491314.95"/>
    <n v="491314.95"/>
    <n v="324.30029702970296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64.42508910891092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7.44147854785479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59.774092409240922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431023102310232"/>
    <m/>
    <m/>
    <s v="39"/>
    <s v="OPN-9326"/>
    <x v="0"/>
  </r>
  <r>
    <x v="36"/>
    <x v="362"/>
    <m/>
    <s v="Total"/>
    <x v="3"/>
    <x v="0"/>
    <x v="1"/>
    <s v="$"/>
    <n v="1021917.6"/>
    <n v="1021917.6"/>
    <n v="674.53306930693066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20.3654455445544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20.3654455445544"/>
    <m/>
    <m/>
    <s v="50"/>
    <s v="OPN-10160"/>
    <x v="0"/>
  </r>
  <r>
    <x v="42"/>
    <x v="362"/>
    <s v="Synagro"/>
    <s v="Total"/>
    <x v="3"/>
    <x v="0"/>
    <x v="1"/>
    <s v="$"/>
    <n v="1138948.8"/>
    <n v="1138948.8"/>
    <n v="751.78138613861393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44.16198019801971"/>
    <m/>
    <m/>
    <s v="07"/>
    <s v="OPN-10906"/>
    <x v="0"/>
  </r>
  <r>
    <x v="45"/>
    <x v="363"/>
    <s v="Nafta"/>
    <s v="Total"/>
    <x v="1"/>
    <x v="0"/>
    <x v="2"/>
    <s v="$"/>
    <n v="100000"/>
    <n v="100000"/>
    <n v="66.006600660066013"/>
    <m/>
    <m/>
    <s v="12"/>
    <m/>
    <x v="0"/>
  </r>
  <r>
    <x v="45"/>
    <x v="364"/>
    <s v="Bolsones Big-Bag"/>
    <s v="Total"/>
    <x v="1"/>
    <x v="1"/>
    <x v="2"/>
    <s v="$"/>
    <n v="600000"/>
    <n v="600000"/>
    <n v="396.03960396039605"/>
    <m/>
    <m/>
    <s v="12"/>
    <m/>
    <x v="0"/>
  </r>
  <r>
    <x v="38"/>
    <x v="365"/>
    <m/>
    <s v="Total"/>
    <x v="3"/>
    <x v="0"/>
    <x v="0"/>
    <s v="$"/>
    <n v="500000"/>
    <n v="500000"/>
    <n v="330.03300330033005"/>
    <m/>
    <m/>
    <s v="23"/>
    <m/>
    <x v="0"/>
  </r>
  <r>
    <x v="17"/>
    <x v="366"/>
    <s v="Semillas"/>
    <s v="Total"/>
    <x v="1"/>
    <x v="0"/>
    <x v="1"/>
    <s v="$"/>
    <n v="2866757.89"/>
    <n v="2866757.89"/>
    <n v="1892.2494323432345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892.2494323432345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107.1317821782177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2983.035867986799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3.64752475247525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3.64752475247525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3.64752475247525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710.5832409240929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66.006600660066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273.1327832783281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73.1327832783281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73.1327832783281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300.3300330033003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13.63631683168319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20.1320132013202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376.2376237623762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222.9565346534655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287.1287128712872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7.1287128712872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62.3589570957097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7.1287128712872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7.1287128712872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66.006600660066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10.064686468646865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66.006600660066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495.04950495049508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08.25082508250824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20.1320132013202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6.57478547854785"/>
    <m/>
    <m/>
    <s v="09"/>
    <s v="OPN-11031"/>
    <x v="0"/>
  </r>
  <r>
    <x v="31"/>
    <x v="301"/>
    <s v="Flete"/>
    <s v="Total"/>
    <x v="1"/>
    <x v="0"/>
    <x v="0"/>
    <s v="$"/>
    <n v="654500"/>
    <n v="654500"/>
    <n v="432.013201320132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1.485102310231021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1.48509570957095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9.00986138613861"/>
    <m/>
    <m/>
    <s v="10"/>
    <s v="OPN-11120"/>
    <x v="0"/>
  </r>
  <r>
    <x v="41"/>
    <x v="160"/>
    <s v="Embases "/>
    <s v="Total"/>
    <x v="0"/>
    <x v="0"/>
    <x v="1"/>
    <s v="$"/>
    <n v="33110.17"/>
    <n v="33110.17"/>
    <n v="21.854897689768976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88.77887128712871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5.01650165016503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79.207920792079207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99.009900990099013"/>
    <m/>
    <m/>
    <s v="05"/>
    <s v="OPN-6222"/>
    <x v="0"/>
  </r>
  <r>
    <x v="48"/>
    <x v="370"/>
    <m/>
    <s v="Total"/>
    <x v="1"/>
    <x v="1"/>
    <x v="2"/>
    <s v="$"/>
    <n v="51036.6"/>
    <n v="51036.6"/>
    <n v="33.687524752475248"/>
    <m/>
    <m/>
    <s v="20"/>
    <m/>
    <x v="0"/>
  </r>
  <r>
    <x v="11"/>
    <x v="371"/>
    <s v="Servicio de grua - Cava"/>
    <s v="Total"/>
    <x v="1"/>
    <x v="0"/>
    <x v="0"/>
    <s v="$"/>
    <n v="240000"/>
    <n v="240000"/>
    <n v="158.41584158415841"/>
    <m/>
    <m/>
    <s v="07"/>
    <s v="OPN-10917"/>
    <x v="0"/>
  </r>
  <r>
    <x v="14"/>
    <x v="372"/>
    <s v="Fletes"/>
    <s v="Total"/>
    <x v="1"/>
    <x v="0"/>
    <x v="1"/>
    <s v="$"/>
    <n v="1000000"/>
    <n v="1000000"/>
    <n v="660.0660066006601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595.1126798679868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7.52803300330033"/>
    <m/>
    <m/>
    <s v="39"/>
    <s v="OPN-9369"/>
    <x v="0"/>
  </r>
  <r>
    <x v="39"/>
    <x v="374"/>
    <s v="Analisis planta"/>
    <s v="Total"/>
    <x v="1"/>
    <x v="0"/>
    <x v="0"/>
    <s v="$"/>
    <n v="2900"/>
    <n v="2900"/>
    <n v="1.9141914191419143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8.778877887788777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602.64725412541247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58.62353795379533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62.04620462046205"/>
    <m/>
    <m/>
    <s v="16"/>
    <s v="OPN - 7646"/>
    <x v="0"/>
  </r>
  <r>
    <x v="26"/>
    <x v="376"/>
    <s v="Analisis"/>
    <s v="Total"/>
    <x v="1"/>
    <x v="0"/>
    <x v="0"/>
    <s v="$"/>
    <n v="103400"/>
    <n v="103400"/>
    <n v="68.250825082508257"/>
    <m/>
    <m/>
    <s v="16"/>
    <s v="OPN - 7646"/>
    <x v="0"/>
  </r>
  <r>
    <x v="34"/>
    <x v="376"/>
    <s v="Analisis"/>
    <s v="Total"/>
    <x v="1"/>
    <x v="0"/>
    <x v="0"/>
    <s v="$"/>
    <n v="2700"/>
    <n v="2700"/>
    <n v="1.7821782178217822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1.221122112211223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5.87458745874585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38.94389438943895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43.23432343234322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2.78547854785478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26.67561056105615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26.67561716171622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4.02640264026405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600.6600660066006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4337.898481848184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4337.898481848184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4337.898481848184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5181.518151815182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600.6600660066006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66.7239735973594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627.581465346535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3003.300330033002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3003.300330033002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3003.300330033002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809.5861320132017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9090.0461848184823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22.6462838283828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600.6600660066006"/>
    <m/>
    <m/>
    <s v="31"/>
    <s v="S"/>
    <x v="0"/>
  </r>
  <r>
    <x v="39"/>
    <x v="379"/>
    <s v="Fruta Fresca"/>
    <s v="Total"/>
    <x v="4"/>
    <x v="0"/>
    <x v="1"/>
    <s v="$"/>
    <n v="2001500"/>
    <n v="2001500"/>
    <n v="1321.1221122112211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21.1221122112211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21.1221122112211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21.1221122112211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21.1221122112211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21.1221122112211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21.1221122112211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60.0660066006601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60.0660066006601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24.0924092409241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16.0658085808581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25.1346534653464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67.720792079208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500.773597359736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50.1650165016501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50.1650165016501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334.725900990099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476.6481848184822"/>
    <m/>
    <m/>
    <s v="33"/>
    <s v="OPN-8825"/>
    <x v="0"/>
  </r>
  <r>
    <x v="8"/>
    <x v="379"/>
    <s v="Fruta Fresca"/>
    <s v="Total"/>
    <x v="4"/>
    <x v="0"/>
    <x v="0"/>
    <s v="$"/>
    <n v="4909502"/>
    <n v="4909502"/>
    <n v="3240.5953795379537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300.3300330033003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323.7459537953791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477.6969900990098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600.6600660066006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39396039603961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39396039603961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39396039603961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4.418158415841582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6.42840264026404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6.42840264026404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6.42840264026404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41.12128712871288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600.6600660066006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777.429326732673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7920.7920792079212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481.1911023102311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724.7437557755766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300.3300330033003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121.1265874587461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300.3300330033003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40.2640264026404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40.2640264026404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40.2640264026404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471.6039603960398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468.6468646864687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471.6039603960398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234.3234323432343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881.1881188118814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237.2805280528055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51.60159735973596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06.93069306930693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43.40594059405942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54.125412541254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097.7557755775576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83.16831683168317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5.08250825082507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30.27933993399336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92.40924092409242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15.5115511551155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534653465346535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72.0792079207921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79.207920792079207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4.587458745874585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2.508250825082506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60.0660066006601"/>
    <m/>
    <m/>
    <s v="26"/>
    <s v="OPN-5249"/>
    <x v="0"/>
  </r>
  <r>
    <x v="14"/>
    <x v="385"/>
    <s v="Frura fresca "/>
    <s v="Total"/>
    <x v="4"/>
    <x v="1"/>
    <x v="1"/>
    <s v="$"/>
    <n v="440000"/>
    <n v="440000"/>
    <n v="290.42904290429044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30.03300330033005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30.33135313531352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30.03300330033005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20.4620462046205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60.0660066006601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30.03300330033005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31.35313531353137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62.04620462046205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87.45874587458741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11.75100990099014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412.0633003300331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37.0627062706271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26.07260726072604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26.07260726072604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68.4832673267326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990.09900990099015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27.44906930693071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8.085511551155115"/>
    <m/>
    <m/>
    <s v="40"/>
    <s v="OPN-9418"/>
    <x v="0"/>
  </r>
  <r>
    <x v="10"/>
    <x v="387"/>
    <s v="Fletes "/>
    <s v="Total"/>
    <x v="5"/>
    <x v="0"/>
    <x v="1"/>
    <s v="$"/>
    <n v="1950000"/>
    <n v="1950000"/>
    <n v="1287.1287128712872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287.1287128712872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21.30581518151816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489531353135312"/>
    <m/>
    <m/>
    <s v="03"/>
    <s v="OPN-10506"/>
    <x v="0"/>
  </r>
  <r>
    <x v="42"/>
    <x v="387"/>
    <s v="Fletes varios"/>
    <s v="Total"/>
    <x v="5"/>
    <x v="0"/>
    <x v="1"/>
    <s v="$"/>
    <n v="902000"/>
    <n v="902000"/>
    <n v="595.37953795379542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35.026402640264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596.72013201320135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85.80858085808586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38.2838283828382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930.808184818482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11.40534653465352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798.0198019801981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57.93093069306929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21.1221122112211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21.1221122112211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7.469630363036302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23.1023102310231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6.42840264026404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499.5187722772277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3.46534653465346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1.65016501650165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595.4335379537956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592.4764422442245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300.3300330033003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33.3593597359736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1980.1980198019803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300.3300330033003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78.51699669967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78.1312343234323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584.1584158415842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3.366336633663366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5.01650165016503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198.01980198019803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35.64356435643566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41.58415841584156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62.04620462046205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42.24422442244224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21.94719471947195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50.91874587458747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70.31023102310235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84.48844884488449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398.54785478547853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908.38283828382839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558.9207986798674"/>
    <m/>
    <m/>
    <s v="13"/>
    <m/>
    <x v="0"/>
  </r>
  <r>
    <x v="19"/>
    <x v="393"/>
    <s v="Plantines"/>
    <s v="Total"/>
    <x v="1"/>
    <x v="0"/>
    <x v="1"/>
    <s v="$"/>
    <n v="4736000"/>
    <n v="4736000"/>
    <n v="3126.0726072607263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7.06600660066007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607.04740594059399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31.18047524752478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83.73442244224424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26.6767326732672"/>
    <m/>
    <m/>
    <s v="41"/>
    <s v="OPN-2627"/>
    <x v="0"/>
  </r>
  <r>
    <x v="23"/>
    <x v="397"/>
    <m/>
    <s v="Total"/>
    <x v="1"/>
    <x v="0"/>
    <x v="0"/>
    <s v="$"/>
    <n v="1605008.2"/>
    <n v="1605008.2"/>
    <n v="1059.4113531353134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91.41914191419141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90.32607260726073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30.03300330033005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5.51018481848183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568488448844885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3.41254125412541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60.0660066006601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403.71788118811878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81.18114191419136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6.1040594059406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71.55115511551156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69.30693069306932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2.97029702970298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85.47854785478546"/>
    <m/>
    <m/>
    <s v="30"/>
    <m/>
    <x v="0"/>
  </r>
  <r>
    <x v="5"/>
    <x v="399"/>
    <s v="Impresión etiquetas"/>
    <s v="Total"/>
    <x v="1"/>
    <x v="0"/>
    <x v="0"/>
    <s v="$"/>
    <n v="8929"/>
    <n v="8929"/>
    <n v="5.8937293729372939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70.627062706270621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08.58085808580859"/>
    <m/>
    <m/>
    <s v="42"/>
    <s v="OPN-9549"/>
    <x v="0"/>
  </r>
  <r>
    <x v="5"/>
    <x v="399"/>
    <m/>
    <s v="Total"/>
    <x v="1"/>
    <x v="0"/>
    <x v="1"/>
    <s v="$"/>
    <n v="347407.23"/>
    <n v="347407.23"/>
    <n v="229.31170297029701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33.06453465346539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18.15181518151815"/>
    <m/>
    <m/>
    <s v="46"/>
    <s v="OPN-9914"/>
    <x v="0"/>
  </r>
  <r>
    <x v="4"/>
    <x v="399"/>
    <s v="Etiquetas"/>
    <s v="Total"/>
    <x v="1"/>
    <x v="0"/>
    <x v="0"/>
    <s v="$"/>
    <n v="857000"/>
    <n v="857000"/>
    <n v="565.67656765676566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5.01650165016503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49.05940594059405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6.138613861386137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2.904290429042902"/>
    <m/>
    <m/>
    <s v="44"/>
    <s v="OPN-9680"/>
    <x v="0"/>
  </r>
  <r>
    <x v="24"/>
    <x v="400"/>
    <s v="Compras casa"/>
    <s v="Total"/>
    <x v="1"/>
    <x v="0"/>
    <x v="0"/>
    <s v="$"/>
    <n v="105600"/>
    <n v="105600"/>
    <n v="69.702970297029708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1.35313531353135"/>
    <m/>
    <m/>
    <s v="48"/>
    <s v="OPN-10031"/>
    <x v="0"/>
  </r>
  <r>
    <x v="4"/>
    <x v="400"/>
    <s v="Casa"/>
    <s v="Total"/>
    <x v="1"/>
    <x v="0"/>
    <x v="0"/>
    <s v="$"/>
    <n v="205200"/>
    <n v="205200"/>
    <n v="135.44554455445544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554455445544555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201320132013201"/>
    <m/>
    <m/>
    <s v="16"/>
    <m/>
    <x v="0"/>
  </r>
  <r>
    <x v="12"/>
    <x v="402"/>
    <s v="Jugo p/Sangria"/>
    <s v="Total"/>
    <x v="1"/>
    <x v="0"/>
    <x v="1"/>
    <s v="$"/>
    <n v="44862288"/>
    <n v="44862288"/>
    <n v="29612.071287128714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612.071287128714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2.83828382838283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31.02310231023102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3.993399339934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18.81188118811882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2.409201320132013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099.8136633663362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083.8706270627063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9071.219168316831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300.3300330033003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4.67794719471948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61.0433333333333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61.0433333333333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61.0433333333333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61.0433333333333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86.63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86.63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86.63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60.0660066006601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86.63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8.25082508250824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6.16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31.93726072607257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69.405280528052799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1930693069306928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69.3993399339934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60.0660066006601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2526402640264029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807.35973597359737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817.4599339933993"/>
    <m/>
    <m/>
    <s v="09"/>
    <s v="OPN-10928"/>
    <x v="0"/>
  </r>
  <r>
    <x v="31"/>
    <x v="403"/>
    <s v="Cubiertas Nissan"/>
    <s v="Total"/>
    <x v="1"/>
    <x v="1"/>
    <x v="2"/>
    <s v="$"/>
    <n v="5600"/>
    <n v="5600"/>
    <n v="3.6963696369636962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6.006600660066013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198.01980198019803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62.97029702970298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20.1320132013202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3.4953795379538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1755775577557752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124.2187260726073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1980.1980198019803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124.2187260726073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124.2187260726073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124.2187392739274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2.80462046204622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907.3423432343238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2.375590759075912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63.03630363036302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1.390442244224424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39.07590759075913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2970.3759273927394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2970.3759273927394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2568514851485144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4.274818481848186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2970.3759339933995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79.20792079207922"/>
    <m/>
    <m/>
    <s v="14"/>
    <s v="OPN-10907"/>
    <x v="0"/>
  </r>
  <r>
    <x v="3"/>
    <x v="261"/>
    <s v="Sellos bodega"/>
    <s v="Total"/>
    <x v="2"/>
    <x v="0"/>
    <x v="2"/>
    <s v="$"/>
    <n v="60000"/>
    <n v="60000"/>
    <n v="39.603960396039604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2.01320132013203"/>
    <m/>
    <m/>
    <s v="14"/>
    <s v="OPN-6699"/>
    <x v="0"/>
  </r>
  <r>
    <x v="50"/>
    <x v="240"/>
    <s v="Combustible"/>
    <s v="Total"/>
    <x v="2"/>
    <x v="0"/>
    <x v="2"/>
    <s v="$"/>
    <n v="160000"/>
    <n v="160000"/>
    <n v="105.61056105610561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89.52277227722772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09.57095709570957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1.287128712871294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7.9207920792079207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60.0660066006601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8.646864686468646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280.5280528052808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60.726072607260726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2.503089108910885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31.02310231023102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270.329663366338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634.91197359736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270.329663366338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3.003650165016502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410.0927656765678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634.91197359736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7.17324092409243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31.02310231023102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30.03300330033005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60.0660066006601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60.0660066006601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89.83945874587459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4.039603960396036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1.119894389438944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70.12673267326733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20.1320132013202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270.329663366338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51.24467326732668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5.67656765676566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19.801980198019802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198.87524752475247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198.87524752475247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33.71795379537946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57.5701914191418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8.433590759075905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55.3772937293725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2970.3759339933995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70.3759339933995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70.3759339933995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11.48653465346533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32.98369636963702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30.87867986798682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6.303630363036305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297.02970297029702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28.0528052805281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750996699669965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41.9315379537957"/>
    <m/>
    <m/>
    <s v="12"/>
    <s v="OPN-11171"/>
    <x v="0"/>
  </r>
  <r>
    <x v="3"/>
    <x v="362"/>
    <s v="Synagro"/>
    <s v="Total"/>
    <x v="3"/>
    <x v="0"/>
    <x v="1"/>
    <s v="$"/>
    <n v="1076056.2"/>
    <n v="1076056.2"/>
    <n v="710.26811881188121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1.035643564356436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2.80528712871287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81.1110297029702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16.10309570957088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81.1110297029702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2.04211221122111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4.02640264026405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29.04085148514855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6.105610561056103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81.1110297029702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1.587036303630363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6.666666666666664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21.78217821782178"/>
    <m/>
    <m/>
    <s v="15"/>
    <s v="OPN-6730"/>
    <x v="0"/>
  </r>
  <r>
    <x v="41"/>
    <x v="311"/>
    <s v="Cloro"/>
    <s v="Total"/>
    <x v="0"/>
    <x v="0"/>
    <x v="1"/>
    <s v="$"/>
    <n v="1243471.98"/>
    <n v="1243471.98"/>
    <n v="820.77358415841582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787716171617161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90.75907590759078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736.231221122112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736.231221122112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736.231221122112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79.79108910891091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4037.9302574257426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4037.9302574257426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4037.9302706270628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4.20277887788779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40.2640264026404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3.003300330033007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93.74566996699673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301056105610561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807.35973597359737"/>
    <m/>
    <m/>
    <s v="32"/>
    <m/>
    <x v="1"/>
  </r>
  <r>
    <x v="55"/>
    <x v="417"/>
    <s v="Fletes Fruta 2026"/>
    <s v="Total"/>
    <x v="2"/>
    <x v="1"/>
    <x v="2"/>
    <s v="$"/>
    <n v="1500000"/>
    <n v="1500000"/>
    <n v="990.09900990099015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302.31023102310229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30376.192739273927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583.134541254125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8.39891089108912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8.39891089108912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30.03300330033005"/>
    <m/>
    <m/>
    <s v="16"/>
    <s v="OPN-6796"/>
    <x v="0"/>
  </r>
  <r>
    <x v="50"/>
    <x v="309"/>
    <s v="Combustible"/>
    <s v="Total"/>
    <x v="2"/>
    <x v="0"/>
    <x v="2"/>
    <s v="$"/>
    <n v="100000"/>
    <n v="100000"/>
    <n v="66.006600660066013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79.86798679867985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40.58085808580859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7.83593399339934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504950495049506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18.75907590759073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229003300330032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32.75727392739276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5925610561056098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5.41254785478549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4.81848184818483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59.900990099009903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8.415841584158414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18.81824422442246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46.6732673267325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46.6732673267325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79.234323432343231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297.02970297029702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297.02970297029702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806.2585478547855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2.21122112211221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5.845782178217821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71.28712871287132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71.28712871287132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806.2585478547855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1.55115511551155"/>
    <m/>
    <m/>
    <s v="15"/>
    <s v="OPN-11389"/>
    <x v="0"/>
  </r>
  <r>
    <x v="41"/>
    <x v="387"/>
    <s v="Fletes "/>
    <s v="Total"/>
    <x v="5"/>
    <x v="0"/>
    <x v="1"/>
    <s v="$"/>
    <n v="102321.89"/>
    <n v="102321.89"/>
    <n v="67.539201320132008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4.02640264026405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6911815181518151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19.801980198019802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707.81742574257419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0.994455445544553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59.812937293729377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4.02640264026405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4069768976897692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4.851485148514852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40.2640264026404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78.1102310231023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4.2892277227723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2.812719471947197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584.1584158415842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5.297702970297028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434455445544554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58.4158415841584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9.241438943894387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48.46316831683168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48.46316831683168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0.895445544554455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91.66875247524752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34.0740924092409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36.56733993399337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1.213320132013202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5.14851485148515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63.15445544554456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94.93135313531354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93.87286468646863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6.006600660066013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6.006600660066013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6.077135313531357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9052145214521453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50.528052805280531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1.782178217821784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402640264026402"/>
    <m/>
    <m/>
    <s v="13"/>
    <s v="OPN-11233"/>
    <x v="0"/>
  </r>
  <r>
    <x v="50"/>
    <x v="261"/>
    <s v="Tramitar"/>
    <s v="Total"/>
    <x v="2"/>
    <x v="0"/>
    <x v="2"/>
    <s v="$"/>
    <n v="20500"/>
    <n v="20500"/>
    <n v="13.531353135313532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62.04620462046205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39.66930693069307"/>
    <m/>
    <m/>
    <s v="15"/>
    <s v="OPN-11326"/>
    <x v="0"/>
  </r>
  <r>
    <x v="58"/>
    <x v="67"/>
    <s v="Casa LH "/>
    <s v="Total"/>
    <x v="2"/>
    <x v="0"/>
    <x v="2"/>
    <s v="$"/>
    <n v="25999.98"/>
    <n v="25999.98"/>
    <n v="17.161702970297029"/>
    <m/>
    <m/>
    <s v="16"/>
    <s v="OPN-11441"/>
    <x v="0"/>
  </r>
  <r>
    <x v="55"/>
    <x v="87"/>
    <s v="Seguro"/>
    <s v="Total"/>
    <x v="3"/>
    <x v="0"/>
    <x v="0"/>
    <s v="$"/>
    <n v="394490.11"/>
    <n v="394490.11"/>
    <n v="260.38951155115512"/>
    <m/>
    <m/>
    <s v="15"/>
    <s v="OPN-11399"/>
    <x v="0"/>
  </r>
  <r>
    <x v="55"/>
    <x v="87"/>
    <s v="Seguro"/>
    <s v="Total"/>
    <x v="3"/>
    <x v="0"/>
    <x v="0"/>
    <s v="$"/>
    <n v="5289.41"/>
    <n v="5289.41"/>
    <n v="3.4913597359735973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7.9207920792079207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6.66670627062706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0.891089108910892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6019.6623300330029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198.01980198019803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596039603960396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40.9718811881188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40.9718811881188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430.3154917491747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61.6681386138614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499.66996699669966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499.66996699669966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6.868646864686468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20.0821122112211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403201320132013"/>
    <m/>
    <m/>
    <s v="16"/>
    <s v="OPN-11464"/>
    <x v="0"/>
  </r>
  <r>
    <x v="55"/>
    <x v="123"/>
    <s v="Envio de paquete"/>
    <s v="Total"/>
    <x v="2"/>
    <x v="0"/>
    <x v="2"/>
    <s v="$"/>
    <n v="30000"/>
    <n v="30000"/>
    <n v="19.801980198019802"/>
    <m/>
    <m/>
    <s v="15"/>
    <s v="OPN-11337"/>
    <x v="0"/>
  </r>
  <r>
    <x v="55"/>
    <x v="126"/>
    <s v="Febrero"/>
    <s v="Total"/>
    <x v="3"/>
    <x v="0"/>
    <x v="0"/>
    <s v="$"/>
    <n v="1500000"/>
    <n v="1500000"/>
    <n v="990.09900990099015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5.60853465346534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52.1452145214521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6.27676567656765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94.43051485148516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30.28655445544553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0.947524752475248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6222904290429048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19.64407260726074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51.28085808580863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199.32673267326732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4323432343234322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5.00118811881188"/>
    <m/>
    <m/>
    <s v="15"/>
    <s v="OPN-11401"/>
    <x v="0"/>
  </r>
  <r>
    <x v="55"/>
    <x v="146"/>
    <s v="Febrero"/>
    <s v="Total"/>
    <x v="3"/>
    <x v="0"/>
    <x v="0"/>
    <s v="$"/>
    <n v="3853.8"/>
    <n v="3853.8"/>
    <n v="2.5437623762376238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3.390891089108905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72.8311551155116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7.980198019801975"/>
    <m/>
    <m/>
    <s v="15"/>
    <s v="OPN-11377"/>
    <x v="0"/>
  </r>
  <r>
    <x v="55"/>
    <x v="148"/>
    <s v="Marzo"/>
    <s v="Total"/>
    <x v="3"/>
    <x v="0"/>
    <x v="0"/>
    <s v="$"/>
    <n v="446058.54"/>
    <n v="446058.54"/>
    <n v="294.4280792079208"/>
    <m/>
    <m/>
    <s v="15"/>
    <s v="OPN-11403"/>
    <x v="0"/>
  </r>
  <r>
    <x v="55"/>
    <x v="148"/>
    <s v="Marzo"/>
    <s v="Total"/>
    <x v="3"/>
    <x v="0"/>
    <x v="0"/>
    <s v="$"/>
    <n v="2941.49"/>
    <n v="2941.49"/>
    <n v="1.9415775577557755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72.8311551155116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33.96916831683166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605023102310231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8.049927392739274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60.594059405940591"/>
    <m/>
    <m/>
    <s v="17"/>
    <m/>
    <x v="0"/>
  </r>
  <r>
    <x v="64"/>
    <x v="30"/>
    <s v="Sello mecanico "/>
    <s v="Total"/>
    <x v="1"/>
    <x v="0"/>
    <x v="1"/>
    <s v="$"/>
    <n v="13779.52"/>
    <n v="13779.52"/>
    <n v="9.0953927392739278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601.59859405940597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10.110871287128713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41.49834983498351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8.785432343234319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2248844884488451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1.48910891089109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92.9566204620462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2.01320132013203"/>
    <m/>
    <m/>
    <s v="15"/>
    <s v="OPN-6722"/>
    <x v="0"/>
  </r>
  <r>
    <x v="58"/>
    <x v="121"/>
    <m/>
    <s v="Total"/>
    <x v="1"/>
    <x v="0"/>
    <x v="0"/>
    <s v="$"/>
    <n v="5450.24"/>
    <n v="5450.24"/>
    <n v="3.5975181518151813"/>
    <m/>
    <m/>
    <s v="16"/>
    <s v="OPN-11432"/>
    <x v="0"/>
  </r>
  <r>
    <x v="55"/>
    <x v="184"/>
    <s v="Campaña 2025"/>
    <s v="Total"/>
    <x v="2"/>
    <x v="0"/>
    <x v="2"/>
    <s v="$"/>
    <n v="500000"/>
    <n v="500000"/>
    <n v="330.03300330033005"/>
    <m/>
    <m/>
    <s v="15"/>
    <s v="OPN-11335"/>
    <x v="0"/>
  </r>
  <r>
    <x v="55"/>
    <x v="184"/>
    <s v="Campaña 2025"/>
    <s v="Total"/>
    <x v="2"/>
    <x v="0"/>
    <x v="2"/>
    <s v="$"/>
    <n v="5520"/>
    <n v="5520"/>
    <n v="3.6435643564356437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4.0722112211221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19.60396039603961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241650165016502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7326732673267329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88.04165016501651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1.122250825082507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1892343234323435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41.23320792079207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34.6520462046205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34.6520462046205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34.6520462046205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34.6520462046205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7.22191419141916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741386138613862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64.86594059405945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5.36963696369637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6.006600660066013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28.0528052805281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3.55175577557753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3.55175577557753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843683168316832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9900.9900990099013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9900.9900990099013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199.32673267326732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4323432343234322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726.587735973597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4727.537676567656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3.12871287128712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27.85372277227725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27.85372277227725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6.841346534653464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39.11076567656767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1.095966996699669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72.17386138613864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201597359735972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41.01848184818482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4052805280528053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1.56"/>
    <m/>
    <m/>
    <s v="19"/>
    <s v="OPN-11598"/>
    <x v="0"/>
  </r>
  <r>
    <x v="55"/>
    <x v="437"/>
    <s v="Compras Casa "/>
    <s v="Total"/>
    <x v="2"/>
    <x v="0"/>
    <x v="2"/>
    <s v="$"/>
    <n v="84896"/>
    <n v="84896"/>
    <n v="56.036963696369639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2607260726072607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430.3154917491747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31.45348514851491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3.57755775577558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61.71617161716171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1.881188118811881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21.45152475247525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2.223762376237623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1.74917491749174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3.003900990099012"/>
    <m/>
    <m/>
    <s v="19"/>
    <s v="OPN-11602"/>
    <x v="0"/>
  </r>
  <r>
    <x v="56"/>
    <x v="438"/>
    <m/>
    <s v="Total"/>
    <x v="3"/>
    <x v="0"/>
    <x v="0"/>
    <s v="$"/>
    <n v="810000"/>
    <n v="810000"/>
    <n v="534.65346534653463"/>
    <m/>
    <m/>
    <s v="32"/>
    <m/>
    <x v="2"/>
  </r>
  <r>
    <x v="65"/>
    <x v="3"/>
    <s v="Campaña 2026"/>
    <s v="Parcial"/>
    <x v="2"/>
    <x v="1"/>
    <x v="2"/>
    <s v="$"/>
    <n v="1000000"/>
    <n v="1000000"/>
    <n v="660.0660066006601"/>
    <m/>
    <m/>
    <s v="27"/>
    <s v="OPN-7356"/>
    <x v="0"/>
  </r>
  <r>
    <x v="66"/>
    <x v="439"/>
    <s v="Servicio nuez"/>
    <s v="Parcial"/>
    <x v="2"/>
    <x v="1"/>
    <x v="2"/>
    <s v="$"/>
    <n v="800000"/>
    <n v="800000"/>
    <n v="528.0528052805281"/>
    <m/>
    <m/>
    <s v="24"/>
    <s v="OPN-7219"/>
    <x v="0"/>
  </r>
  <r>
    <x v="67"/>
    <x v="439"/>
    <s v="Servicio pulpeado nueces 2026"/>
    <s v="Parcial"/>
    <x v="2"/>
    <x v="1"/>
    <x v="2"/>
    <s v="$"/>
    <n v="1000000"/>
    <n v="1000000"/>
    <n v="660.0660066006601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46.8316831683169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3.309313531353133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14559.75"/>
    <n v="405.65"/>
    <m/>
    <m/>
    <s v="18"/>
    <s v="OPN-11555"/>
    <x v="0"/>
  </r>
  <r>
    <x v="58"/>
    <x v="440"/>
    <s v="Pedido Casa Doctor"/>
    <s v="Total"/>
    <x v="2"/>
    <x v="0"/>
    <x v="2"/>
    <s v="$"/>
    <n v="54037.46"/>
    <n v="54037.46"/>
    <n v="35.668290429042905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2.01320132013203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60.0660066006601"/>
    <m/>
    <d v="2026-05-10T00:00:00"/>
    <n v="20"/>
    <s v="OPN-11501"/>
    <x v="0"/>
  </r>
  <r>
    <x v="55"/>
    <x v="441"/>
    <s v="Envios tienda nube 2025"/>
    <s v="Total"/>
    <x v="0"/>
    <x v="0"/>
    <x v="0"/>
    <s v="$"/>
    <n v="448155.58"/>
    <n v="448155.58"/>
    <n v="295.81226402640266"/>
    <m/>
    <m/>
    <s v="15"/>
    <s v="OPN-22328"/>
    <x v="0"/>
  </r>
  <r>
    <x v="55"/>
    <x v="271"/>
    <s v="Servicio GPS"/>
    <s v="Total"/>
    <x v="3"/>
    <x v="0"/>
    <x v="0"/>
    <s v="$"/>
    <n v="288000"/>
    <n v="288000"/>
    <n v="190.0990099009901"/>
    <m/>
    <m/>
    <s v="15"/>
    <s v="OPN-11405"/>
    <x v="0"/>
  </r>
  <r>
    <x v="55"/>
    <x v="442"/>
    <s v="Honorarios"/>
    <s v="Total"/>
    <x v="2"/>
    <x v="1"/>
    <x v="2"/>
    <s v="$"/>
    <n v="511212.69"/>
    <n v="511212.69"/>
    <n v="337.43411881188121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36.51617161716172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6.017623762376232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71.28712871287132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78.217603960396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78.217603960396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78.217603960396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495.04950495049508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78.2176171617161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5.082508250825082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99.375973597359746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19.72024422442234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280.5280528052808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19.72024422442234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19.72024422442234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19.72025742574249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8.384554455445546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71.28712871287132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2.21452145214522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71.28712871287132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9.013861386138613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71.28712871287132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6-08T00:00:00"/>
    <n v="24"/>
    <s v="OPN-11501"/>
    <x v="0"/>
  </r>
  <r>
    <x v="58"/>
    <x v="443"/>
    <s v="Flete aceituna 2026- - Chancalay Daniel"/>
    <s v="Total"/>
    <x v="1"/>
    <x v="0"/>
    <x v="1"/>
    <s v="$"/>
    <n v="9804480"/>
    <n v="9804480"/>
    <n v="6471.6039603960398"/>
    <m/>
    <d v="2026-05-06T00:00:00"/>
    <n v="19"/>
    <s v="OPN-11423"/>
    <x v="0"/>
  </r>
  <r>
    <x v="58"/>
    <x v="443"/>
    <s v="Flete aceituna 2026- - Chancalay Daniel"/>
    <s v="Total"/>
    <x v="1"/>
    <x v="0"/>
    <x v="1"/>
    <s v="$"/>
    <n v="195520"/>
    <n v="195520"/>
    <n v="129.05610561056105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71.28712871287132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1.408910891089107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71.28712871287132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79.72435643564359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3193399339933993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71.28712871287132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6.105610561056103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6.105610561056103"/>
    <m/>
    <m/>
    <s v="15"/>
    <s v="OPN-6720"/>
    <x v="0"/>
  </r>
  <r>
    <x v="55"/>
    <x v="130"/>
    <s v="Marzo"/>
    <s v="Total"/>
    <x v="3"/>
    <x v="0"/>
    <x v="0"/>
    <s v="$"/>
    <n v="170000"/>
    <n v="170000"/>
    <n v="112.21122112211221"/>
    <m/>
    <m/>
    <s v="15"/>
    <s v="OPN-11402"/>
    <x v="0"/>
  </r>
  <r>
    <x v="55"/>
    <x v="347"/>
    <s v="Alojamiento"/>
    <s v="Total"/>
    <x v="1"/>
    <x v="0"/>
    <x v="0"/>
    <s v="$"/>
    <n v="120000"/>
    <n v="120000"/>
    <n v="79.207920792079207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71.28712871287132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39.75577557755776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71.28712871287132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51.1441122112212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51.1441122112212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152.0638085808578"/>
    <m/>
    <d v="2026-06-22T00:00:00"/>
    <n v="26"/>
    <s v="OPN-11501"/>
    <x v="0"/>
  </r>
  <r>
    <x v="58"/>
    <x v="444"/>
    <s v="Fletes insumos planta"/>
    <s v="Total"/>
    <x v="1"/>
    <x v="0"/>
    <x v="1"/>
    <s v="$"/>
    <n v="2265480"/>
    <n v="2265480"/>
    <n v="1495.3663366336634"/>
    <m/>
    <d v="2026-05-17T00:00:00"/>
    <n v="21"/>
    <s v="OPN-11462"/>
    <x v="0"/>
  </r>
  <r>
    <x v="58"/>
    <x v="444"/>
    <s v="Fletes insumos planta"/>
    <s v="Total"/>
    <x v="1"/>
    <x v="0"/>
    <x v="1"/>
    <s v="$"/>
    <n v="33520"/>
    <n v="33520"/>
    <n v="22.125412541254125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3.11104290429043"/>
    <m/>
    <m/>
    <s v="15"/>
    <s v="OPN-11404"/>
    <x v="0"/>
  </r>
  <r>
    <x v="55"/>
    <x v="360"/>
    <m/>
    <s v="Total"/>
    <x v="3"/>
    <x v="0"/>
    <x v="0"/>
    <s v="$"/>
    <n v="3036.77"/>
    <n v="3036.77"/>
    <n v="2.0044686468646864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707.77029702970299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0.993663366336635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574257425742573"/>
    <m/>
    <m/>
    <s v="16"/>
    <s v="OPN-11447"/>
    <x v="0"/>
  </r>
  <r>
    <x v="58"/>
    <x v="272"/>
    <s v="Nafta taller"/>
    <s v="Total"/>
    <x v="2"/>
    <x v="0"/>
    <x v="2"/>
    <s v="$"/>
    <n v="150003"/>
    <n v="150003"/>
    <n v="99.011881188118807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30.10971617161715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6.010693069306924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89.71669966996706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5.812805280528053"/>
    <s v="Retenciones"/>
    <m/>
    <s v="20"/>
    <s v="OPN-11648"/>
    <x v="0"/>
  </r>
  <r>
    <x v="55"/>
    <x v="445"/>
    <s v="Encomienda Bs As - Anguinan"/>
    <s v="Total"/>
    <x v="2"/>
    <x v="0"/>
    <x v="2"/>
    <s v="$"/>
    <n v="15000.01"/>
    <n v="15000.01"/>
    <n v="9.9009966996699674"/>
    <m/>
    <m/>
    <s v="15"/>
    <s v="OPN-11356"/>
    <x v="0"/>
  </r>
  <r>
    <x v="55"/>
    <x v="445"/>
    <s v="Encomienda Bs As - Anguinan"/>
    <s v="Total"/>
    <x v="2"/>
    <x v="0"/>
    <x v="2"/>
    <s v="$"/>
    <n v="43000"/>
    <n v="43000"/>
    <n v="28.382838283828384"/>
    <m/>
    <m/>
    <s v="15"/>
    <s v="OPN-11350"/>
    <x v="0"/>
  </r>
  <r>
    <x v="57"/>
    <x v="160"/>
    <s v="Embases "/>
    <s v="Total"/>
    <x v="0"/>
    <x v="0"/>
    <x v="1"/>
    <s v="$"/>
    <n v="45106.77"/>
    <n v="45106.77"/>
    <n v="29.773445544554452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1980.1980198019803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541254125412543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3.6242508250825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4.22169636963696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1.9990165016501651"/>
    <m/>
    <m/>
    <s v="17"/>
    <s v="OPN-11495"/>
    <x v="0"/>
  </r>
  <r>
    <x v="67"/>
    <x v="439"/>
    <s v="Servicio pulpeado nueces 2026"/>
    <s v="Parcial"/>
    <x v="1"/>
    <x v="1"/>
    <x v="1"/>
    <s v="$"/>
    <n v="2000000"/>
    <n v="2000000"/>
    <n v="1320.1320132013202"/>
    <m/>
    <d v="2026-08-11T00:00:00"/>
    <n v="33"/>
    <s v="OPN-7309"/>
    <x v="0"/>
  </r>
  <r>
    <x v="68"/>
    <x v="3"/>
    <s v="Campaña 2026"/>
    <s v="Parcial"/>
    <x v="4"/>
    <x v="1"/>
    <x v="1"/>
    <s v="$"/>
    <n v="2500000"/>
    <n v="2500000"/>
    <n v="1650.1650165016501"/>
    <m/>
    <d v="2026-08-06T00:00:00"/>
    <n v="32"/>
    <s v="OPN-7407"/>
    <x v="0"/>
  </r>
  <r>
    <x v="68"/>
    <x v="3"/>
    <s v="Campaña 2026"/>
    <s v="Parcial"/>
    <x v="4"/>
    <x v="1"/>
    <x v="1"/>
    <s v="$"/>
    <n v="2500000"/>
    <n v="2500000"/>
    <n v="1650.1650165016501"/>
    <m/>
    <d v="2026-08-14T00:00:00"/>
    <n v="33"/>
    <s v="OPN-7407"/>
    <x v="0"/>
  </r>
  <r>
    <x v="69"/>
    <x v="3"/>
    <s v="Campaña 2026"/>
    <s v="Parcial"/>
    <x v="4"/>
    <x v="1"/>
    <x v="1"/>
    <s v="$"/>
    <n v="70120.45"/>
    <n v="70120.45"/>
    <n v="46.28412541254125"/>
    <m/>
    <d v="2026-07-18T00:00:00"/>
    <n v="29"/>
    <s v="OPN-7474"/>
    <x v="0"/>
  </r>
  <r>
    <x v="69"/>
    <x v="3"/>
    <s v="Campaña 2026"/>
    <s v="Parcial"/>
    <x v="4"/>
    <x v="1"/>
    <x v="1"/>
    <s v="$"/>
    <n v="1461225"/>
    <n v="1461225"/>
    <n v="964.50495049504946"/>
    <m/>
    <d v="2026-08-29T00:00:00"/>
    <n v="35"/>
    <s v="OPN-7474"/>
    <x v="0"/>
  </r>
  <r>
    <x v="69"/>
    <x v="3"/>
    <s v="Campaña 2026"/>
    <s v="Parcial"/>
    <x v="4"/>
    <x v="1"/>
    <x v="1"/>
    <s v="$"/>
    <n v="1548006.24"/>
    <n v="1548006.24"/>
    <n v="1021.786297029703"/>
    <m/>
    <d v="2026-08-26T00:00:00"/>
    <n v="35"/>
    <s v="OPN-7474"/>
    <x v="0"/>
  </r>
  <r>
    <x v="56"/>
    <x v="3"/>
    <s v="Campaña 2026"/>
    <s v="Parcial"/>
    <x v="6"/>
    <x v="1"/>
    <x v="1"/>
    <s v="U$D"/>
    <n v="9060"/>
    <n v="13725900"/>
    <n v="9060"/>
    <m/>
    <m/>
    <s v="32"/>
    <m/>
    <x v="1"/>
  </r>
  <r>
    <x v="68"/>
    <x v="439"/>
    <s v="Pulpeado Nueces "/>
    <s v="Parcial"/>
    <x v="2"/>
    <x v="1"/>
    <x v="2"/>
    <s v="$"/>
    <n v="752951"/>
    <n v="752951"/>
    <n v="496.99735973597359"/>
    <m/>
    <m/>
    <s v="28"/>
    <s v="OPN-7454"/>
    <x v="0"/>
  </r>
  <r>
    <x v="66"/>
    <x v="446"/>
    <s v="Combustible"/>
    <s v="Total"/>
    <x v="2"/>
    <x v="0"/>
    <x v="2"/>
    <s v="$"/>
    <n v="39999.89"/>
    <n v="39999.89"/>
    <n v="26.402567656765676"/>
    <m/>
    <m/>
    <s v="24"/>
    <s v="OPN-11903"/>
    <x v="0"/>
  </r>
  <r>
    <x v="57"/>
    <x v="440"/>
    <s v="Pedido Casa Doctor"/>
    <s v="Total"/>
    <x v="2"/>
    <x v="0"/>
    <x v="2"/>
    <s v="$"/>
    <n v="4599.9799999999996"/>
    <n v="4599.9799999999996"/>
    <n v="3.036290429042904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2.871287128712872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99.013280528052803"/>
    <m/>
    <m/>
    <s v="20"/>
    <s v="OPN-11676"/>
    <x v="0"/>
  </r>
  <r>
    <x v="61"/>
    <x v="64"/>
    <s v="Combustible"/>
    <s v="Total"/>
    <x v="2"/>
    <x v="0"/>
    <x v="2"/>
    <s v="$"/>
    <n v="150081.9"/>
    <n v="150081.9"/>
    <n v="99.063960396039604"/>
    <m/>
    <m/>
    <s v="20"/>
    <s v="OPN-11658"/>
    <x v="0"/>
  </r>
  <r>
    <x v="58"/>
    <x v="447"/>
    <s v="Factura 779"/>
    <s v="Total"/>
    <x v="1"/>
    <x v="0"/>
    <x v="0"/>
    <s v="$"/>
    <n v="2865924.25"/>
    <n v="2865924.25"/>
    <n v="1891.6991749174917"/>
    <m/>
    <m/>
    <s v="16"/>
    <s v="OPN-11426"/>
    <x v="0"/>
  </r>
  <r>
    <x v="58"/>
    <x v="447"/>
    <s v="Factura 779"/>
    <s v="Total"/>
    <x v="1"/>
    <x v="0"/>
    <x v="0"/>
    <s v="$"/>
    <n v="43611.5"/>
    <n v="43611.5"/>
    <n v="28.786468646864687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29.702970297029704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2.805280528052805"/>
    <m/>
    <m/>
    <s v="16"/>
    <s v="OPN-11473"/>
    <x v="0"/>
  </r>
  <r>
    <x v="63"/>
    <x v="123"/>
    <s v="Flete Itecra"/>
    <s v="Total"/>
    <x v="2"/>
    <x v="0"/>
    <x v="2"/>
    <s v="$"/>
    <n v="111200"/>
    <n v="111200"/>
    <n v="73.399339933993403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6.005927392739267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9007986798679859"/>
    <m/>
    <m/>
    <s v="20"/>
    <s v="OPN-11656"/>
    <x v="0"/>
  </r>
  <r>
    <x v="67"/>
    <x v="417"/>
    <s v="Anticipo flete campaña 2026"/>
    <s v="Total"/>
    <x v="2"/>
    <x v="1"/>
    <x v="2"/>
    <s v="$"/>
    <n v="500000"/>
    <n v="500000"/>
    <n v="330.03300330033005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07.83234323432345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10.86468646864688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990.09900990099015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2.3817821782178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117.9290099009904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117.9290099009904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290.3944554455445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3289900990099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394.975485148515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39.9358415841584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4.890877887788776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280.5280528052808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117.9290099009904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499.498303630362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499.4983102310234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6.30407260726071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257.7145742574266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5.59184158415843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718.8610429042903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718.8610297029702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718.8610297029702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2.756831683168315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117.9290099009904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701.62728712871296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5.56303630363037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198.01980198019803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48.84488448844883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801.32013201320137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6.279366336633665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217821782178218"/>
    <s v="Retenciones"/>
    <m/>
    <s v="23"/>
    <s v="OPN-11887"/>
    <x v="0"/>
  </r>
  <r>
    <x v="67"/>
    <x v="417"/>
    <s v="Anticipo flete campaña 2026"/>
    <s v="Total"/>
    <x v="2"/>
    <x v="1"/>
    <x v="2"/>
    <s v="$"/>
    <n v="1012500"/>
    <n v="1012500"/>
    <n v="668.31683168316829"/>
    <m/>
    <m/>
    <s v="26"/>
    <s v="OPN-7340"/>
    <x v="0"/>
  </r>
  <r>
    <x v="64"/>
    <x v="448"/>
    <s v="Gas Planta"/>
    <s v="Total"/>
    <x v="1"/>
    <x v="0"/>
    <x v="1"/>
    <s v="$"/>
    <n v="844004.89"/>
    <n v="844004.89"/>
    <n v="557.09893729372936"/>
    <m/>
    <d v="2026-07-05T00:00:00"/>
    <n v="28"/>
    <s v="OPN-11792"/>
    <x v="0"/>
  </r>
  <r>
    <x v="64"/>
    <x v="448"/>
    <s v="Gas Planta"/>
    <s v="Total"/>
    <x v="1"/>
    <x v="0"/>
    <x v="1"/>
    <s v="$"/>
    <n v="10995.11"/>
    <n v="10995.11"/>
    <n v="7.2574983498349841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28.0528052805281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07.83234323432345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13.94664026402643"/>
    <m/>
    <d v="2026-05-23T00:00:00"/>
    <n v="21"/>
    <s v="OPN-11714"/>
    <x v="0"/>
  </r>
  <r>
    <x v="57"/>
    <x v="449"/>
    <s v="Pedido aAdministración "/>
    <s v="Total"/>
    <x v="2"/>
    <x v="0"/>
    <x v="2"/>
    <s v="$"/>
    <n v="54700.01"/>
    <n v="54700.01"/>
    <n v="36.105617161716175"/>
    <m/>
    <m/>
    <s v="17"/>
    <s v="OPN-11505"/>
    <x v="0"/>
  </r>
  <r>
    <x v="57"/>
    <x v="449"/>
    <s v="Pedido Casa Doctor"/>
    <s v="Total"/>
    <x v="2"/>
    <x v="0"/>
    <x v="2"/>
    <s v="$"/>
    <n v="13200.01"/>
    <n v="13200.01"/>
    <n v="8.7128778877887783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2.01320132013203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57722112211221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78.21782178217822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707.37405940594056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7989.0328778877893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60.6787590759077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7989.0328778877893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63.00627062706269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8.163036303630363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4.290415841584149"/>
    <m/>
    <m/>
    <s v="17"/>
    <s v="OPN-11509"/>
    <x v="0"/>
  </r>
  <r>
    <x v="58"/>
    <x v="450"/>
    <s v="Modulo Interface Nissan "/>
    <s v="Total"/>
    <x v="2"/>
    <x v="0"/>
    <x v="2"/>
    <s v="$"/>
    <n v="38000"/>
    <n v="38000"/>
    <n v="25.082508250825082"/>
    <m/>
    <m/>
    <s v="16"/>
    <s v="OPN-11442"/>
    <x v="0"/>
  </r>
  <r>
    <x v="57"/>
    <x v="451"/>
    <s v="Pedido Casa Doctor"/>
    <s v="Total"/>
    <x v="2"/>
    <x v="0"/>
    <x v="2"/>
    <s v="$"/>
    <n v="17600"/>
    <n v="17600"/>
    <n v="11.617161716171617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54.92498349834977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326475247524753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40.89853465346533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707.37405940594056"/>
    <m/>
    <d v="2026-07-05T00:00:00"/>
    <n v="28"/>
    <s v="OPN-11609"/>
    <x v="0"/>
  </r>
  <r>
    <x v="57"/>
    <x v="452"/>
    <s v="Pedido limpieza - Planta - campo -  ventas"/>
    <s v="Total"/>
    <x v="2"/>
    <x v="0"/>
    <x v="2"/>
    <s v="$"/>
    <n v="43400.01"/>
    <n v="43400.01"/>
    <n v="28.646871287128715"/>
    <m/>
    <m/>
    <s v="17"/>
    <s v="OPN-11479"/>
    <x v="0"/>
  </r>
  <r>
    <x v="59"/>
    <x v="453"/>
    <s v="Combustible"/>
    <s v="Total"/>
    <x v="2"/>
    <x v="0"/>
    <x v="2"/>
    <s v="$"/>
    <n v="70000"/>
    <n v="70000"/>
    <n v="46.204620462046208"/>
    <s v="Sin rendir"/>
    <m/>
    <s v="18"/>
    <s v="OPN-11567"/>
    <x v="0"/>
  </r>
  <r>
    <x v="58"/>
    <x v="454"/>
    <s v="Cosecha 2026 - Ribot - Cosecha"/>
    <s v="Total"/>
    <x v="2"/>
    <x v="1"/>
    <x v="2"/>
    <s v="U$D"/>
    <n v="7000"/>
    <n v="10605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2.875643564356434"/>
    <s v="Retenciones"/>
    <m/>
    <s v="19"/>
    <s v="OPN-11609"/>
    <x v="0"/>
  </r>
  <r>
    <x v="59"/>
    <x v="455"/>
    <s v="Estudio radiologico"/>
    <s v="Total"/>
    <x v="1"/>
    <x v="0"/>
    <x v="0"/>
    <s v="$"/>
    <n v="100000"/>
    <n v="100000"/>
    <n v="66.006600660066013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590165016501647"/>
    <s v="Retenciones"/>
    <m/>
    <s v="22"/>
    <s v="OPN-11793"/>
    <x v="0"/>
  </r>
  <r>
    <x v="60"/>
    <x v="456"/>
    <s v="Servicio de desinfeccion"/>
    <s v="Total"/>
    <x v="3"/>
    <x v="0"/>
    <x v="0"/>
    <s v="$"/>
    <n v="659628.05000000005"/>
    <n v="659628.05000000005"/>
    <n v="435.39805280528054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402.64026402640263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37.9914323432342"/>
    <m/>
    <m/>
    <s v="18"/>
    <s v="OPN-11557"/>
    <x v="0"/>
  </r>
  <r>
    <x v="63"/>
    <x v="457"/>
    <s v="Enzimas - Planta de aceite"/>
    <s v="Total"/>
    <x v="1"/>
    <x v="0"/>
    <x v="1"/>
    <s v="$"/>
    <n v="5000000"/>
    <n v="5000000"/>
    <n v="3300.3300330033003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430.3154917491747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5.812699669967003"/>
    <s v="Retenciones"/>
    <m/>
    <s v="16"/>
    <s v="OPN-11418"/>
    <x v="0"/>
  </r>
  <r>
    <x v="63"/>
    <x v="457"/>
    <s v="Enzimas - Planta de aceite"/>
    <s v="Total"/>
    <x v="1"/>
    <x v="0"/>
    <x v="1"/>
    <s v="$"/>
    <n v="4816306.6500000004"/>
    <n v="4816306.6500000004"/>
    <n v="3179.0802970297032"/>
    <m/>
    <d v="2026-06-13T00:00:00"/>
    <n v="24"/>
    <s v="OPN-11619"/>
    <x v="0"/>
  </r>
  <r>
    <x v="63"/>
    <x v="457"/>
    <s v="Enzimas - Planta de aceite"/>
    <s v="Total"/>
    <x v="1"/>
    <x v="0"/>
    <x v="1"/>
    <s v="$"/>
    <n v="9934484.1600000001"/>
    <n v="9934484.1600000001"/>
    <n v="6557.4152871287133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2.409702970297033"/>
    <m/>
    <m/>
    <s v="17"/>
    <s v="OPN-11480"/>
    <x v="0"/>
  </r>
  <r>
    <x v="63"/>
    <x v="457"/>
    <s v="Enzimas - Planta de aceite"/>
    <s v="Total"/>
    <x v="1"/>
    <x v="0"/>
    <x v="1"/>
    <s v="$"/>
    <n v="327390.77"/>
    <n v="327390.77"/>
    <n v="216.0995181518152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0957095709570961"/>
    <s v="Retenciones"/>
    <m/>
    <s v="20"/>
    <s v="OPN-11634"/>
    <x v="0"/>
  </r>
  <r>
    <x v="62"/>
    <x v="458"/>
    <s v="Servicio"/>
    <s v="Total"/>
    <x v="1"/>
    <x v="0"/>
    <x v="1"/>
    <s v="$"/>
    <n v="549000"/>
    <n v="549000"/>
    <n v="362.37623762376239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4323432343234321"/>
    <m/>
    <m/>
    <s v="17"/>
    <s v="OPN-6797"/>
    <x v="0"/>
  </r>
  <r>
    <x v="60"/>
    <x v="456"/>
    <s v="Servicio de desinfeccion"/>
    <s v="Total"/>
    <x v="3"/>
    <x v="0"/>
    <x v="1"/>
    <s v="$"/>
    <n v="659628.06000000006"/>
    <n v="659628.06000000006"/>
    <n v="435.39805940594061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198.01980198019803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60.59405940594058"/>
    <m/>
    <d v="2026-05-16T00:00:00"/>
    <n v="20"/>
    <s v="OPN-6797"/>
    <x v="0"/>
  </r>
  <r>
    <x v="60"/>
    <x v="456"/>
    <s v="Servicio de desinfeccion"/>
    <s v="Total"/>
    <x v="3"/>
    <x v="0"/>
    <x v="1"/>
    <s v="$"/>
    <n v="20806.39"/>
    <n v="20806.39"/>
    <n v="13.733590759075907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79.207927392739265"/>
    <m/>
    <d v="2026-06-10T00:00:00"/>
    <n v="24"/>
    <s v="OPN-11835"/>
    <x v="0"/>
  </r>
  <r>
    <x v="68"/>
    <x v="439"/>
    <s v="Pulpeado Nueces "/>
    <s v="Parcial"/>
    <x v="0"/>
    <x v="1"/>
    <x v="1"/>
    <s v="$"/>
    <n v="2726733"/>
    <n v="2726733"/>
    <n v="1799.8237623762377"/>
    <m/>
    <d v="2026-08-26T00:00:00"/>
    <n v="35"/>
    <s v="OPN-7406"/>
    <x v="0"/>
  </r>
  <r>
    <x v="69"/>
    <x v="439"/>
    <s v="Servicio pulpeado nueces 2026"/>
    <s v="Parcial"/>
    <x v="1"/>
    <x v="1"/>
    <x v="1"/>
    <s v="$"/>
    <n v="299400"/>
    <n v="299400"/>
    <n v="197.62376237623764"/>
    <m/>
    <d v="2026-07-21T00:00:00"/>
    <n v="30"/>
    <s v="OPN-7475"/>
    <x v="0"/>
  </r>
  <r>
    <x v="69"/>
    <x v="439"/>
    <s v="Servicio pulpeado nueces 2026"/>
    <s v="Parcial"/>
    <x v="1"/>
    <x v="1"/>
    <x v="1"/>
    <s v="$"/>
    <n v="390000"/>
    <n v="390000"/>
    <n v="257.42574257425741"/>
    <m/>
    <d v="2026-07-23T00:00:00"/>
    <n v="30"/>
    <s v="OPN-7475"/>
    <x v="0"/>
  </r>
  <r>
    <x v="69"/>
    <x v="439"/>
    <s v="Servicio pulpeado nueces 2026"/>
    <s v="Parcial"/>
    <x v="1"/>
    <x v="1"/>
    <x v="1"/>
    <s v="$"/>
    <n v="1000000"/>
    <n v="1000000"/>
    <n v="660.0660066006601"/>
    <m/>
    <d v="2026-08-05T00:00:00"/>
    <n v="32"/>
    <s v="OPN-7475"/>
    <x v="0"/>
  </r>
  <r>
    <x v="69"/>
    <x v="439"/>
    <s v="Servicio pulpeado nueces 2026"/>
    <s v="Parcial"/>
    <x v="1"/>
    <x v="1"/>
    <x v="1"/>
    <s v="$"/>
    <n v="1000000"/>
    <n v="1000000"/>
    <n v="660.0660066006601"/>
    <m/>
    <d v="2026-08-04T00:00:00"/>
    <n v="32"/>
    <s v="OPN-7475"/>
    <x v="0"/>
  </r>
  <r>
    <x v="69"/>
    <x v="439"/>
    <s v="Servicio pulpeado nueces 2026"/>
    <s v="Parcial"/>
    <x v="2"/>
    <x v="1"/>
    <x v="2"/>
    <s v="$"/>
    <n v="1000000"/>
    <n v="1000000"/>
    <n v="660.0660066006601"/>
    <m/>
    <m/>
    <s v="29"/>
    <s v="OPN-7512"/>
    <x v="0"/>
  </r>
  <r>
    <x v="56"/>
    <x v="3"/>
    <s v="Campaña 2026"/>
    <s v="Parcial"/>
    <x v="6"/>
    <x v="1"/>
    <x v="2"/>
    <s v="$"/>
    <n v="1000000"/>
    <n v="1000000"/>
    <n v="660.0660066006601"/>
    <m/>
    <m/>
    <s v="32"/>
    <m/>
    <x v="2"/>
  </r>
  <r>
    <x v="56"/>
    <x v="439"/>
    <s v="Servicio pulpeado nueces 2026"/>
    <s v="Parcial"/>
    <x v="0"/>
    <x v="1"/>
    <x v="1"/>
    <s v="$"/>
    <n v="7158165"/>
    <n v="7158165"/>
    <n v="4724.8613861386139"/>
    <m/>
    <m/>
    <s v="32"/>
    <m/>
    <x v="1"/>
  </r>
  <r>
    <x v="70"/>
    <x v="439"/>
    <s v="Servicio pulpeado nueces 2026"/>
    <s v="Parcial"/>
    <x v="2"/>
    <x v="1"/>
    <x v="2"/>
    <s v="$"/>
    <n v="500000"/>
    <n v="500000"/>
    <n v="330.03300330033005"/>
    <m/>
    <m/>
    <s v="31"/>
    <s v="OPN-7568"/>
    <x v="0"/>
  </r>
  <r>
    <x v="60"/>
    <x v="36"/>
    <s v="Reposición de cheque"/>
    <s v="Total"/>
    <x v="1"/>
    <x v="0"/>
    <x v="0"/>
    <s v="$"/>
    <n v="5000000"/>
    <n v="5000000"/>
    <n v="3300.3300330033003"/>
    <m/>
    <m/>
    <s v="23"/>
    <s v="OPN-11871"/>
    <x v="0"/>
  </r>
  <r>
    <x v="66"/>
    <x v="32"/>
    <s v="Pedidos Planta"/>
    <s v="Total"/>
    <x v="1"/>
    <x v="0"/>
    <x v="1"/>
    <s v="$"/>
    <n v="263570.95"/>
    <n v="263570.95"/>
    <n v="173.97422442244226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5907590759075907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7.1695907590759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7.1695907590759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7.1695907590759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4219207920792076"/>
    <s v="Retenciones"/>
    <m/>
    <s v="16"/>
    <s v="OPN-11438"/>
    <x v="0"/>
  </r>
  <r>
    <x v="58"/>
    <x v="459"/>
    <s v="Motores -  pedido planta"/>
    <s v="Total"/>
    <x v="1"/>
    <x v="0"/>
    <x v="1"/>
    <s v="$"/>
    <n v="1603627.92"/>
    <n v="1603627.92"/>
    <n v="1058.5002772277228"/>
    <m/>
    <d v="2026-05-17T00:00:00"/>
    <n v="21"/>
    <s v="OPN-11469"/>
    <x v="0"/>
  </r>
  <r>
    <x v="58"/>
    <x v="459"/>
    <s v="Motores -  pedido planta"/>
    <s v="Total"/>
    <x v="1"/>
    <x v="0"/>
    <x v="1"/>
    <s v="$"/>
    <n v="1603627.91"/>
    <n v="1603627.91"/>
    <n v="1058.5002706270627"/>
    <m/>
    <d v="2026-06-17T00:00:00"/>
    <n v="25"/>
    <s v="OPN-11469"/>
    <x v="0"/>
  </r>
  <r>
    <x v="58"/>
    <x v="459"/>
    <s v="Motores -  pedido planta"/>
    <s v="Total"/>
    <x v="1"/>
    <x v="0"/>
    <x v="1"/>
    <s v="$"/>
    <n v="49348.17"/>
    <n v="49348.17"/>
    <n v="32.573049504950497"/>
    <s v="Retenciones"/>
    <m/>
    <s v="16"/>
    <s v="OPN-11469"/>
    <x v="0"/>
  </r>
  <r>
    <x v="58"/>
    <x v="454"/>
    <s v="Cosecha 2026 - Ribot"/>
    <s v="Total"/>
    <x v="2"/>
    <x v="1"/>
    <x v="2"/>
    <s v="$"/>
    <n v="4500000"/>
    <n v="4500000"/>
    <n v="2970.2970297029701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299.40594059405942"/>
    <m/>
    <m/>
    <s v="23"/>
    <s v="OPN-11825"/>
    <x v="0"/>
  </r>
  <r>
    <x v="66"/>
    <x v="32"/>
    <s v="Pedidos Planta"/>
    <s v="Total"/>
    <x v="1"/>
    <x v="0"/>
    <x v="1"/>
    <s v="$"/>
    <n v="4429.7700000000004"/>
    <n v="4429.7700000000004"/>
    <n v="2.9239405940594061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2.01320132013203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7.10455445544557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801.32013201320137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801.32013201320137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28052805280528"/>
    <m/>
    <m/>
    <s v="18"/>
    <s v="OPN-11579"/>
    <x v="0"/>
  </r>
  <r>
    <x v="63"/>
    <x v="460"/>
    <s v="Panques planta de aceite 30/50"/>
    <s v="Total"/>
    <x v="1"/>
    <x v="0"/>
    <x v="1"/>
    <s v="$"/>
    <n v="1267399.52"/>
    <n v="1267399.52"/>
    <n v="836.56733993399337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28.72799339933994"/>
    <m/>
    <m/>
    <s v="16"/>
    <s v="OPN-11433"/>
    <x v="0"/>
  </r>
  <r>
    <x v="63"/>
    <x v="460"/>
    <s v="Panques planta de aceite 30/50"/>
    <s v="Total"/>
    <x v="1"/>
    <x v="0"/>
    <x v="1"/>
    <s v="$"/>
    <n v="5000000"/>
    <n v="5000000"/>
    <n v="3300.3300330033003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1.782178217821784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60.0660066006601"/>
    <m/>
    <m/>
    <s v="17"/>
    <s v="OPN-6885"/>
    <x v="0"/>
  </r>
  <r>
    <x v="63"/>
    <x v="460"/>
    <s v="Panques planta de aceite 30/50"/>
    <s v="Total"/>
    <x v="1"/>
    <x v="0"/>
    <x v="1"/>
    <s v="$"/>
    <n v="5012987.83"/>
    <n v="5012987.83"/>
    <n v="3308.9028580858085"/>
    <m/>
    <d v="2026-06-24T00:00:00"/>
    <n v="26"/>
    <s v="OPN-11620"/>
    <x v="0"/>
  </r>
  <r>
    <x v="63"/>
    <x v="460"/>
    <s v="Panques planta de aceite 30/50"/>
    <s v="Total"/>
    <x v="1"/>
    <x v="0"/>
    <x v="1"/>
    <s v="$"/>
    <n v="4816306.6500000004"/>
    <n v="4816306.6500000004"/>
    <n v="3179.0802970297032"/>
    <m/>
    <d v="2026-06-18T00:00:00"/>
    <n v="25"/>
    <s v="OPN-11620"/>
    <x v="0"/>
  </r>
  <r>
    <x v="63"/>
    <x v="460"/>
    <s v="Panques planta de aceite 30/50"/>
    <s v="Total"/>
    <x v="1"/>
    <x v="0"/>
    <x v="1"/>
    <s v="$"/>
    <n v="7164157.6200000001"/>
    <n v="7164157.6200000001"/>
    <n v="4728.8169108910888"/>
    <m/>
    <d v="2026-07-07T00:00:00"/>
    <n v="28"/>
    <s v="OPN-11620"/>
    <x v="0"/>
  </r>
  <r>
    <x v="63"/>
    <x v="460"/>
    <s v="Panques planta de aceite 30/50"/>
    <s v="Total"/>
    <x v="1"/>
    <x v="0"/>
    <x v="1"/>
    <s v="$"/>
    <n v="424208.88"/>
    <n v="424208.88"/>
    <n v="280.00586138613863"/>
    <s v="Retenciones"/>
    <m/>
    <s v="19"/>
    <s v="OPN-11620"/>
    <x v="0"/>
  </r>
  <r>
    <x v="63"/>
    <x v="461"/>
    <s v="Alquiler Grua - Planta de aceite - Cava (7horas)"/>
    <s v="Total"/>
    <x v="1"/>
    <x v="0"/>
    <x v="1"/>
    <s v="$"/>
    <n v="1004080"/>
    <n v="1004080"/>
    <n v="662.75907590759073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310.2310231023102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280.5280528052808"/>
    <m/>
    <m/>
    <s v="17"/>
    <s v="OPN-6880"/>
    <x v="0"/>
  </r>
  <r>
    <x v="63"/>
    <x v="461"/>
    <s v="Alquiler Grua - Planta de aceite - Cava (7horas)"/>
    <s v="Total"/>
    <x v="1"/>
    <x v="0"/>
    <x v="1"/>
    <s v="$"/>
    <n v="12320"/>
    <n v="12320"/>
    <n v="8.1320132013201327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300.3300330033003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9152475247524756"/>
    <s v="Retenciones"/>
    <m/>
    <s v="23"/>
    <s v="OPN-11838"/>
    <x v="0"/>
  </r>
  <r>
    <x v="57"/>
    <x v="462"/>
    <s v="Pedido Ventas "/>
    <s v="Total"/>
    <x v="1"/>
    <x v="0"/>
    <x v="1"/>
    <s v="$"/>
    <n v="548831"/>
    <n v="548831"/>
    <n v="362.26468646864686"/>
    <m/>
    <d v="2026-05-29T00:00:00"/>
    <n v="22"/>
    <s v="OPN-11490"/>
    <x v="0"/>
  </r>
  <r>
    <x v="57"/>
    <x v="462"/>
    <s v="Pedido Ventas "/>
    <s v="Total"/>
    <x v="1"/>
    <x v="0"/>
    <x v="1"/>
    <s v="$"/>
    <n v="548831"/>
    <n v="548831"/>
    <n v="362.26468646864686"/>
    <m/>
    <d v="2026-05-19T00:00:00"/>
    <n v="21"/>
    <s v="OPN-11490"/>
    <x v="0"/>
  </r>
  <r>
    <x v="57"/>
    <x v="462"/>
    <s v="Pedido Ventas "/>
    <s v="Total"/>
    <x v="1"/>
    <x v="0"/>
    <x v="1"/>
    <s v="$"/>
    <n v="548831"/>
    <n v="548831"/>
    <n v="362.26468646864686"/>
    <m/>
    <d v="2026-06-05T00:00:00"/>
    <n v="23"/>
    <s v="OPN-11490"/>
    <x v="0"/>
  </r>
  <r>
    <x v="57"/>
    <x v="462"/>
    <s v="Pedido Ventas "/>
    <s v="Total"/>
    <x v="1"/>
    <x v="0"/>
    <x v="1"/>
    <s v="$"/>
    <n v="2406885"/>
    <n v="2406885"/>
    <n v="1588.7029702970297"/>
    <m/>
    <d v="2026-05-21T00:00:00"/>
    <n v="21"/>
    <s v="OPN-11490"/>
    <x v="0"/>
  </r>
  <r>
    <x v="57"/>
    <x v="462"/>
    <s v="Pedido Ventas "/>
    <s v="Total"/>
    <x v="1"/>
    <x v="0"/>
    <x v="1"/>
    <s v="$"/>
    <n v="68124"/>
    <n v="68124"/>
    <n v="44.966336633663367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801.32013201320137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801.32013201320137"/>
    <m/>
    <d v="2026-07-04T00:00:00"/>
    <n v="27"/>
    <s v="OPN-7073"/>
    <x v="0"/>
  </r>
  <r>
    <x v="62"/>
    <x v="463"/>
    <s v="Valvulas 1/2 - 3"/>
    <s v="Total"/>
    <x v="2"/>
    <x v="0"/>
    <x v="2"/>
    <s v="$"/>
    <n v="41999.99"/>
    <n v="41999.99"/>
    <n v="27.722765676567654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71.28712871287132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19.84972277227723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7989.0328778877893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99.010488448844896"/>
    <m/>
    <m/>
    <s v="18"/>
    <s v="OPN-11564"/>
    <x v="0"/>
  </r>
  <r>
    <x v="61"/>
    <x v="159"/>
    <s v="Pedido Campo"/>
    <s v="Total"/>
    <x v="1"/>
    <x v="0"/>
    <x v="1"/>
    <s v="$"/>
    <n v="200000"/>
    <n v="200000"/>
    <n v="132.01320132013203"/>
    <m/>
    <d v="2026-06-02T00:00:00"/>
    <n v="23"/>
    <s v="OPN-11637"/>
    <x v="0"/>
  </r>
  <r>
    <x v="57"/>
    <x v="454"/>
    <s v="Cosecha 2026 - Ribot"/>
    <s v="Total"/>
    <x v="2"/>
    <x v="1"/>
    <x v="2"/>
    <s v="U$D"/>
    <n v="7000"/>
    <n v="10605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6.006600660066013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562125412541253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5996237623762376"/>
    <s v="Retenciones"/>
    <m/>
    <s v="20"/>
    <s v="OPN-11637"/>
    <x v="0"/>
  </r>
  <r>
    <x v="68"/>
    <x v="417"/>
    <s v="Flete campaña 2026"/>
    <s v="Total"/>
    <x v="1"/>
    <x v="1"/>
    <x v="1"/>
    <s v="$"/>
    <n v="2726733"/>
    <n v="2726733"/>
    <n v="1799.8237623762377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689768976897689"/>
    <m/>
    <m/>
    <s v="23"/>
    <s v="OPN-11856"/>
    <x v="0"/>
  </r>
  <r>
    <x v="71"/>
    <x v="32"/>
    <s v="Pedido planta - "/>
    <s v="Total"/>
    <x v="1"/>
    <x v="0"/>
    <x v="1"/>
    <s v="$"/>
    <n v="102496.76"/>
    <n v="102496.76"/>
    <n v="67.654627062706268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4.851485148514852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417293729372934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86.08762376237621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86.08762376237621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79.207920792079207"/>
    <m/>
    <m/>
    <s v="22"/>
    <s v="OPN-11794"/>
    <x v="0"/>
  </r>
  <r>
    <x v="61"/>
    <x v="453"/>
    <s v="Combustible"/>
    <s v="Total"/>
    <x v="2"/>
    <x v="0"/>
    <x v="2"/>
    <s v="$"/>
    <n v="70000.09"/>
    <n v="70000.09"/>
    <n v="46.204679867986798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396.03960396039605"/>
    <m/>
    <m/>
    <s v="18"/>
    <s v="OPN-6938"/>
    <x v="0"/>
  </r>
  <r>
    <x v="71"/>
    <x v="32"/>
    <s v="Pedido planta - "/>
    <s v="Total"/>
    <x v="1"/>
    <x v="0"/>
    <x v="1"/>
    <s v="$"/>
    <n v="79031.45"/>
    <n v="79031.45"/>
    <n v="52.165973597359731"/>
    <m/>
    <d v="2026-07-19T00:00:00"/>
    <n v="30"/>
    <s v="OPN-12000"/>
    <x v="0"/>
  </r>
  <r>
    <x v="67"/>
    <x v="25"/>
    <s v="Bomba de freno autoelevador Liugong"/>
    <s v="Total"/>
    <x v="1"/>
    <x v="0"/>
    <x v="0"/>
    <s v="$"/>
    <n v="104665"/>
    <n v="104665"/>
    <n v="69.085808580858085"/>
    <m/>
    <m/>
    <s v="26"/>
    <s v="OPN-12023"/>
    <x v="0"/>
  </r>
  <r>
    <x v="66"/>
    <x v="40"/>
    <s v="Reparacion camioneta Sose Olmos  + Alternador"/>
    <s v="Total"/>
    <x v="2"/>
    <x v="0"/>
    <x v="1"/>
    <s v="$"/>
    <n v="458548.59"/>
    <n v="458548.59"/>
    <n v="302.67233663366341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37.9621782178219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9.9830957095709572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2.83249504950496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60.0660066006601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37.9621782178219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990.09900990099015"/>
    <m/>
    <m/>
    <s v="18"/>
    <s v="OPN-6939"/>
    <x v="0"/>
  </r>
  <r>
    <x v="59"/>
    <x v="288"/>
    <s v="Campaña 2025"/>
    <s v="Total"/>
    <x v="4"/>
    <x v="1"/>
    <x v="1"/>
    <s v="U$D"/>
    <n v="2800"/>
    <n v="4242000"/>
    <n v="2800"/>
    <m/>
    <m/>
    <s v="18"/>
    <s v="OPN-6953"/>
    <x v="0"/>
  </r>
  <r>
    <x v="66"/>
    <x v="40"/>
    <s v="Reparacion camioneta Sose Olmos  + Alternador"/>
    <s v="Total"/>
    <x v="2"/>
    <x v="0"/>
    <x v="1"/>
    <s v="$"/>
    <n v="3151.41"/>
    <n v="3151.41"/>
    <n v="2.080138613861386"/>
    <s v="Retenciones"/>
    <m/>
    <s v="24"/>
    <s v="OPN-11902"/>
    <x v="0"/>
  </r>
  <r>
    <x v="59"/>
    <x v="450"/>
    <s v="Repuesto VW Senda - Bulbo electro ventilador"/>
    <s v="Total"/>
    <x v="2"/>
    <x v="0"/>
    <x v="2"/>
    <s v="$"/>
    <n v="13000"/>
    <n v="13000"/>
    <n v="8.5808580858085808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4.82992739273931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41.01848184818482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6.765597359735978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6.765597359735978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7.577161716171616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444343234323432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71.28712871287132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483300330033002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99.768976897689768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495.04950495049508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8746138613861394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603920792079208"/>
    <m/>
    <m/>
    <s v="17"/>
    <s v="OPN-11546"/>
    <x v="0"/>
  </r>
  <r>
    <x v="57"/>
    <x v="442"/>
    <s v="Honorarios Profesionales"/>
    <s v="Total"/>
    <x v="2"/>
    <x v="1"/>
    <x v="2"/>
    <s v="$"/>
    <n v="528506.82999999996"/>
    <n v="528506.82999999996"/>
    <n v="348.84939273927392"/>
    <m/>
    <m/>
    <s v="17"/>
    <s v="OPN-6904"/>
    <x v="0"/>
  </r>
  <r>
    <x v="59"/>
    <x v="454"/>
    <s v="Cosecha 2026 - Ribot"/>
    <s v="Total"/>
    <x v="2"/>
    <x v="1"/>
    <x v="2"/>
    <s v="U$D"/>
    <n v="3000"/>
    <n v="4545000"/>
    <n v="3000"/>
    <m/>
    <m/>
    <s v="18"/>
    <s v="OPN-6952"/>
    <x v="0"/>
  </r>
  <r>
    <x v="68"/>
    <x v="417"/>
    <s v="Flete campaña 2026"/>
    <s v="Total"/>
    <x v="1"/>
    <x v="1"/>
    <x v="2"/>
    <s v="$"/>
    <n v="273267"/>
    <n v="273267"/>
    <n v="180.37425742574257"/>
    <m/>
    <m/>
    <s v="28"/>
    <s v="OPN-7410"/>
    <x v="0"/>
  </r>
  <r>
    <x v="69"/>
    <x v="417"/>
    <s v="Anticipo flete campaña 2026"/>
    <s v="Total"/>
    <x v="0"/>
    <x v="1"/>
    <x v="1"/>
    <s v="$"/>
    <n v="290000"/>
    <n v="290000"/>
    <n v="191.41914191419141"/>
    <m/>
    <d v="2026-07-24T00:00:00"/>
    <n v="30"/>
    <s v="OPN-7476"/>
    <x v="0"/>
  </r>
  <r>
    <x v="69"/>
    <x v="417"/>
    <s v="Anticipo flete campaña 2026"/>
    <s v="Total"/>
    <x v="0"/>
    <x v="1"/>
    <x v="1"/>
    <s v="$"/>
    <n v="600000"/>
    <n v="600000"/>
    <n v="396.03960396039605"/>
    <m/>
    <d v="2026-07-24T00:00:00"/>
    <n v="30"/>
    <s v="OPN-7476"/>
    <x v="0"/>
  </r>
  <r>
    <x v="69"/>
    <x v="417"/>
    <s v="Anticipo flete campaña 2026"/>
    <s v="Total"/>
    <x v="0"/>
    <x v="1"/>
    <x v="1"/>
    <s v="$"/>
    <n v="1200000"/>
    <n v="1200000"/>
    <n v="792.0792079207921"/>
    <m/>
    <d v="2026-08-24T00:00:00"/>
    <n v="35"/>
    <s v="OPN-7476"/>
    <x v="0"/>
  </r>
  <r>
    <x v="69"/>
    <x v="417"/>
    <s v="Anticipo flete campaña 2026"/>
    <s v="Total"/>
    <x v="2"/>
    <x v="1"/>
    <x v="2"/>
    <s v="$"/>
    <n v="400000"/>
    <n v="400000"/>
    <n v="264.02640264026405"/>
    <m/>
    <m/>
    <s v="29"/>
    <s v="OPN-7514"/>
    <x v="0"/>
  </r>
  <r>
    <x v="61"/>
    <x v="464"/>
    <s v="Insumos Planta - Soda caustica p/ devolución SDM"/>
    <s v="Total"/>
    <x v="2"/>
    <x v="0"/>
    <x v="1"/>
    <s v="$"/>
    <n v="1634754.05"/>
    <n v="1634754.05"/>
    <n v="1079.0455775577559"/>
    <m/>
    <d v="2026-06-12T00:00:00"/>
    <n v="24"/>
    <s v="OPN-11653"/>
    <x v="0"/>
  </r>
  <r>
    <x v="61"/>
    <x v="464"/>
    <s v="Insumos Planta - Soda caustica p/ devolución SDM"/>
    <s v="Total"/>
    <x v="2"/>
    <x v="0"/>
    <x v="1"/>
    <s v="$"/>
    <n v="1634754.05"/>
    <n v="1634754.05"/>
    <n v="1079.0455775577559"/>
    <m/>
    <d v="2026-07-12T00:00:00"/>
    <n v="29"/>
    <s v="OPN-11653"/>
    <x v="0"/>
  </r>
  <r>
    <x v="63"/>
    <x v="444"/>
    <s v="Flete Baldes"/>
    <s v="Total"/>
    <x v="1"/>
    <x v="0"/>
    <x v="1"/>
    <s v="$"/>
    <n v="1132740"/>
    <n v="1132740"/>
    <n v="747.68316831683171"/>
    <m/>
    <d v="2026-06-05T00:00:00"/>
    <n v="23"/>
    <s v="OPN11608"/>
    <x v="0"/>
  </r>
  <r>
    <x v="63"/>
    <x v="444"/>
    <s v="Flete Baldes"/>
    <s v="Total"/>
    <x v="1"/>
    <x v="0"/>
    <x v="1"/>
    <s v="$"/>
    <n v="1132740"/>
    <n v="1132740"/>
    <n v="747.68316831683171"/>
    <m/>
    <d v="2026-06-15T00:00:00"/>
    <n v="25"/>
    <s v="OPN11608"/>
    <x v="0"/>
  </r>
  <r>
    <x v="63"/>
    <x v="444"/>
    <s v="Flete Baldes"/>
    <s v="Total"/>
    <x v="1"/>
    <x v="0"/>
    <x v="1"/>
    <s v="$"/>
    <n v="33520"/>
    <n v="33520"/>
    <n v="22.125412541254125"/>
    <s v="Retenciones"/>
    <m/>
    <s v="19"/>
    <s v="OPN11608"/>
    <x v="0"/>
  </r>
  <r>
    <x v="61"/>
    <x v="464"/>
    <s v="Insumos Planta - Soda caustica p/ devolución SDM"/>
    <s v="Total"/>
    <x v="2"/>
    <x v="0"/>
    <x v="1"/>
    <s v="$"/>
    <n v="1634754.05"/>
    <n v="1634754.05"/>
    <n v="1079.0455775577559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99.768976897689768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495.04950495049508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8746138613861394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99.068646864686471"/>
    <m/>
    <m/>
    <s v="19"/>
    <s v="OPN-11597"/>
    <x v="0"/>
  </r>
  <r>
    <x v="61"/>
    <x v="464"/>
    <s v="Insumos Planta - Soda caustica p/ devolución SDM"/>
    <s v="Total"/>
    <x v="2"/>
    <x v="0"/>
    <x v="1"/>
    <s v="$"/>
    <n v="77869.279999999999"/>
    <n v="77869.279999999999"/>
    <n v="51.398864686468649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48.2772805280529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7.166099009900989"/>
    <s v="Retenciones"/>
    <m/>
    <s v="23"/>
    <s v="OPN-11833"/>
    <x v="0"/>
  </r>
  <r>
    <x v="65"/>
    <x v="30"/>
    <s v="Reposición de chueque sin fondos"/>
    <s v="Total"/>
    <x v="1"/>
    <x v="0"/>
    <x v="0"/>
    <s v="$"/>
    <n v="2002346.27"/>
    <n v="2002346.27"/>
    <n v="1321.6807062706271"/>
    <m/>
    <m/>
    <s v="27"/>
    <s v="OPN-12095"/>
    <x v="0"/>
  </r>
  <r>
    <x v="65"/>
    <x v="31"/>
    <s v="Reposición de chueque sin fondos"/>
    <s v="Total"/>
    <x v="1"/>
    <x v="0"/>
    <x v="0"/>
    <s v="$"/>
    <n v="529954"/>
    <n v="529954"/>
    <n v="349.80462046204622"/>
    <m/>
    <m/>
    <s v="27"/>
    <s v="OPN-12091"/>
    <x v="0"/>
  </r>
  <r>
    <x v="71"/>
    <x v="57"/>
    <m/>
    <s v="Total"/>
    <x v="3"/>
    <x v="0"/>
    <x v="1"/>
    <s v="$"/>
    <n v="617320"/>
    <n v="617320"/>
    <n v="407.47194719471946"/>
    <m/>
    <d v="2026-06-30T00:00:00"/>
    <n v="27"/>
    <s v="OPN-11982"/>
    <x v="0"/>
  </r>
  <r>
    <x v="68"/>
    <x v="465"/>
    <s v="Software de ventas - punto de ventas 2"/>
    <s v="Total"/>
    <x v="1"/>
    <x v="0"/>
    <x v="0"/>
    <s v="$"/>
    <n v="777980"/>
    <n v="777980"/>
    <n v="513.51815181518157"/>
    <m/>
    <m/>
    <s v="28"/>
    <s v="OPN-12167"/>
    <x v="0"/>
  </r>
  <r>
    <x v="65"/>
    <x v="32"/>
    <s v="Pedido planta - Insumos taller"/>
    <s v="Total"/>
    <x v="1"/>
    <x v="0"/>
    <x v="1"/>
    <s v="$"/>
    <n v="877699.16"/>
    <n v="877699.16"/>
    <n v="579.33937953795385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2.409247524752487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64.9549438943895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677438943894391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09.24092409240922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80.64026402640263"/>
    <m/>
    <m/>
    <s v="23"/>
    <s v="OPN-11867"/>
    <x v="0"/>
  </r>
  <r>
    <x v="64"/>
    <x v="160"/>
    <s v="Embases "/>
    <s v="Total"/>
    <x v="0"/>
    <x v="0"/>
    <x v="1"/>
    <s v="$"/>
    <n v="1600000"/>
    <n v="1600000"/>
    <n v="1056.1056105610562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800.79207920792078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801.32013201320137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6.19200000000001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5.41651485148515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801.32013201320137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6.769056105610559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402.64026402640263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386.1386138613861"/>
    <m/>
    <d v="2026-05-30T00:00:00"/>
    <n v="22"/>
    <s v="OPN-6959"/>
    <x v="0"/>
  </r>
  <r>
    <x v="59"/>
    <x v="466"/>
    <s v="Trabajos según facturas 180/181/182"/>
    <s v="Total"/>
    <x v="0"/>
    <x v="0"/>
    <x v="0"/>
    <s v="$"/>
    <n v="345000"/>
    <n v="345000"/>
    <n v="227.72277227722773"/>
    <m/>
    <m/>
    <s v="18"/>
    <s v="OPN-11580"/>
    <x v="0"/>
  </r>
  <r>
    <x v="64"/>
    <x v="160"/>
    <s v="Embases "/>
    <s v="Total"/>
    <x v="0"/>
    <x v="0"/>
    <x v="1"/>
    <s v="$"/>
    <n v="1733000"/>
    <n v="1733000"/>
    <n v="1143.8943894389438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3.40653465346535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545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18.81583498349835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1.782178217821784"/>
    <m/>
    <m/>
    <s v="20"/>
    <s v="OPN-11646"/>
    <x v="0"/>
  </r>
  <r>
    <x v="65"/>
    <x v="32"/>
    <s v="Pedidos Planta / campo"/>
    <s v="Total"/>
    <x v="1"/>
    <x v="0"/>
    <x v="1"/>
    <s v="$"/>
    <n v="17653.12"/>
    <n v="17653.12"/>
    <n v="11.652224422442243"/>
    <s v="Retenciones"/>
    <m/>
    <s v="27"/>
    <s v="OPN-12106"/>
    <x v="0"/>
  </r>
  <r>
    <x v="65"/>
    <x v="32"/>
    <s v="Reposición de chueque sin fondos"/>
    <s v="Total"/>
    <x v="1"/>
    <x v="0"/>
    <x v="0"/>
    <s v="$"/>
    <n v="365468.31"/>
    <n v="365468.31"/>
    <n v="241.23320792079207"/>
    <m/>
    <m/>
    <s v="27"/>
    <s v="OPN-12078"/>
    <x v="0"/>
  </r>
  <r>
    <x v="62"/>
    <x v="464"/>
    <s v="Insumos campaña 2026"/>
    <s v="Total"/>
    <x v="0"/>
    <x v="0"/>
    <x v="1"/>
    <s v="$"/>
    <n v="300000"/>
    <n v="300000"/>
    <n v="198.01980198019803"/>
    <m/>
    <m/>
    <s v="21"/>
    <s v="OPN-11727"/>
    <x v="0"/>
  </r>
  <r>
    <x v="62"/>
    <x v="464"/>
    <s v="Insumos campaña 2026"/>
    <s v="Total"/>
    <x v="0"/>
    <x v="0"/>
    <x v="1"/>
    <s v="$"/>
    <n v="6974.98"/>
    <n v="6974.98"/>
    <n v="4.6039471947194714"/>
    <s v="Retenciones"/>
    <m/>
    <s v="21"/>
    <s v="OPN-11727"/>
    <x v="0"/>
  </r>
  <r>
    <x v="62"/>
    <x v="449"/>
    <s v="Pedido Casa Doctor"/>
    <s v="Total"/>
    <x v="2"/>
    <x v="0"/>
    <x v="2"/>
    <s v="$"/>
    <n v="15750.02"/>
    <n v="15750.02"/>
    <n v="10.396052805280528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308.9028580858085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3.220963696369637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41.31202640264027"/>
    <m/>
    <d v="2026-06-26T00:00:00"/>
    <n v="26"/>
    <s v="OPN-11750"/>
    <x v="0"/>
  </r>
  <r>
    <x v="63"/>
    <x v="454"/>
    <s v="Cosecha 2026 - Ribot"/>
    <s v="Total"/>
    <x v="2"/>
    <x v="1"/>
    <x v="2"/>
    <s v="$"/>
    <n v="198730"/>
    <n v="198730"/>
    <n v="131.17491749174917"/>
    <m/>
    <d v="2026-06-18T00:00:00"/>
    <n v="25"/>
    <s v="OPN-6960"/>
    <x v="0"/>
  </r>
  <r>
    <x v="63"/>
    <x v="454"/>
    <s v="Cosecha 2026 - Ribot"/>
    <s v="Total"/>
    <x v="2"/>
    <x v="1"/>
    <x v="2"/>
    <s v="$"/>
    <n v="272825"/>
    <n v="272825"/>
    <n v="180.08250825082507"/>
    <m/>
    <d v="2026-06-20T00:00:00"/>
    <n v="25"/>
    <s v="OPN-6960"/>
    <x v="0"/>
  </r>
  <r>
    <x v="63"/>
    <x v="454"/>
    <s v="Cosecha 2026 - Ribot"/>
    <s v="Total"/>
    <x v="2"/>
    <x v="1"/>
    <x v="2"/>
    <s v="$"/>
    <n v="800000"/>
    <n v="800000"/>
    <n v="528.0528052805281"/>
    <m/>
    <d v="2026-06-14T00:00:00"/>
    <n v="25"/>
    <s v="OPN-6960"/>
    <x v="0"/>
  </r>
  <r>
    <x v="58"/>
    <x v="467"/>
    <s v="Certificación de Balance 2025"/>
    <s v="Total"/>
    <x v="1"/>
    <x v="0"/>
    <x v="0"/>
    <s v="$"/>
    <n v="3032500"/>
    <n v="3032500"/>
    <n v="2001.6501650165017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505.7542772277229"/>
    <m/>
    <m/>
    <s v="18"/>
    <s v="OPN-11584"/>
    <x v="0"/>
  </r>
  <r>
    <x v="63"/>
    <x v="454"/>
    <s v="Cosecha 2026 - Ribot"/>
    <s v="Total"/>
    <x v="2"/>
    <x v="1"/>
    <x v="2"/>
    <s v="$"/>
    <n v="800000"/>
    <n v="800000"/>
    <n v="528.0528052805281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4.884488448844884"/>
    <m/>
    <m/>
    <s v="20"/>
    <s v="OPN-11647"/>
    <x v="0"/>
  </r>
  <r>
    <x v="68"/>
    <x v="465"/>
    <s v="Software de ventas - punto de ventas 2"/>
    <s v="Total"/>
    <x v="1"/>
    <x v="0"/>
    <x v="0"/>
    <s v="$"/>
    <n v="8520"/>
    <n v="8520"/>
    <n v="5.6237623762376234"/>
    <s v="Retenciones"/>
    <m/>
    <s v="28"/>
    <s v="OPN-12167"/>
    <x v="0"/>
  </r>
  <r>
    <x v="60"/>
    <x v="468"/>
    <s v="Envio de pago Pagano y Copaitich"/>
    <s v="Total"/>
    <x v="2"/>
    <x v="0"/>
    <x v="2"/>
    <s v="$"/>
    <n v="29400"/>
    <n v="29400"/>
    <n v="19.405940594059405"/>
    <m/>
    <m/>
    <s v="23"/>
    <s v="OPN-11849"/>
    <x v="0"/>
  </r>
  <r>
    <x v="60"/>
    <x v="468"/>
    <s v="Envio de pago Pagano y Copaitich"/>
    <s v="Total"/>
    <x v="2"/>
    <x v="0"/>
    <x v="2"/>
    <s v="$"/>
    <n v="18750"/>
    <n v="18750"/>
    <n v="12.376237623762377"/>
    <m/>
    <m/>
    <s v="23"/>
    <s v="OPN-11848"/>
    <x v="0"/>
  </r>
  <r>
    <x v="72"/>
    <x v="417"/>
    <s v="Anticipo flete campaña 2026"/>
    <s v="Total"/>
    <x v="2"/>
    <x v="1"/>
    <x v="2"/>
    <s v="$"/>
    <n v="500000"/>
    <n v="500000"/>
    <n v="330.03300330033005"/>
    <m/>
    <m/>
    <s v="30"/>
    <s v="OPN-7560"/>
    <x v="0"/>
  </r>
  <r>
    <x v="70"/>
    <x v="17"/>
    <s v="Regalo - MM"/>
    <s v="Total"/>
    <x v="2"/>
    <x v="0"/>
    <x v="2"/>
    <s v="$"/>
    <n v="100000"/>
    <n v="100000"/>
    <n v="66.006600660066013"/>
    <m/>
    <m/>
    <s v="31"/>
    <s v="OPN-12293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25.32102970297035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39.57194719471948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288633663366335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39.603960396039604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37.4797161716172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567478547854787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1.881188118811881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40.2640264026404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07.83234323432345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63.953795379538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9.042904290429043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63.8811881188117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79.815181518151817"/>
    <s v="Retenciones"/>
    <m/>
    <s v="19"/>
    <s v="OPN-11605"/>
    <x v="0"/>
  </r>
  <r>
    <x v="63"/>
    <x v="469"/>
    <s v="Repuestos  Combi - discos de freno"/>
    <s v="Total"/>
    <x v="1"/>
    <x v="0"/>
    <x v="1"/>
    <s v="$"/>
    <n v="614232.06999999995"/>
    <n v="614232.06999999995"/>
    <n v="405.43370957095703"/>
    <m/>
    <d v="2026-05-25T00:00:00"/>
    <n v="22"/>
    <s v="OPN-11600"/>
    <x v="0"/>
  </r>
  <r>
    <x v="63"/>
    <x v="469"/>
    <s v="Repuestos  Combi - discos de freno"/>
    <s v="Total"/>
    <x v="1"/>
    <x v="0"/>
    <x v="1"/>
    <s v="$"/>
    <n v="5767.93"/>
    <n v="5767.93"/>
    <n v="3.8072145214521456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40.2640264026404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396.03960396039605"/>
    <m/>
    <m/>
    <s v="20"/>
    <s v="OPN-7033"/>
    <x v="0"/>
  </r>
  <r>
    <x v="61"/>
    <x v="288"/>
    <s v="Cava / Bodega"/>
    <s v="Total"/>
    <x v="0"/>
    <x v="1"/>
    <x v="1"/>
    <s v="$"/>
    <n v="610000"/>
    <n v="610000"/>
    <n v="402.64026402640263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716.1716171617161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40.2640264026404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575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315.8100330033003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2.66170297029703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2011.8854719471949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2.91156435643564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904.4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711.661155115512"/>
    <m/>
    <d v="2026-08-17T00:00:00"/>
    <n v="34"/>
    <s v="OPN-11847"/>
    <x v="0"/>
  </r>
  <r>
    <x v="56"/>
    <x v="439"/>
    <s v="Servicio pulpeado nueces 2026"/>
    <s v="Parcial"/>
    <x v="0"/>
    <x v="1"/>
    <x v="2"/>
    <s v="$"/>
    <n v="1000000"/>
    <n v="1000000"/>
    <n v="660.0660066006601"/>
    <m/>
    <m/>
    <s v="32"/>
    <m/>
    <x v="2"/>
  </r>
  <r>
    <x v="56"/>
    <x v="470"/>
    <s v="Corchos bodega - Deuda 2024/2025"/>
    <s v="Total"/>
    <x v="0"/>
    <x v="0"/>
    <x v="1"/>
    <s v="EUR"/>
    <n v="4682.7"/>
    <n v="8288379"/>
    <n v="5470.8772277227727"/>
    <m/>
    <m/>
    <s v="32"/>
    <m/>
    <x v="1"/>
  </r>
  <r>
    <x v="63"/>
    <x v="390"/>
    <s v="Etiquetas aceitunas"/>
    <s v="Total"/>
    <x v="1"/>
    <x v="0"/>
    <x v="1"/>
    <s v="$"/>
    <n v="5012987.83"/>
    <n v="5012987.83"/>
    <n v="3308.9028580858085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1.73551155115512"/>
    <s v="Retenciones"/>
    <m/>
    <s v="19"/>
    <s v="OPN-11614"/>
    <x v="0"/>
  </r>
  <r>
    <x v="56"/>
    <x v="417"/>
    <s v="Fletes campaña 2026"/>
    <s v="Total"/>
    <x v="0"/>
    <x v="1"/>
    <x v="2"/>
    <s v="$"/>
    <n v="1011000"/>
    <n v="1011000"/>
    <n v="667.32673267326732"/>
    <m/>
    <m/>
    <s v="32"/>
    <m/>
    <x v="2"/>
  </r>
  <r>
    <x v="63"/>
    <x v="471"/>
    <s v="Deuda facturas "/>
    <s v="Total"/>
    <x v="0"/>
    <x v="0"/>
    <x v="1"/>
    <s v="$"/>
    <n v="183902"/>
    <n v="183902"/>
    <n v="121.38745874587458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6.006600660066013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6.006600660066013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601.00040924092411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0940528052805281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703.9108910891089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630363036303631"/>
    <s v="Retenciones"/>
    <m/>
    <s v="20"/>
    <s v="OPN-11685"/>
    <x v="0"/>
  </r>
  <r>
    <x v="56"/>
    <x v="24"/>
    <s v="Planta de aceite "/>
    <s v="Total"/>
    <x v="0"/>
    <x v="0"/>
    <x v="0"/>
    <s v="EUR"/>
    <n v="195400"/>
    <n v="345858000"/>
    <n v="228289.10891089108"/>
    <n v="223400"/>
    <m/>
    <s v="32"/>
    <m/>
    <x v="1"/>
  </r>
  <r>
    <x v="61"/>
    <x v="333"/>
    <s v="Combustible"/>
    <s v="Total"/>
    <x v="2"/>
    <x v="0"/>
    <x v="2"/>
    <s v="$"/>
    <n v="39999.1"/>
    <n v="39999.1"/>
    <n v="26.402046204620461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19.806567656765676"/>
    <m/>
    <m/>
    <s v="20"/>
    <s v="OPN-11679"/>
    <x v="0"/>
  </r>
  <r>
    <x v="65"/>
    <x v="472"/>
    <s v="Diseño e impresión de tarjetas"/>
    <s v="Total"/>
    <x v="1"/>
    <x v="0"/>
    <x v="0"/>
    <s v="$"/>
    <n v="223000"/>
    <n v="223000"/>
    <n v="147.1947194719472"/>
    <m/>
    <m/>
    <s v="27"/>
    <s v="OPN-12069"/>
    <x v="0"/>
  </r>
  <r>
    <x v="66"/>
    <x v="468"/>
    <s v="Envios mar del Plata / Puerto Madero +  carta documento"/>
    <s v="Total"/>
    <x v="2"/>
    <x v="0"/>
    <x v="2"/>
    <s v="$"/>
    <n v="139400"/>
    <n v="139400"/>
    <n v="92.013201320132012"/>
    <m/>
    <m/>
    <s v="24"/>
    <s v="OPN-11904"/>
    <x v="0"/>
  </r>
  <r>
    <x v="62"/>
    <x v="473"/>
    <s v="Certificación Bascula INTI"/>
    <s v="Total"/>
    <x v="0"/>
    <x v="0"/>
    <x v="1"/>
    <s v="$"/>
    <n v="300000"/>
    <n v="300000"/>
    <n v="198.01980198019803"/>
    <m/>
    <d v="2026-06-01T00:00:00"/>
    <n v="23"/>
    <s v="OPN-11724"/>
    <x v="0"/>
  </r>
  <r>
    <x v="62"/>
    <x v="473"/>
    <s v="Certificación Bascula INTI"/>
    <s v="Total"/>
    <x v="0"/>
    <x v="0"/>
    <x v="1"/>
    <s v="$"/>
    <n v="300000"/>
    <n v="300000"/>
    <n v="198.01980198019803"/>
    <m/>
    <d v="2026-06-04T00:00:00"/>
    <n v="23"/>
    <s v="OPN-11724"/>
    <x v="0"/>
  </r>
  <r>
    <x v="62"/>
    <x v="473"/>
    <s v="Certificación Bascula INTI"/>
    <s v="Total"/>
    <x v="0"/>
    <x v="0"/>
    <x v="1"/>
    <s v="$"/>
    <n v="1214000"/>
    <n v="1214000"/>
    <n v="801.32013201320137"/>
    <m/>
    <d v="2026-06-13T00:00:00"/>
    <n v="24"/>
    <s v="OPN-11724"/>
    <x v="0"/>
  </r>
  <r>
    <x v="62"/>
    <x v="473"/>
    <s v="Certificación Bascula INTI"/>
    <s v="Total"/>
    <x v="0"/>
    <x v="0"/>
    <x v="1"/>
    <s v="$"/>
    <n v="2000000"/>
    <n v="2000000"/>
    <n v="1320.1320132013202"/>
    <m/>
    <d v="2026-06-29T00:00:00"/>
    <n v="27"/>
    <s v="OPN-11724"/>
    <x v="0"/>
  </r>
  <r>
    <x v="62"/>
    <x v="473"/>
    <s v="Certificación Bascula INTI"/>
    <s v="Total"/>
    <x v="0"/>
    <x v="0"/>
    <x v="1"/>
    <s v="$"/>
    <n v="61697.919999999998"/>
    <n v="61697.919999999998"/>
    <n v="40.724699669966995"/>
    <s v="Retenciones"/>
    <m/>
    <s v="21"/>
    <s v="OPN-11724"/>
    <x v="0"/>
  </r>
  <r>
    <x v="70"/>
    <x v="25"/>
    <s v="Bomba de freno autoelevador Lonking"/>
    <s v="Total"/>
    <x v="1"/>
    <x v="0"/>
    <x v="0"/>
    <s v="$"/>
    <n v="104665"/>
    <n v="104665"/>
    <n v="69.085808580858085"/>
    <m/>
    <m/>
    <s v="31"/>
    <s v="OPN-12288"/>
    <x v="0"/>
  </r>
  <r>
    <x v="64"/>
    <x v="474"/>
    <s v="Discos Toping"/>
    <s v="Total"/>
    <x v="1"/>
    <x v="0"/>
    <x v="1"/>
    <s v="$"/>
    <n v="563801"/>
    <n v="563801"/>
    <n v="372.14587458745876"/>
    <m/>
    <d v="2026-06-28T00:00:00"/>
    <n v="27"/>
    <s v="OPN-11805"/>
    <x v="0"/>
  </r>
  <r>
    <x v="64"/>
    <x v="474"/>
    <s v="Discos Toping"/>
    <s v="Total"/>
    <x v="1"/>
    <x v="0"/>
    <x v="1"/>
    <s v="$"/>
    <n v="563801"/>
    <n v="563801"/>
    <n v="372.14587458745876"/>
    <m/>
    <d v="2026-07-02T00:00:00"/>
    <n v="27"/>
    <s v="OPN-11805"/>
    <x v="0"/>
  </r>
  <r>
    <x v="64"/>
    <x v="474"/>
    <s v="Discos Toping"/>
    <s v="Total"/>
    <x v="1"/>
    <x v="0"/>
    <x v="1"/>
    <s v="$"/>
    <n v="14396"/>
    <n v="14396"/>
    <n v="9.5023102310231025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198.01980198019803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1.481848184818489"/>
    <m/>
    <m/>
    <s v="23"/>
    <s v="OPN-11831"/>
    <x v="0"/>
  </r>
  <r>
    <x v="66"/>
    <x v="475"/>
    <m/>
    <s v="Total"/>
    <x v="1"/>
    <x v="0"/>
    <x v="0"/>
    <s v="$"/>
    <n v="80000"/>
    <n v="80000"/>
    <n v="52.805280528052805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09.11564356435639"/>
    <m/>
    <m/>
    <s v="23"/>
    <s v="OPN-11814"/>
    <x v="0"/>
  </r>
  <r>
    <x v="60"/>
    <x v="146"/>
    <s v="Marzo"/>
    <s v="Total"/>
    <x v="3"/>
    <x v="0"/>
    <x v="0"/>
    <s v="$"/>
    <n v="9051"/>
    <n v="9051"/>
    <n v="5.9742574257425742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4.518811881188114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10.81848184818482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6.39273927392739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90.31353135313532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7.77293729372937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60.0660066006601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801.32013201320137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801.32013201320137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78.1102310231023"/>
    <m/>
    <d v="2026-06-30T00:00:00"/>
    <n v="27"/>
    <s v="OPN-7076"/>
    <x v="0"/>
  </r>
  <r>
    <x v="71"/>
    <x v="84"/>
    <s v="Honorarios profesionales"/>
    <s v="Total"/>
    <x v="3"/>
    <x v="0"/>
    <x v="0"/>
    <s v="$"/>
    <n v="500000"/>
    <n v="500000"/>
    <n v="330.03300330033005"/>
    <m/>
    <m/>
    <s v="25"/>
    <s v="OPN-11987"/>
    <x v="0"/>
  </r>
  <r>
    <x v="60"/>
    <x v="150"/>
    <s v="Marzo"/>
    <s v="Total"/>
    <x v="3"/>
    <x v="0"/>
    <x v="0"/>
    <s v="$"/>
    <n v="320019.8"/>
    <n v="320019.8"/>
    <n v="211.23419141914189"/>
    <m/>
    <m/>
    <s v="23"/>
    <s v="OPN-11816"/>
    <x v="0"/>
  </r>
  <r>
    <x v="60"/>
    <x v="150"/>
    <s v="Marzo"/>
    <s v="Total"/>
    <x v="3"/>
    <x v="0"/>
    <x v="0"/>
    <s v="$"/>
    <n v="5160.2"/>
    <n v="5160.2"/>
    <n v="3.4060726072607261"/>
    <s v="Retenciones"/>
    <m/>
    <s v="23"/>
    <s v="OPN-11816"/>
    <x v="0"/>
  </r>
  <r>
    <x v="66"/>
    <x v="123"/>
    <s v="Flete Chilecito - Mendoza / Tecni-ca"/>
    <s v="Total"/>
    <x v="2"/>
    <x v="0"/>
    <x v="2"/>
    <s v="$"/>
    <n v="18000"/>
    <n v="18000"/>
    <n v="11.881188118811881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3.762376237623762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5.049504950495049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79.95908250825084"/>
    <m/>
    <d v="2026-05-15T00:00:00"/>
    <n v="20"/>
    <s v="OPN-11715"/>
    <x v="0"/>
  </r>
  <r>
    <x v="66"/>
    <x v="123"/>
    <s v="Flete Chilecito - Mendoza / Samuel Ballerini"/>
    <s v="Total"/>
    <x v="2"/>
    <x v="0"/>
    <x v="2"/>
    <s v="$"/>
    <n v="83000"/>
    <n v="83000"/>
    <n v="54.785478547854787"/>
    <m/>
    <m/>
    <s v="24"/>
    <s v="OPN-11905"/>
    <x v="0"/>
  </r>
  <r>
    <x v="64"/>
    <x v="476"/>
    <s v="Insumos campaña 2026"/>
    <s v="Total"/>
    <x v="1"/>
    <x v="0"/>
    <x v="1"/>
    <s v="$"/>
    <n v="1037200"/>
    <n v="1037200"/>
    <n v="684.62046204620458"/>
    <m/>
    <d v="2026-06-16T00:00:00"/>
    <n v="25"/>
    <s v="OPN-11736"/>
    <x v="0"/>
  </r>
  <r>
    <x v="64"/>
    <x v="476"/>
    <s v="Insumos campaña 2026"/>
    <s v="Total"/>
    <x v="1"/>
    <x v="0"/>
    <x v="1"/>
    <s v="$"/>
    <n v="12663.8"/>
    <n v="12663.8"/>
    <n v="8.358943894389439"/>
    <s v="Retenciones"/>
    <m/>
    <s v="22"/>
    <s v="OPN-11736"/>
    <x v="0"/>
  </r>
  <r>
    <x v="62"/>
    <x v="454"/>
    <s v="Campaña 2026"/>
    <s v="Total"/>
    <x v="4"/>
    <x v="1"/>
    <x v="1"/>
    <s v="$"/>
    <n v="1214000"/>
    <n v="1214000"/>
    <n v="801.32013201320137"/>
    <m/>
    <d v="2026-06-04T00:00:00"/>
    <n v="23"/>
    <s v="OPN-7070"/>
    <x v="0"/>
  </r>
  <r>
    <x v="61"/>
    <x v="477"/>
    <s v="Etiquetas"/>
    <s v="Total"/>
    <x v="1"/>
    <x v="0"/>
    <x v="1"/>
    <s v="$"/>
    <n v="197433"/>
    <n v="197433"/>
    <n v="130.31881188118811"/>
    <m/>
    <d v="2026-06-20T00:00:00"/>
    <n v="25"/>
    <s v="OPN-11640"/>
    <x v="0"/>
  </r>
  <r>
    <x v="61"/>
    <x v="477"/>
    <s v="Etiquetas"/>
    <s v="Total"/>
    <x v="1"/>
    <x v="0"/>
    <x v="1"/>
    <s v="$"/>
    <n v="430000"/>
    <n v="430000"/>
    <n v="283.8283828382838"/>
    <m/>
    <d v="2026-06-17T00:00:00"/>
    <n v="25"/>
    <s v="OPN-11640"/>
    <x v="0"/>
  </r>
  <r>
    <x v="61"/>
    <x v="477"/>
    <s v="Etiquetas"/>
    <s v="Total"/>
    <x v="1"/>
    <x v="0"/>
    <x v="1"/>
    <s v="$"/>
    <n v="659050"/>
    <n v="659050"/>
    <n v="435.01650165016503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10.5940594059406"/>
    <m/>
    <m/>
    <s v="20"/>
    <s v="OPN-11645"/>
    <x v="0"/>
  </r>
  <r>
    <x v="61"/>
    <x v="445"/>
    <s v="Envio mendoza - Chilecito"/>
    <s v="Total"/>
    <x v="2"/>
    <x v="0"/>
    <x v="2"/>
    <s v="$"/>
    <n v="21000"/>
    <n v="21000"/>
    <n v="13.861386138613861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7.656765676567659"/>
    <m/>
    <m/>
    <s v="20"/>
    <s v="OPN-11660"/>
    <x v="0"/>
  </r>
  <r>
    <x v="61"/>
    <x v="449"/>
    <s v="Insumos administración"/>
    <s v="Total"/>
    <x v="2"/>
    <x v="0"/>
    <x v="2"/>
    <s v="$"/>
    <n v="19700"/>
    <n v="19700"/>
    <n v="13.003300330033003"/>
    <m/>
    <m/>
    <s v="20"/>
    <s v="OPN-11671"/>
    <x v="0"/>
  </r>
  <r>
    <x v="61"/>
    <x v="478"/>
    <s v="Acido Clorhidrico"/>
    <s v="Total"/>
    <x v="1"/>
    <x v="0"/>
    <x v="1"/>
    <s v="$"/>
    <n v="916972"/>
    <n v="916972"/>
    <n v="605.26204620462045"/>
    <m/>
    <d v="2026-06-15T00:00:00"/>
    <n v="25"/>
    <s v="OPN-11684"/>
    <x v="0"/>
  </r>
  <r>
    <x v="61"/>
    <x v="478"/>
    <s v="Acido Clorhidrico"/>
    <s v="Total"/>
    <x v="1"/>
    <x v="0"/>
    <x v="1"/>
    <s v="$"/>
    <n v="10856"/>
    <n v="10856"/>
    <n v="7.1656765676567655"/>
    <s v="Retenciones"/>
    <m/>
    <s v="20"/>
    <s v="OPN-11684"/>
    <x v="0"/>
  </r>
  <r>
    <x v="61"/>
    <x v="479"/>
    <s v="Presente cumpleaños Lourdes"/>
    <s v="Total"/>
    <x v="1"/>
    <x v="0"/>
    <x v="2"/>
    <s v="$"/>
    <n v="48590"/>
    <n v="48590"/>
    <n v="32.072607260726073"/>
    <m/>
    <m/>
    <s v="20"/>
    <s v="OPN-11673"/>
    <x v="0"/>
  </r>
  <r>
    <x v="61"/>
    <x v="431"/>
    <m/>
    <s v="Total"/>
    <x v="1"/>
    <x v="0"/>
    <x v="1"/>
    <s v="$"/>
    <n v="484260.77"/>
    <n v="484260.77"/>
    <n v="319.64407260726074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51.28151815181513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8.049927392739274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10.09755115511553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2049306930693069"/>
    <s v="Retenciones"/>
    <m/>
    <s v="20"/>
    <s v="OPN-11687"/>
    <x v="0"/>
  </r>
  <r>
    <x v="62"/>
    <x v="454"/>
    <s v="Campaña 2026"/>
    <s v="Total"/>
    <x v="4"/>
    <x v="1"/>
    <x v="1"/>
    <s v="$"/>
    <n v="1250000"/>
    <n v="1250000"/>
    <n v="825.08250825082507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749.7301056105616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749.7301056105616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749.7301056105616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6.4753927392739"/>
    <s v="Retenciones"/>
    <m/>
    <s v="23"/>
    <s v="OPN-11877"/>
    <x v="0"/>
  </r>
  <r>
    <x v="72"/>
    <x v="32"/>
    <s v="Pedidos EPP - Ferreteria"/>
    <s v="Total"/>
    <x v="1"/>
    <x v="0"/>
    <x v="1"/>
    <s v="$"/>
    <n v="958175.99"/>
    <n v="958175.99"/>
    <n v="632.45939933993395"/>
    <m/>
    <d v="2026-08-22T00:00:00"/>
    <n v="34"/>
    <s v="OPN-12242"/>
    <x v="0"/>
  </r>
  <r>
    <x v="72"/>
    <x v="32"/>
    <s v="Pedidos EPP - Ferreteria"/>
    <s v="Total"/>
    <x v="1"/>
    <x v="0"/>
    <x v="1"/>
    <s v="$"/>
    <n v="16103.8"/>
    <n v="16103.8"/>
    <n v="10.629570957095709"/>
    <s v="Retenciones"/>
    <m/>
    <s v="30"/>
    <s v="OPN-12242"/>
    <x v="0"/>
  </r>
  <r>
    <x v="56"/>
    <x v="465"/>
    <s v="Renovación Licencia Anual (sistema salon de ventas)"/>
    <s v="Total"/>
    <x v="1"/>
    <x v="0"/>
    <x v="0"/>
    <s v="$"/>
    <n v="605000"/>
    <n v="605000"/>
    <n v="399.33993399339931"/>
    <m/>
    <m/>
    <s v="32"/>
    <m/>
    <x v="2"/>
  </r>
  <r>
    <x v="65"/>
    <x v="431"/>
    <s v="Reposición de chueque sin fondos"/>
    <s v="Total"/>
    <x v="1"/>
    <x v="0"/>
    <x v="0"/>
    <s v="$"/>
    <n v="1290848.79"/>
    <n v="1290848.79"/>
    <n v="852.04540594059404"/>
    <m/>
    <m/>
    <s v="27"/>
    <s v="OPN-12080"/>
    <x v="0"/>
  </r>
  <r>
    <x v="56"/>
    <x v="28"/>
    <s v="Campaña 2025"/>
    <s v="Total"/>
    <x v="7"/>
    <x v="0"/>
    <x v="1"/>
    <s v="U$D"/>
    <n v="4766"/>
    <n v="7220490"/>
    <n v="4766"/>
    <m/>
    <m/>
    <s v="32"/>
    <m/>
    <x v="1"/>
  </r>
  <r>
    <x v="68"/>
    <x v="38"/>
    <s v="100 vueltas de ripio"/>
    <s v="Total"/>
    <x v="2"/>
    <x v="0"/>
    <x v="2"/>
    <s v="$"/>
    <n v="426745.29"/>
    <n v="426745.29"/>
    <n v="281.6800594059406"/>
    <m/>
    <m/>
    <s v="28"/>
    <s v="OPN-12173"/>
    <x v="0"/>
  </r>
  <r>
    <x v="68"/>
    <x v="38"/>
    <s v="100 vueltas de ripio"/>
    <s v="Total"/>
    <x v="2"/>
    <x v="0"/>
    <x v="2"/>
    <s v="$"/>
    <n v="2616.9"/>
    <n v="2616.9"/>
    <n v="1.7273267326732673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801.32013201320137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6.68413201320132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317095709570958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1.760798679867989"/>
    <m/>
    <d v="2026-07-05T00:00:00"/>
    <n v="28"/>
    <s v="OPN-11888"/>
    <x v="0"/>
  </r>
  <r>
    <x v="71"/>
    <x v="480"/>
    <s v="Combustible - Combi Kia"/>
    <s v="Total"/>
    <x v="2"/>
    <x v="0"/>
    <x v="2"/>
    <s v="$"/>
    <n v="49999.98"/>
    <n v="49999.98"/>
    <n v="33.00328712871287"/>
    <m/>
    <m/>
    <s v="25"/>
    <s v="OPN-11981"/>
    <x v="0"/>
  </r>
  <r>
    <x v="64"/>
    <x v="478"/>
    <s v="Calcio"/>
    <s v="Total"/>
    <x v="1"/>
    <x v="0"/>
    <x v="1"/>
    <s v="$"/>
    <n v="3296538"/>
    <n v="3296538"/>
    <n v="2175.9326732673267"/>
    <m/>
    <d v="2026-06-26T00:00:00"/>
    <n v="26"/>
    <s v="OPN-11742"/>
    <x v="0"/>
  </r>
  <r>
    <x v="64"/>
    <x v="478"/>
    <s v="Calcio"/>
    <s v="Total"/>
    <x v="1"/>
    <x v="0"/>
    <x v="1"/>
    <s v="$"/>
    <n v="55404"/>
    <n v="55404"/>
    <n v="36.570297029702971"/>
    <s v="Retenciones"/>
    <m/>
    <s v="22"/>
    <s v="OPN-11742"/>
    <x v="0"/>
  </r>
  <r>
    <x v="64"/>
    <x v="478"/>
    <s v="Insumos Campaña 2026"/>
    <s v="Total"/>
    <x v="1"/>
    <x v="0"/>
    <x v="1"/>
    <s v="$"/>
    <n v="1058007.3400000001"/>
    <n v="1058007.3400000001"/>
    <n v="698.35467986798687"/>
    <m/>
    <d v="2026-07-01T00:00:00"/>
    <n v="27"/>
    <s v="OPN-11795"/>
    <x v="0"/>
  </r>
  <r>
    <x v="64"/>
    <x v="478"/>
    <s v="Insumos Campaña 2026"/>
    <s v="Total"/>
    <x v="1"/>
    <x v="0"/>
    <x v="1"/>
    <s v="$"/>
    <n v="17781.64"/>
    <n v="17781.64"/>
    <n v="11.737056105610561"/>
    <s v="Retenciones"/>
    <m/>
    <s v="22"/>
    <s v="OPN-11795"/>
    <x v="0"/>
  </r>
  <r>
    <x v="60"/>
    <x v="453"/>
    <s v="Combustible"/>
    <s v="Total"/>
    <x v="2"/>
    <x v="0"/>
    <x v="2"/>
    <s v="$"/>
    <n v="70000"/>
    <n v="70000"/>
    <n v="46.204620462046208"/>
    <m/>
    <m/>
    <s v="23"/>
    <s v="OPN-11878"/>
    <x v="0"/>
  </r>
  <r>
    <x v="60"/>
    <x v="440"/>
    <s v="Gastos casa "/>
    <s v="Total"/>
    <x v="2"/>
    <x v="0"/>
    <x v="2"/>
    <s v="$"/>
    <n v="15200.06"/>
    <n v="15200.06"/>
    <n v="10.033042904290429"/>
    <m/>
    <m/>
    <s v="23"/>
    <s v="OPN-11851"/>
    <x v="0"/>
  </r>
  <r>
    <x v="60"/>
    <x v="440"/>
    <s v="Gaseosas cumpleaños Lucila"/>
    <s v="Total"/>
    <x v="2"/>
    <x v="0"/>
    <x v="2"/>
    <s v="$"/>
    <n v="17599.96"/>
    <n v="17599.96"/>
    <n v="11.617135313531353"/>
    <m/>
    <m/>
    <s v="23"/>
    <s v="OPN-11869"/>
    <x v="0"/>
  </r>
  <r>
    <x v="71"/>
    <x v="433"/>
    <s v="Tomas corrioente + prolongadores - planta de aceite"/>
    <s v="Total"/>
    <x v="1"/>
    <x v="0"/>
    <x v="2"/>
    <s v="$"/>
    <n v="59334"/>
    <n v="59334"/>
    <n v="39.164356435643562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6.006600660066013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17.8877887788779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20.1320132013202"/>
    <m/>
    <d v="2026-06-12T00:00:00"/>
    <n v="24"/>
    <s v="OPN-7122"/>
    <x v="0"/>
  </r>
  <r>
    <x v="67"/>
    <x v="64"/>
    <s v="Pulpeado Nueces "/>
    <s v="Total"/>
    <x v="2"/>
    <x v="1"/>
    <x v="2"/>
    <s v="$"/>
    <n v="1000000"/>
    <n v="1000000"/>
    <n v="660.0660066006601"/>
    <m/>
    <m/>
    <s v="26"/>
    <s v="OPN-7310"/>
    <x v="0"/>
  </r>
  <r>
    <x v="71"/>
    <x v="481"/>
    <s v="Flete baldes - Rosario"/>
    <s v="Total"/>
    <x v="1"/>
    <x v="0"/>
    <x v="1"/>
    <s v="$"/>
    <n v="1000000"/>
    <n v="1000000"/>
    <n v="660.0660066006601"/>
    <m/>
    <m/>
    <s v="25"/>
    <s v="OPN-11994"/>
    <x v="0"/>
  </r>
  <r>
    <x v="62"/>
    <x v="482"/>
    <s v="Servicio pasas"/>
    <s v="Total"/>
    <x v="1"/>
    <x v="0"/>
    <x v="1"/>
    <s v="$"/>
    <n v="300000"/>
    <n v="300000"/>
    <n v="198.01980198019803"/>
    <m/>
    <d v="2026-06-18T00:00:00"/>
    <n v="25"/>
    <s v="OPN-11728"/>
    <x v="0"/>
  </r>
  <r>
    <x v="62"/>
    <x v="482"/>
    <s v="Servicio pasas"/>
    <s v="Total"/>
    <x v="1"/>
    <x v="0"/>
    <x v="1"/>
    <s v="$"/>
    <n v="300000"/>
    <n v="300000"/>
    <n v="198.01980198019803"/>
    <m/>
    <d v="2026-06-12T00:00:00"/>
    <n v="24"/>
    <s v="OPN-11728"/>
    <x v="0"/>
  </r>
  <r>
    <x v="62"/>
    <x v="482"/>
    <s v="Servicio pasas"/>
    <s v="Total"/>
    <x v="1"/>
    <x v="0"/>
    <x v="1"/>
    <s v="$"/>
    <n v="314950"/>
    <n v="314950"/>
    <n v="207.88778877887788"/>
    <m/>
    <d v="2026-06-11T00:00:00"/>
    <n v="24"/>
    <s v="OPN-11728"/>
    <x v="0"/>
  </r>
  <r>
    <x v="62"/>
    <x v="482"/>
    <s v="Servicio pasas"/>
    <s v="Total"/>
    <x v="1"/>
    <x v="0"/>
    <x v="1"/>
    <s v="$"/>
    <n v="575000"/>
    <n v="575000"/>
    <n v="379.53795379537956"/>
    <m/>
    <d v="2026-06-25T00:00:00"/>
    <n v="26"/>
    <s v="OPN-11728"/>
    <x v="0"/>
  </r>
  <r>
    <x v="62"/>
    <x v="482"/>
    <s v="Servicio pasas"/>
    <s v="Total"/>
    <x v="1"/>
    <x v="0"/>
    <x v="1"/>
    <s v="$"/>
    <n v="23283.85"/>
    <n v="23283.85"/>
    <n v="15.368877887788777"/>
    <s v="Retenciones"/>
    <m/>
    <s v="21"/>
    <s v="OPN-11728"/>
    <x v="0"/>
  </r>
  <r>
    <x v="64"/>
    <x v="462"/>
    <s v="Reposición de cheque"/>
    <s v="Total"/>
    <x v="1"/>
    <x v="0"/>
    <x v="0"/>
    <s v="$"/>
    <n v="2406885"/>
    <n v="2406885"/>
    <n v="1588.7029702970297"/>
    <m/>
    <m/>
    <s v="22"/>
    <s v="OPN-11760"/>
    <x v="0"/>
  </r>
  <r>
    <x v="71"/>
    <x v="481"/>
    <s v="Flete baldes - Rosario"/>
    <s v="Total"/>
    <x v="1"/>
    <x v="0"/>
    <x v="1"/>
    <s v="$"/>
    <n v="1143343.3999999999"/>
    <n v="1143343.3999999999"/>
    <n v="754.68211221122101"/>
    <m/>
    <m/>
    <s v="25"/>
    <s v="OPN-11994"/>
    <x v="0"/>
  </r>
  <r>
    <x v="62"/>
    <x v="466"/>
    <s v="Trabajos según facturas 180/181/182"/>
    <s v="Total"/>
    <x v="0"/>
    <x v="0"/>
    <x v="1"/>
    <s v="$"/>
    <n v="50000"/>
    <n v="50000"/>
    <n v="33.003300330033007"/>
    <m/>
    <d v="2026-04-28T00:00:00"/>
    <n v="18"/>
    <s v="OPN-11716"/>
    <x v="0"/>
  </r>
  <r>
    <x v="62"/>
    <x v="466"/>
    <s v="Trabajos según facturas 180/181/182"/>
    <s v="Total"/>
    <x v="0"/>
    <x v="0"/>
    <x v="1"/>
    <s v="$"/>
    <n v="70000"/>
    <n v="70000"/>
    <n v="46.204620462046208"/>
    <m/>
    <d v="2026-05-12T00:00:00"/>
    <n v="20"/>
    <s v="OPN-11716"/>
    <x v="0"/>
  </r>
  <r>
    <x v="62"/>
    <x v="466"/>
    <s v="Trabajos según facturas 180/181/182"/>
    <s v="Total"/>
    <x v="0"/>
    <x v="0"/>
    <x v="1"/>
    <s v="$"/>
    <n v="415000"/>
    <n v="415000"/>
    <n v="273.92739273927396"/>
    <m/>
    <d v="2026-04-30T00:00:00"/>
    <n v="18"/>
    <s v="OPN-11716"/>
    <x v="0"/>
  </r>
  <r>
    <x v="66"/>
    <x v="483"/>
    <s v="Flete cosecha 2026"/>
    <s v="Total"/>
    <x v="2"/>
    <x v="1"/>
    <x v="2"/>
    <s v="$"/>
    <n v="400000"/>
    <n v="400000"/>
    <n v="264.02640264026405"/>
    <m/>
    <m/>
    <s v="24"/>
    <s v="OPN-7216"/>
    <x v="0"/>
  </r>
  <r>
    <x v="66"/>
    <x v="484"/>
    <s v="Flete cosecha 2026"/>
    <s v="Total"/>
    <x v="2"/>
    <x v="1"/>
    <x v="2"/>
    <s v="$"/>
    <n v="400000"/>
    <n v="400000"/>
    <n v="264.02640264026405"/>
    <m/>
    <m/>
    <s v="24"/>
    <s v="OPN-7217"/>
    <x v="0"/>
  </r>
  <r>
    <x v="71"/>
    <x v="481"/>
    <s v="Flete baldes - Rosario"/>
    <s v="Total"/>
    <x v="1"/>
    <x v="0"/>
    <x v="1"/>
    <s v="$"/>
    <n v="34656.6"/>
    <n v="34656.6"/>
    <n v="22.875643564356434"/>
    <s v="Retenciones"/>
    <m/>
    <s v="25"/>
    <s v="OPN-11994"/>
    <x v="0"/>
  </r>
  <r>
    <x v="68"/>
    <x v="38"/>
    <s v="100 vueltas de ripio"/>
    <s v="Total"/>
    <x v="2"/>
    <x v="1"/>
    <x v="2"/>
    <s v="$"/>
    <n v="375000"/>
    <n v="375000"/>
    <n v="247.52475247524754"/>
    <m/>
    <m/>
    <s v="28"/>
    <s v="OPN-7456"/>
    <x v="0"/>
  </r>
  <r>
    <x v="65"/>
    <x v="429"/>
    <s v="Caminos y sabores"/>
    <s v="Total"/>
    <x v="2"/>
    <x v="0"/>
    <x v="2"/>
    <s v="$"/>
    <n v="26400"/>
    <n v="26400"/>
    <n v="17.425742574257427"/>
    <m/>
    <m/>
    <s v="27"/>
    <s v="OPN-12111"/>
    <x v="0"/>
  </r>
  <r>
    <x v="71"/>
    <x v="123"/>
    <s v="Envio mendoza - Chilecito - Itecra"/>
    <s v="Total"/>
    <x v="2"/>
    <x v="0"/>
    <x v="2"/>
    <s v="$"/>
    <n v="55000"/>
    <n v="55000"/>
    <n v="36.303630363036305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48.2904290429042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48.2904290429042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48.2904290429042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49.848184818481847"/>
    <s v="Retenciones"/>
    <m/>
    <s v="22"/>
    <s v="OPN-11797"/>
    <x v="0"/>
  </r>
  <r>
    <x v="62"/>
    <x v="485"/>
    <s v="Parcial factura x service camioneta F Rondina"/>
    <s v="Total"/>
    <x v="2"/>
    <x v="0"/>
    <x v="2"/>
    <s v="$"/>
    <n v="100000"/>
    <n v="100000"/>
    <n v="66.006600660066013"/>
    <m/>
    <m/>
    <s v="21"/>
    <s v="OPN-11730"/>
    <x v="0"/>
  </r>
  <r>
    <x v="62"/>
    <x v="486"/>
    <s v="Cajas  "/>
    <s v="Total"/>
    <x v="1"/>
    <x v="0"/>
    <x v="1"/>
    <s v="$"/>
    <n v="757000"/>
    <n v="757000"/>
    <n v="499.66996699669966"/>
    <m/>
    <d v="2026-06-14T00:00:00"/>
    <n v="25"/>
    <s v="OPN-11734"/>
    <x v="0"/>
  </r>
  <r>
    <x v="62"/>
    <x v="486"/>
    <s v="Cajas  "/>
    <s v="Total"/>
    <x v="1"/>
    <x v="0"/>
    <x v="1"/>
    <s v="$"/>
    <n v="15230.34"/>
    <n v="15230.34"/>
    <n v="10.053029702970298"/>
    <m/>
    <m/>
    <s v="21"/>
    <s v="OPN-11734"/>
    <x v="0"/>
  </r>
  <r>
    <x v="62"/>
    <x v="487"/>
    <s v="Recina - Pedido planta"/>
    <s v="Total"/>
    <x v="1"/>
    <x v="0"/>
    <x v="1"/>
    <s v="$"/>
    <n v="208000"/>
    <n v="208000"/>
    <n v="137.29372937293729"/>
    <m/>
    <d v="2026-06-06T00:00:00"/>
    <n v="23"/>
    <s v="OPN-11735"/>
    <x v="0"/>
  </r>
  <r>
    <x v="71"/>
    <x v="123"/>
    <s v="Envio mendoza - Chilecito - Empaque SA"/>
    <s v="Total"/>
    <x v="2"/>
    <x v="0"/>
    <x v="2"/>
    <s v="$"/>
    <n v="45000"/>
    <n v="45000"/>
    <n v="29.702970297029704"/>
    <m/>
    <m/>
    <s v="25"/>
    <s v="OPN-11979"/>
    <x v="0"/>
  </r>
  <r>
    <x v="71"/>
    <x v="123"/>
    <s v="Envio mendoza - Chilecito - Jorge Ballerini"/>
    <s v="Total"/>
    <x v="2"/>
    <x v="0"/>
    <x v="2"/>
    <s v="$"/>
    <n v="11000"/>
    <n v="11000"/>
    <n v="7.2607260726072607"/>
    <m/>
    <m/>
    <s v="25"/>
    <s v="OPN-11978"/>
    <x v="0"/>
  </r>
  <r>
    <x v="66"/>
    <x v="165"/>
    <s v="Pedido EPP - Planta - Campo"/>
    <s v="Total"/>
    <x v="1"/>
    <x v="0"/>
    <x v="1"/>
    <s v="$"/>
    <n v="72096.639999999999"/>
    <n v="72096.639999999999"/>
    <n v="47.58854125412541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60.0660066006601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42.9042904290429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50.059405940594061"/>
    <s v="Retenciones"/>
    <m/>
    <s v="22"/>
    <s v="OPN-11800"/>
    <x v="0"/>
  </r>
  <r>
    <x v="71"/>
    <x v="123"/>
    <s v="Envio  Chilecito - Mendoza / Ballerin Raul"/>
    <s v="Total"/>
    <x v="2"/>
    <x v="0"/>
    <x v="2"/>
    <s v="$"/>
    <n v="11000"/>
    <n v="11000"/>
    <n v="7.2607260726072607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48.98795379537955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5.950957095709571"/>
    <s v="Retenciones"/>
    <m/>
    <s v="22"/>
    <s v="OPN-11798"/>
    <x v="0"/>
  </r>
  <r>
    <x v="66"/>
    <x v="453"/>
    <s v="Combustible"/>
    <s v="Total"/>
    <x v="2"/>
    <x v="0"/>
    <x v="2"/>
    <s v="$"/>
    <n v="70000"/>
    <n v="70000"/>
    <n v="46.204620462046208"/>
    <m/>
    <m/>
    <s v="24"/>
    <s v="OPN-11963"/>
    <x v="0"/>
  </r>
  <r>
    <x v="60"/>
    <x v="449"/>
    <s v="Gastos casa "/>
    <s v="Total"/>
    <x v="2"/>
    <x v="0"/>
    <x v="2"/>
    <s v="$"/>
    <n v="16000"/>
    <n v="16000"/>
    <n v="10.561056105610561"/>
    <m/>
    <m/>
    <s v="23"/>
    <s v="OPN-11852"/>
    <x v="0"/>
  </r>
  <r>
    <x v="60"/>
    <x v="449"/>
    <s v="Compra administración"/>
    <s v="Total"/>
    <x v="2"/>
    <x v="0"/>
    <x v="2"/>
    <s v="$"/>
    <n v="67300.02"/>
    <n v="67300.02"/>
    <n v="44.422455445544557"/>
    <m/>
    <m/>
    <s v="23"/>
    <s v="OPN-11861"/>
    <x v="0"/>
  </r>
  <r>
    <x v="66"/>
    <x v="440"/>
    <s v="Pedido Casa Doctor"/>
    <s v="Total"/>
    <x v="2"/>
    <x v="0"/>
    <x v="2"/>
    <s v="$"/>
    <n v="38965.39"/>
    <n v="38965.39"/>
    <n v="25.719729372937294"/>
    <m/>
    <m/>
    <s v="24"/>
    <s v="OPN-11907"/>
    <x v="0"/>
  </r>
  <r>
    <x v="64"/>
    <x v="488"/>
    <s v="Servicios medicos"/>
    <s v="Total"/>
    <x v="1"/>
    <x v="0"/>
    <x v="0"/>
    <s v="$"/>
    <n v="50000"/>
    <n v="50000"/>
    <n v="33.003300330033007"/>
    <m/>
    <m/>
    <s v="22"/>
    <s v="OPN-11804"/>
    <x v="0"/>
  </r>
  <r>
    <x v="68"/>
    <x v="40"/>
    <s v="Reparación motor de arranque"/>
    <s v="Total"/>
    <x v="1"/>
    <x v="0"/>
    <x v="1"/>
    <s v="$"/>
    <n v="463121.74"/>
    <n v="463121.74"/>
    <n v="305.69091749174919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53.3141914191419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60.109188118811879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72.17386138613864"/>
    <m/>
    <m/>
    <s v="23"/>
    <s v="OPN-11817"/>
    <x v="0"/>
  </r>
  <r>
    <x v="60"/>
    <x v="219"/>
    <s v="Marzo"/>
    <s v="Total"/>
    <x v="3"/>
    <x v="0"/>
    <x v="0"/>
    <s v="$"/>
    <n v="10656.6"/>
    <n v="10656.6"/>
    <n v="7.0340594059405941"/>
    <s v="Retenciones"/>
    <m/>
    <s v="23"/>
    <s v="OPN-11817"/>
    <x v="0"/>
  </r>
  <r>
    <x v="68"/>
    <x v="40"/>
    <s v="Reparación motor de arranque"/>
    <s v="Total"/>
    <x v="1"/>
    <x v="0"/>
    <x v="1"/>
    <s v="$"/>
    <n v="3228.26"/>
    <n v="3228.26"/>
    <n v="2.1308646864686471"/>
    <s v="Retenciones"/>
    <m/>
    <s v="28"/>
    <s v="OPN-12115"/>
    <x v="0"/>
  </r>
  <r>
    <x v="60"/>
    <x v="489"/>
    <s v="Gastos casa "/>
    <s v="Total"/>
    <x v="2"/>
    <x v="0"/>
    <x v="2"/>
    <s v="$"/>
    <n v="188821.25"/>
    <n v="188821.25"/>
    <n v="124.63448844884489"/>
    <m/>
    <m/>
    <s v="23"/>
    <s v="OPN-11855"/>
    <x v="0"/>
  </r>
  <r>
    <x v="60"/>
    <x v="489"/>
    <s v="Gastos casa "/>
    <s v="Total"/>
    <x v="2"/>
    <x v="0"/>
    <x v="2"/>
    <s v="$"/>
    <n v="174599"/>
    <n v="174599"/>
    <n v="115.24686468646864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199.32673267326732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4323432343234322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589.2409240924092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514785478547855"/>
    <s v="Retenciones"/>
    <m/>
    <s v="22"/>
    <s v="OPN-11802"/>
    <x v="0"/>
  </r>
  <r>
    <x v="65"/>
    <x v="63"/>
    <s v="5400 cajas de pasas"/>
    <s v="Total"/>
    <x v="1"/>
    <x v="0"/>
    <x v="1"/>
    <s v="$"/>
    <n v="3443614.02"/>
    <n v="3443614.02"/>
    <n v="2273.0125544554458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23.43234323432341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5.41840924092411"/>
    <m/>
    <m/>
    <s v="23"/>
    <s v="OPN-11882"/>
    <x v="0"/>
  </r>
  <r>
    <x v="65"/>
    <x v="63"/>
    <s v="5400 cajas de pasas"/>
    <s v="Total"/>
    <x v="1"/>
    <x v="0"/>
    <x v="1"/>
    <s v="$"/>
    <n v="3443614.02"/>
    <n v="3443614.02"/>
    <n v="2273.0125544554458"/>
    <m/>
    <d v="2026-08-15T00:00:00"/>
    <n v="33"/>
    <s v="OPN-12099"/>
    <x v="0"/>
  </r>
  <r>
    <x v="67"/>
    <x v="433"/>
    <s v="Tomas corrioente + prolongadores - planta de aceite"/>
    <s v="Total"/>
    <x v="2"/>
    <x v="0"/>
    <x v="2"/>
    <s v="$"/>
    <n v="4796"/>
    <n v="4796"/>
    <n v="3.1656765676567655"/>
    <m/>
    <m/>
    <s v="26"/>
    <s v="OPN-12011"/>
    <x v="0"/>
  </r>
  <r>
    <x v="66"/>
    <x v="490"/>
    <s v="Etiquetas + Ribon"/>
    <s v="Total"/>
    <x v="1"/>
    <x v="0"/>
    <x v="1"/>
    <s v="$"/>
    <n v="968566.16"/>
    <n v="968566.16"/>
    <n v="639.31759735973594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4.97359735973598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1005.940594059406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553881188118812"/>
    <s v="Retenciones"/>
    <m/>
    <s v="22"/>
    <s v="OPN-11803"/>
    <x v="0"/>
  </r>
  <r>
    <x v="66"/>
    <x v="490"/>
    <s v="Etiquetas + Ribon"/>
    <s v="Total"/>
    <x v="1"/>
    <x v="0"/>
    <x v="1"/>
    <s v="$"/>
    <n v="11723.13"/>
    <n v="11723.13"/>
    <n v="7.7380396039603951"/>
    <s v="Retenciones"/>
    <m/>
    <s v="24"/>
    <s v="OPN-11912"/>
    <x v="0"/>
  </r>
  <r>
    <x v="66"/>
    <x v="491"/>
    <s v="Cunas 8.5"/>
    <s v="Total"/>
    <x v="1"/>
    <x v="0"/>
    <x v="1"/>
    <s v="$"/>
    <n v="1779434.82"/>
    <n v="1779434.82"/>
    <n v="1174.5444356435644"/>
    <m/>
    <d v="2026-07-30T00:00:00"/>
    <n v="31"/>
    <s v="OPN-11913"/>
    <x v="0"/>
  </r>
  <r>
    <x v="66"/>
    <x v="491"/>
    <s v="Cunas 8.5"/>
    <s v="Total"/>
    <x v="1"/>
    <x v="0"/>
    <x v="1"/>
    <s v="$"/>
    <n v="556969.18000000005"/>
    <n v="556969.18000000005"/>
    <n v="367.63642244224428"/>
    <m/>
    <d v="2026-07-25T00:00:00"/>
    <n v="30"/>
    <s v="OPN-11913"/>
    <x v="0"/>
  </r>
  <r>
    <x v="66"/>
    <x v="491"/>
    <s v="Cunas 8.5"/>
    <s v="Total"/>
    <x v="1"/>
    <x v="0"/>
    <x v="1"/>
    <s v="$"/>
    <n v="34712"/>
    <n v="34712"/>
    <n v="22.912211221122114"/>
    <s v="Retenciones"/>
    <m/>
    <s v="24"/>
    <s v="OPN-11913"/>
    <x v="0"/>
  </r>
  <r>
    <x v="67"/>
    <x v="433"/>
    <s v="Pila LR44 - pedido bodega"/>
    <s v="Total"/>
    <x v="2"/>
    <x v="0"/>
    <x v="2"/>
    <s v="$"/>
    <n v="1620"/>
    <n v="1620"/>
    <n v="1.0693069306930694"/>
    <m/>
    <m/>
    <s v="26"/>
    <s v="OPN-12030"/>
    <x v="0"/>
  </r>
  <r>
    <x v="64"/>
    <x v="482"/>
    <s v="Servicio pasas"/>
    <s v="Total"/>
    <x v="1"/>
    <x v="0"/>
    <x v="1"/>
    <s v="$"/>
    <n v="4031846.59"/>
    <n v="4031846.59"/>
    <n v="2661.2848778877888"/>
    <m/>
    <d v="2026-06-27T00:00:00"/>
    <n v="26"/>
    <s v="OPN-11765"/>
    <x v="0"/>
  </r>
  <r>
    <x v="64"/>
    <x v="482"/>
    <s v="Servicio pasas"/>
    <s v="Total"/>
    <x v="1"/>
    <x v="0"/>
    <x v="1"/>
    <s v="$"/>
    <n v="68153.41"/>
    <n v="68153.41"/>
    <n v="44.985749174917494"/>
    <s v="Retenciones"/>
    <m/>
    <s v="22"/>
    <s v="OPN-11765"/>
    <x v="0"/>
  </r>
  <r>
    <x v="56"/>
    <x v="28"/>
    <s v="Cuenta corriente"/>
    <s v="Total"/>
    <x v="0"/>
    <x v="0"/>
    <x v="1"/>
    <s v="$"/>
    <n v="4190355.8700000006"/>
    <n v="4190355.8700000006"/>
    <n v="2765.9114653465349"/>
    <m/>
    <m/>
    <s v="32"/>
    <m/>
    <x v="1"/>
  </r>
  <r>
    <x v="66"/>
    <x v="200"/>
    <s v="Equipos de sal"/>
    <s v="Total"/>
    <x v="0"/>
    <x v="0"/>
    <x v="1"/>
    <s v="$"/>
    <n v="7228369"/>
    <n v="7228369"/>
    <n v="4771.200660066007"/>
    <m/>
    <d v="2026-07-11T00:00:00"/>
    <n v="28"/>
    <s v="OPN-11897"/>
    <x v="0"/>
  </r>
  <r>
    <x v="60"/>
    <x v="492"/>
    <s v="Carga de Argon / nitrogeno"/>
    <s v="Total"/>
    <x v="1"/>
    <x v="0"/>
    <x v="0"/>
    <s v="$"/>
    <n v="332000"/>
    <n v="332000"/>
    <n v="219.14191419141915"/>
    <m/>
    <m/>
    <s v="23"/>
    <s v="OPN-11830"/>
    <x v="0"/>
  </r>
  <r>
    <x v="66"/>
    <x v="200"/>
    <s v="Equipos de sal"/>
    <s v="Total"/>
    <x v="0"/>
    <x v="0"/>
    <x v="1"/>
    <s v="$"/>
    <n v="114997.17"/>
    <n v="114997.17"/>
    <n v="75.90572277227723"/>
    <m/>
    <m/>
    <s v="24"/>
    <s v="OPN-11897"/>
    <x v="0"/>
  </r>
  <r>
    <x v="56"/>
    <x v="112"/>
    <s v="Servicio de fumigación "/>
    <s v="Total"/>
    <x v="3"/>
    <x v="0"/>
    <x v="0"/>
    <s v="$"/>
    <n v="1242115.3999999999"/>
    <n v="1242115.3999999999"/>
    <n v="819.87815181518147"/>
    <m/>
    <m/>
    <s v="32"/>
    <s v="OPN-12304"/>
    <x v="2"/>
  </r>
  <r>
    <x v="64"/>
    <x v="414"/>
    <s v="Bomba hidraulica tractor "/>
    <s v="Total"/>
    <x v="1"/>
    <x v="0"/>
    <x v="1"/>
    <s v="$"/>
    <n v="622566.77"/>
    <n v="622566.77"/>
    <n v="410.93516171617165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10.93516171617165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806151815181519"/>
    <s v="Retenciones"/>
    <m/>
    <s v="22"/>
    <s v="OPN-11747"/>
    <x v="0"/>
  </r>
  <r>
    <x v="65"/>
    <x v="75"/>
    <s v="Bolsas de vacio para nueces"/>
    <s v="Total"/>
    <x v="1"/>
    <x v="0"/>
    <x v="1"/>
    <s v="$"/>
    <n v="1044920.8"/>
    <n v="1044920.8"/>
    <n v="689.71669966996706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4.93269966996701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4.93269966996701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5959867986798688"/>
    <s v="Retenciones"/>
    <m/>
    <s v="22"/>
    <s v="OPN-11785"/>
    <x v="0"/>
  </r>
  <r>
    <x v="71"/>
    <x v="493"/>
    <s v="Rodamientos Marbett - pedido planta"/>
    <s v="Total"/>
    <x v="1"/>
    <x v="0"/>
    <x v="0"/>
    <s v="$"/>
    <n v="1926998.81"/>
    <n v="1926998.81"/>
    <n v="1271.9464092409241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547854785478549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4.224422442244226"/>
    <m/>
    <m/>
    <s v="22"/>
    <s v="OPN-11756"/>
    <x v="0"/>
  </r>
  <r>
    <x v="64"/>
    <x v="494"/>
    <s v="Lubricante - Hidraulico 68 - XV300"/>
    <s v="Total"/>
    <x v="1"/>
    <x v="0"/>
    <x v="1"/>
    <s v="$"/>
    <n v="2994685.84"/>
    <n v="2994685.84"/>
    <n v="1976.6903234323431"/>
    <m/>
    <d v="2026-06-29T00:00:00"/>
    <n v="27"/>
    <s v="OPN-11811"/>
    <x v="0"/>
  </r>
  <r>
    <x v="64"/>
    <x v="494"/>
    <s v="Lubricante - Hidraulico 68 - XV300"/>
    <s v="Total"/>
    <x v="1"/>
    <x v="0"/>
    <x v="1"/>
    <s v="$"/>
    <n v="68714.16"/>
    <n v="68714.16"/>
    <n v="45.355881188118815"/>
    <s v="Retenciones"/>
    <m/>
    <s v="22"/>
    <s v="OPN-11811"/>
    <x v="0"/>
  </r>
  <r>
    <x v="66"/>
    <x v="449"/>
    <s v="Papel higienico"/>
    <s v="Total"/>
    <x v="2"/>
    <x v="0"/>
    <x v="2"/>
    <s v="$"/>
    <n v="14500.01"/>
    <n v="14500.01"/>
    <n v="9.5709636963696365"/>
    <m/>
    <m/>
    <s v="24"/>
    <s v="OPN-11941"/>
    <x v="0"/>
  </r>
  <r>
    <x v="66"/>
    <x v="495"/>
    <s v="Combustible - Campo"/>
    <s v="Total"/>
    <x v="1"/>
    <x v="0"/>
    <x v="1"/>
    <s v="$"/>
    <n v="4651640"/>
    <n v="4651640"/>
    <n v="3070.3894389438942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2.21122112211221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93.6166270627063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279405940594059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5.01650165016503"/>
    <m/>
    <m/>
    <s v="23"/>
    <s v="OPN-11823"/>
    <x v="0"/>
  </r>
  <r>
    <x v="60"/>
    <x v="271"/>
    <s v="Servicio GPS"/>
    <s v="Total"/>
    <x v="3"/>
    <x v="0"/>
    <x v="0"/>
    <s v="$"/>
    <n v="241200"/>
    <n v="241200"/>
    <n v="159.20792079207922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2.01320132013203"/>
    <m/>
    <m/>
    <s v="23"/>
    <s v="OPN-7166"/>
    <x v="0"/>
  </r>
  <r>
    <x v="60"/>
    <x v="496"/>
    <s v="Talonarios"/>
    <s v="Total"/>
    <x v="2"/>
    <x v="0"/>
    <x v="0"/>
    <s v="$"/>
    <n v="99000"/>
    <n v="99000"/>
    <n v="65.346534653465341"/>
    <m/>
    <m/>
    <s v="23"/>
    <s v="OPN-11826"/>
    <x v="0"/>
  </r>
  <r>
    <x v="66"/>
    <x v="495"/>
    <s v="Combustible - Campo"/>
    <s v="Total"/>
    <x v="1"/>
    <x v="0"/>
    <x v="1"/>
    <s v="$"/>
    <n v="90360"/>
    <n v="90360"/>
    <n v="59.643564356435647"/>
    <m/>
    <m/>
    <s v="|"/>
    <s v="OPN-11899"/>
    <x v="0"/>
  </r>
  <r>
    <x v="71"/>
    <x v="493"/>
    <s v="Rodamientos Marbett - pedido planta"/>
    <s v="Total"/>
    <x v="1"/>
    <x v="0"/>
    <x v="0"/>
    <s v="$"/>
    <n v="1926998.81"/>
    <n v="1926998.81"/>
    <n v="1271.9464092409241"/>
    <m/>
    <m/>
    <s v="25"/>
    <s v="OPN-11991"/>
    <x v="0"/>
  </r>
  <r>
    <x v="60"/>
    <x v="288"/>
    <s v="Campaña 2026"/>
    <s v="Total"/>
    <x v="2"/>
    <x v="1"/>
    <x v="2"/>
    <s v="$"/>
    <n v="700000"/>
    <n v="700000"/>
    <n v="462.04620462046205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401.4785478547856"/>
    <m/>
    <d v="2026-06-14T00:00:00"/>
    <n v="25"/>
    <s v="OPN-7152"/>
    <x v="0"/>
  </r>
  <r>
    <x v="71"/>
    <x v="493"/>
    <s v="Rodamientos Marbett - pedido planta"/>
    <s v="Total"/>
    <x v="1"/>
    <x v="0"/>
    <x v="0"/>
    <s v="$"/>
    <n v="74081.58"/>
    <n v="74081.58"/>
    <n v="48.898732673267325"/>
    <s v="Retenciones"/>
    <m/>
    <s v="25"/>
    <s v="OPN-11991"/>
    <x v="0"/>
  </r>
  <r>
    <x v="67"/>
    <x v="497"/>
    <s v="Pedido de ventas"/>
    <s v="Total"/>
    <x v="1"/>
    <x v="0"/>
    <x v="1"/>
    <s v="$"/>
    <n v="2584492.8199999998"/>
    <n v="2584492.8199999998"/>
    <n v="1705.9358547854783"/>
    <m/>
    <d v="2026-07-19T00:00:00"/>
    <n v="30"/>
    <s v="OPN-12015"/>
    <x v="0"/>
  </r>
  <r>
    <x v="60"/>
    <x v="450"/>
    <s v="Pegamento sella rosca "/>
    <s v="Total"/>
    <x v="2"/>
    <x v="0"/>
    <x v="2"/>
    <s v="$"/>
    <n v="30000"/>
    <n v="30000"/>
    <n v="19.801980198019802"/>
    <m/>
    <m/>
    <s v="23"/>
    <s v="OPN-11868"/>
    <x v="0"/>
  </r>
  <r>
    <x v="73"/>
    <x v="489"/>
    <s v="Pedido Casa Doctor"/>
    <s v="Total"/>
    <x v="2"/>
    <x v="0"/>
    <x v="2"/>
    <s v="$"/>
    <n v="159041"/>
    <n v="159041"/>
    <n v="104.97755775577558"/>
    <m/>
    <m/>
    <s v="24"/>
    <s v="OPN-11908"/>
    <x v="0"/>
  </r>
  <r>
    <x v="66"/>
    <x v="498"/>
    <s v="Diseño caja"/>
    <s v="Total"/>
    <x v="1"/>
    <x v="0"/>
    <x v="1"/>
    <s v="$"/>
    <n v="465010"/>
    <n v="465010"/>
    <n v="306.93729372937293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655.1609438943897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655.1609438943897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707.77029702970299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0.993663366336635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655.1609438943897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655.1609372937291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09.94520132013201"/>
    <s v="Retenciones"/>
    <m/>
    <s v="23"/>
    <s v="OPN-11870"/>
    <x v="0"/>
  </r>
  <r>
    <x v="60"/>
    <x v="499"/>
    <s v="Gastos casa "/>
    <s v="Total"/>
    <x v="2"/>
    <x v="0"/>
    <x v="2"/>
    <s v="$"/>
    <n v="13960"/>
    <n v="13960"/>
    <n v="9.214521452145215"/>
    <m/>
    <m/>
    <s v="23"/>
    <s v="OPN-11849"/>
    <x v="0"/>
  </r>
  <r>
    <x v="60"/>
    <x v="499"/>
    <s v="Gastos casa "/>
    <s v="Total"/>
    <x v="2"/>
    <x v="0"/>
    <x v="2"/>
    <s v="$"/>
    <n v="21940"/>
    <n v="21940"/>
    <n v="14.481848184818482"/>
    <m/>
    <m/>
    <s v="23"/>
    <s v="OPN-11853"/>
    <x v="0"/>
  </r>
  <r>
    <x v="66"/>
    <x v="498"/>
    <s v="Diseño caja"/>
    <s v="Total"/>
    <x v="1"/>
    <x v="0"/>
    <x v="1"/>
    <s v="$"/>
    <n v="3260"/>
    <n v="3260"/>
    <n v="2.1518151815181517"/>
    <s v="Retenciones"/>
    <m/>
    <s v="24"/>
    <s v="OPN-11915"/>
    <x v="0"/>
  </r>
  <r>
    <x v="67"/>
    <x v="497"/>
    <s v="Pedido de ventas"/>
    <s v="Total"/>
    <x v="1"/>
    <x v="0"/>
    <x v="1"/>
    <s v="$"/>
    <n v="38881.56"/>
    <n v="38881.56"/>
    <n v="25.664396039603957"/>
    <s v="Retenciones"/>
    <m/>
    <s v="26"/>
    <s v="OPN-12015"/>
    <x v="0"/>
  </r>
  <r>
    <x v="66"/>
    <x v="500"/>
    <s v="Deposito envio china"/>
    <s v="Total"/>
    <x v="1"/>
    <x v="0"/>
    <x v="0"/>
    <s v="$"/>
    <n v="505803.3"/>
    <n v="505803.3"/>
    <n v="333.86356435643563"/>
    <m/>
    <m/>
    <s v="24"/>
    <s v="OPN-11914"/>
    <x v="0"/>
  </r>
  <r>
    <x v="60"/>
    <x v="501"/>
    <s v="Febrero"/>
    <s v="Total"/>
    <x v="3"/>
    <x v="0"/>
    <x v="0"/>
    <s v="$"/>
    <n v="463500"/>
    <n v="463500"/>
    <n v="305.94059405940595"/>
    <m/>
    <m/>
    <s v="23"/>
    <s v="OPN-11824"/>
    <x v="0"/>
  </r>
  <r>
    <x v="66"/>
    <x v="500"/>
    <s v="Deposito envio china"/>
    <s v="Total"/>
    <x v="1"/>
    <x v="0"/>
    <x v="0"/>
    <s v="$"/>
    <n v="8951.7000000000007"/>
    <n v="8951.7000000000007"/>
    <n v="5.9087128712871291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1004.8917227722771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3.882138613861386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59.89570957095711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30.69768976897689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50.81320132013201"/>
    <m/>
    <m/>
    <s v="23"/>
    <s v="OPN-11884"/>
    <x v="0"/>
  </r>
  <r>
    <x v="66"/>
    <x v="242"/>
    <s v="Trabajo service compresor planta (Mano de obra)"/>
    <s v="Total"/>
    <x v="2"/>
    <x v="1"/>
    <x v="2"/>
    <s v="$"/>
    <n v="800000"/>
    <n v="800000"/>
    <n v="528.0528052805281"/>
    <m/>
    <m/>
    <s v="24"/>
    <s v="OPN-7220"/>
    <x v="0"/>
  </r>
  <r>
    <x v="65"/>
    <x v="75"/>
    <s v="Bolsas de vacio para nueces"/>
    <s v="Total"/>
    <x v="1"/>
    <x v="0"/>
    <x v="1"/>
    <s v="$"/>
    <n v="13006.4"/>
    <n v="13006.4"/>
    <n v="8.5850825082508244"/>
    <s v="Retenciones"/>
    <m/>
    <s v="27"/>
    <s v="OPN-12074"/>
    <x v="0"/>
  </r>
  <r>
    <x v="68"/>
    <x v="57"/>
    <s v="Servicio"/>
    <s v="Total"/>
    <x v="3"/>
    <x v="0"/>
    <x v="1"/>
    <s v="$"/>
    <n v="982410"/>
    <n v="982410"/>
    <n v="648.45544554455444"/>
    <m/>
    <m/>
    <s v="28"/>
    <s v="OPN-12130"/>
    <x v="0"/>
  </r>
  <r>
    <x v="69"/>
    <x v="45"/>
    <s v="Reparación raiador tractor finca Lolita"/>
    <s v="Total"/>
    <x v="2"/>
    <x v="0"/>
    <x v="2"/>
    <s v="$"/>
    <n v="80000"/>
    <n v="80000"/>
    <n v="52.805280528052805"/>
    <m/>
    <m/>
    <s v="29"/>
    <s v="OPN-12185"/>
    <x v="0"/>
  </r>
  <r>
    <x v="70"/>
    <x v="502"/>
    <s v="Repuesto Chevrolet S10 -  Manguera rurbo"/>
    <s v="Total"/>
    <x v="1"/>
    <x v="0"/>
    <x v="0"/>
    <s v="$"/>
    <n v="478310.42"/>
    <n v="478310.42"/>
    <n v="315.7164488448845"/>
    <m/>
    <m/>
    <s v="31"/>
    <s v="OPN-12272"/>
    <x v="0"/>
  </r>
  <r>
    <x v="70"/>
    <x v="502"/>
    <s v="Repuesto Chevrolet S10 -  Manguera rurbo"/>
    <s v="Total"/>
    <x v="1"/>
    <x v="0"/>
    <x v="0"/>
    <s v="$"/>
    <n v="5190.01"/>
    <n v="5190.01"/>
    <n v="3.4257491749174918"/>
    <s v="Retenciones"/>
    <m/>
    <s v="31"/>
    <s v="OPN-12272"/>
    <x v="0"/>
  </r>
  <r>
    <x v="68"/>
    <x v="76"/>
    <s v="Estudio contable"/>
    <s v="Total"/>
    <x v="0"/>
    <x v="0"/>
    <x v="1"/>
    <s v="$"/>
    <n v="5250000"/>
    <n v="5250000"/>
    <n v="3465.3465346534654"/>
    <m/>
    <d v="2026-08-14T00:00:00"/>
    <n v="33"/>
    <s v="OPN-12124"/>
    <x v="0"/>
  </r>
  <r>
    <x v="65"/>
    <x v="64"/>
    <s v="Combustible"/>
    <s v="Total"/>
    <x v="2"/>
    <x v="0"/>
    <x v="2"/>
    <s v="$"/>
    <n v="65006.15"/>
    <n v="65006.15"/>
    <n v="42.908349834983497"/>
    <m/>
    <m/>
    <s v="27"/>
    <s v="OPN-12116"/>
    <x v="0"/>
  </r>
  <r>
    <x v="65"/>
    <x v="64"/>
    <s v="Combustible"/>
    <s v="Total"/>
    <x v="2"/>
    <x v="0"/>
    <x v="2"/>
    <s v="$"/>
    <n v="49999.5"/>
    <n v="49999.5"/>
    <n v="33.002970297029705"/>
    <m/>
    <m/>
    <s v="27"/>
    <s v="OPN-12116"/>
    <x v="0"/>
  </r>
  <r>
    <x v="65"/>
    <x v="64"/>
    <s v="Combustible"/>
    <s v="Total"/>
    <x v="2"/>
    <x v="0"/>
    <x v="2"/>
    <s v="$"/>
    <n v="30000.19"/>
    <n v="30000.19"/>
    <n v="19.802105610561057"/>
    <m/>
    <m/>
    <s v="27"/>
    <s v="OPN-12116"/>
    <x v="0"/>
  </r>
  <r>
    <x v="65"/>
    <x v="64"/>
    <s v="Combustible"/>
    <s v="Total"/>
    <x v="2"/>
    <x v="0"/>
    <x v="2"/>
    <s v="$"/>
    <n v="40000.550000000003"/>
    <n v="40000.550000000003"/>
    <n v="26.403003300330035"/>
    <m/>
    <m/>
    <s v="27"/>
    <s v="OPN-12116"/>
    <x v="0"/>
  </r>
  <r>
    <x v="65"/>
    <x v="64"/>
    <s v="Combustible"/>
    <s v="Total"/>
    <x v="2"/>
    <x v="0"/>
    <x v="2"/>
    <s v="$"/>
    <n v="40000.99"/>
    <n v="40000.99"/>
    <n v="26.403293729372937"/>
    <m/>
    <m/>
    <s v="27"/>
    <s v="OPN-12116"/>
    <x v="0"/>
  </r>
  <r>
    <x v="65"/>
    <x v="64"/>
    <s v="Combustible"/>
    <s v="Total"/>
    <x v="2"/>
    <x v="0"/>
    <x v="2"/>
    <s v="$"/>
    <n v="49998.9"/>
    <n v="49998.9"/>
    <n v="33.002574257425742"/>
    <m/>
    <m/>
    <s v="27"/>
    <s v="OPN-12116"/>
    <x v="0"/>
  </r>
  <r>
    <x v="68"/>
    <x v="76"/>
    <s v="Estudio contable"/>
    <s v="Total"/>
    <x v="0"/>
    <x v="0"/>
    <x v="1"/>
    <s v="$"/>
    <n v="5250000"/>
    <n v="5250000"/>
    <n v="3465.3465346534654"/>
    <m/>
    <d v="2026-08-21T00:00:00"/>
    <n v="34"/>
    <s v="OPN-12124"/>
    <x v="0"/>
  </r>
  <r>
    <x v="65"/>
    <x v="64"/>
    <s v="Pulpeado Nueces "/>
    <s v="Total"/>
    <x v="2"/>
    <x v="1"/>
    <x v="2"/>
    <s v="$"/>
    <n v="1000000"/>
    <n v="1000000"/>
    <n v="660.0660066006601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88.11881188118812"/>
    <m/>
    <m/>
    <s v="23"/>
    <s v="OPN-7172"/>
    <x v="0"/>
  </r>
  <r>
    <x v="60"/>
    <x v="353"/>
    <s v="Marzo"/>
    <s v="Total"/>
    <x v="3"/>
    <x v="0"/>
    <x v="0"/>
    <s v="$"/>
    <n v="1890650"/>
    <n v="1890650"/>
    <n v="1247.953795379538"/>
    <m/>
    <m/>
    <s v="23"/>
    <s v="OPN-11820"/>
    <x v="0"/>
  </r>
  <r>
    <x v="60"/>
    <x v="503"/>
    <s v="Gastos casa "/>
    <s v="Total"/>
    <x v="2"/>
    <x v="0"/>
    <x v="2"/>
    <s v="$"/>
    <n v="9800"/>
    <n v="9800"/>
    <n v="6.4686468646864688"/>
    <m/>
    <m/>
    <s v="23"/>
    <s v="OPN-11850"/>
    <x v="0"/>
  </r>
  <r>
    <x v="68"/>
    <x v="76"/>
    <s v="Estudio contable"/>
    <s v="Total"/>
    <x v="0"/>
    <x v="0"/>
    <x v="1"/>
    <s v="$"/>
    <n v="5250000"/>
    <n v="5250000"/>
    <n v="3465.3465346534654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21.5424290429044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539663366336633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2.805280528052805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3.43834983498351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771617161716172"/>
    <s v="Retenciones"/>
    <m/>
    <s v="23"/>
    <s v="OPN-11813"/>
    <x v="0"/>
  </r>
  <r>
    <x v="71"/>
    <x v="440"/>
    <s v="Pedido Casa Doctor"/>
    <s v="Total"/>
    <x v="2"/>
    <x v="0"/>
    <x v="2"/>
    <s v="$"/>
    <n v="9736.5"/>
    <n v="9736.5"/>
    <n v="6.4267326732673267"/>
    <m/>
    <m/>
    <s v="25"/>
    <s v="OPN-11975"/>
    <x v="0"/>
  </r>
  <r>
    <x v="66"/>
    <x v="476"/>
    <s v="Viñetas"/>
    <s v="Total"/>
    <x v="1"/>
    <x v="0"/>
    <x v="1"/>
    <s v="$"/>
    <n v="425197.32"/>
    <n v="425197.32"/>
    <n v="280.65829702970296"/>
    <m/>
    <d v="2026-07-12T00:00:00"/>
    <n v="29"/>
    <s v="OPN-11961"/>
    <x v="0"/>
  </r>
  <r>
    <x v="66"/>
    <x v="476"/>
    <s v="Viñetas"/>
    <s v="Total"/>
    <x v="1"/>
    <x v="0"/>
    <x v="1"/>
    <s v="$"/>
    <n v="2590.88"/>
    <n v="2590.88"/>
    <n v="1.7101518151815183"/>
    <s v="Retenciones"/>
    <m/>
    <s v="24"/>
    <s v="OPN-11961"/>
    <x v="0"/>
  </r>
  <r>
    <x v="68"/>
    <x v="76"/>
    <s v="Estudio contable"/>
    <s v="Total"/>
    <x v="0"/>
    <x v="0"/>
    <x v="1"/>
    <s v="$"/>
    <n v="6150654.04"/>
    <n v="6150654.04"/>
    <n v="4059.8376501650164"/>
    <m/>
    <d v="2026-08-28T00:00:00"/>
    <n v="35"/>
    <s v="OPN-12124"/>
    <x v="0"/>
  </r>
  <r>
    <x v="66"/>
    <x v="442"/>
    <s v="Honorarios profesionales"/>
    <s v="Total"/>
    <x v="2"/>
    <x v="1"/>
    <x v="2"/>
    <s v="$"/>
    <n v="542151.63"/>
    <n v="542151.63"/>
    <n v="357.8558613861386"/>
    <m/>
    <m/>
    <s v="24"/>
    <s v="OPN-7208"/>
    <x v="0"/>
  </r>
  <r>
    <x v="67"/>
    <x v="484"/>
    <s v="Flete arbequina plana de aceite 2026"/>
    <s v="Total"/>
    <x v="2"/>
    <x v="1"/>
    <x v="2"/>
    <s v="$"/>
    <n v="500000"/>
    <n v="500000"/>
    <n v="330.03300330033005"/>
    <m/>
    <m/>
    <s v="26"/>
    <s v="OPN-7341"/>
    <x v="0"/>
  </r>
  <r>
    <x v="60"/>
    <x v="504"/>
    <s v="Servicio pasas"/>
    <s v="Total"/>
    <x v="1"/>
    <x v="0"/>
    <x v="1"/>
    <s v="$"/>
    <n v="1897959.91"/>
    <n v="1897959.91"/>
    <n v="1252.778818481848"/>
    <m/>
    <d v="2026-07-10T00:00:00"/>
    <n v="28"/>
    <s v="OPN-11863"/>
    <x v="0"/>
  </r>
  <r>
    <x v="60"/>
    <x v="504"/>
    <s v="Servicio pasas"/>
    <s v="Total"/>
    <x v="1"/>
    <x v="0"/>
    <x v="1"/>
    <s v="$"/>
    <n v="1897959.9"/>
    <n v="1897959.9"/>
    <n v="1252.7788118811879"/>
    <m/>
    <d v="2026-07-21T00:00:00"/>
    <n v="30"/>
    <s v="OPN-11863"/>
    <x v="0"/>
  </r>
  <r>
    <x v="60"/>
    <x v="504"/>
    <s v="Servicio pasas"/>
    <s v="Total"/>
    <x v="1"/>
    <x v="0"/>
    <x v="1"/>
    <s v="$"/>
    <n v="62430.94"/>
    <n v="62430.94"/>
    <n v="41.208541254125414"/>
    <s v="Retenciones"/>
    <m/>
    <s v="23"/>
    <s v="OPN-11863"/>
    <x v="0"/>
  </r>
  <r>
    <x v="66"/>
    <x v="269"/>
    <s v="Insumos embalaje"/>
    <s v="Total"/>
    <x v="1"/>
    <x v="0"/>
    <x v="1"/>
    <s v="$"/>
    <n v="586238.68999999994"/>
    <n v="586238.68999999994"/>
    <n v="386.95623102310225"/>
    <m/>
    <d v="2026-07-09T00:00:00"/>
    <n v="28"/>
    <s v="OPN-11910"/>
    <x v="0"/>
  </r>
  <r>
    <x v="66"/>
    <x v="269"/>
    <s v="Insumos embalaje"/>
    <s v="Total"/>
    <x v="1"/>
    <x v="0"/>
    <x v="1"/>
    <s v="$"/>
    <n v="7392.63"/>
    <n v="7392.63"/>
    <n v="4.8796237623762373"/>
    <s v="Retenciones"/>
    <m/>
    <s v="24"/>
    <s v="OPN-11910"/>
    <x v="0"/>
  </r>
  <r>
    <x v="65"/>
    <x v="84"/>
    <s v="Movilidad y viaticos"/>
    <s v="Total"/>
    <x v="1"/>
    <x v="0"/>
    <x v="0"/>
    <s v="$"/>
    <n v="183600"/>
    <n v="183600"/>
    <n v="121.18811881188118"/>
    <m/>
    <m/>
    <s v="27"/>
    <s v="OPN-12073"/>
    <x v="0"/>
  </r>
  <r>
    <x v="56"/>
    <x v="32"/>
    <s v="Pedidos EPP - Ferreteria"/>
    <s v="Total"/>
    <x v="0"/>
    <x v="0"/>
    <x v="1"/>
    <s v="$"/>
    <n v="911706.48"/>
    <n v="911706.48"/>
    <n v="601.78645544554456"/>
    <m/>
    <d v="2026-08-30T00:00:00"/>
    <n v="36"/>
    <s v="OPN-12304"/>
    <x v="2"/>
  </r>
  <r>
    <x v="72"/>
    <x v="505"/>
    <s v="Estacones de vid variedad malbec - atados"/>
    <s v="Total"/>
    <x v="2"/>
    <x v="1"/>
    <x v="2"/>
    <s v="$"/>
    <n v="500000"/>
    <n v="500000"/>
    <n v="330.03300330033005"/>
    <s v="Entregado a Flriana Rondina"/>
    <m/>
    <s v="30"/>
    <s v="OPN-7527"/>
    <x v="0"/>
  </r>
  <r>
    <x v="60"/>
    <x v="393"/>
    <s v="Plantines segunda etapa PIC 37"/>
    <s v="Total"/>
    <x v="0"/>
    <x v="0"/>
    <x v="1"/>
    <s v="$"/>
    <n v="1515338.75"/>
    <n v="1515338.75"/>
    <n v="1000.223597359736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803683168316832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807.35973597359737"/>
    <m/>
    <d v="2026-06-22T00:00:00"/>
    <n v="26"/>
    <s v="OPN-11858"/>
    <x v="0"/>
  </r>
  <r>
    <x v="60"/>
    <x v="477"/>
    <s v="Etiquetas - pedido ventas"/>
    <s v="Total"/>
    <x v="2"/>
    <x v="0"/>
    <x v="0"/>
    <s v="$"/>
    <n v="1140517"/>
    <n v="1140517"/>
    <n v="752.81650165016504"/>
    <m/>
    <m/>
    <s v="23"/>
    <s v="OPN-11827"/>
    <x v="0"/>
  </r>
  <r>
    <x v="60"/>
    <x v="477"/>
    <s v="Etiquetas para frascos 350gr"/>
    <s v="Total"/>
    <x v="1"/>
    <x v="0"/>
    <x v="0"/>
    <s v="$"/>
    <n v="525000"/>
    <n v="525000"/>
    <n v="346.53465346534654"/>
    <m/>
    <m/>
    <s v="23"/>
    <s v="OPN-11875"/>
    <x v="0"/>
  </r>
  <r>
    <x v="60"/>
    <x v="400"/>
    <s v="Gastos casa "/>
    <s v="Total"/>
    <x v="1"/>
    <x v="0"/>
    <x v="0"/>
    <s v="$"/>
    <n v="281300"/>
    <n v="281300"/>
    <n v="185.67656765676568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30.03300330033005"/>
    <m/>
    <m/>
    <s v="23"/>
    <s v="OPN-7178"/>
    <x v="0"/>
  </r>
  <r>
    <x v="60"/>
    <x v="454"/>
    <s v="Cosecha 2026"/>
    <s v="Total"/>
    <x v="2"/>
    <x v="1"/>
    <x v="2"/>
    <s v="$"/>
    <n v="400000"/>
    <n v="400000"/>
    <n v="264.02640264026405"/>
    <m/>
    <m/>
    <s v="23"/>
    <s v="OPN-7169"/>
    <x v="0"/>
  </r>
  <r>
    <x v="67"/>
    <x v="147"/>
    <s v="Pedido limpieza - Planta - Campo - Administración"/>
    <s v="Total"/>
    <x v="1"/>
    <x v="0"/>
    <x v="1"/>
    <s v="$"/>
    <n v="356090.58"/>
    <n v="356090.58"/>
    <n v="235.04328712871288"/>
    <m/>
    <m/>
    <s v="26"/>
    <s v="OPN-12026"/>
    <x v="0"/>
  </r>
  <r>
    <x v="60"/>
    <x v="506"/>
    <s v="Trabajo torneria (los cerrillos)"/>
    <s v="Total"/>
    <x v="2"/>
    <x v="1"/>
    <x v="2"/>
    <s v="$"/>
    <n v="150000"/>
    <n v="150000"/>
    <n v="99.009900990099013"/>
    <m/>
    <m/>
    <s v="23"/>
    <s v="OPN-7202"/>
    <x v="0"/>
  </r>
  <r>
    <x v="60"/>
    <x v="507"/>
    <s v="Flete cosecha 2026"/>
    <s v="Total"/>
    <x v="2"/>
    <x v="1"/>
    <x v="2"/>
    <s v="$"/>
    <n v="400000"/>
    <n v="400000"/>
    <n v="264.02640264026405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4.02640264026405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62.04620462046205"/>
    <m/>
    <m/>
    <s v="23"/>
    <s v="OPN-7203"/>
    <x v="0"/>
  </r>
  <r>
    <x v="67"/>
    <x v="147"/>
    <s v="Pedido limpieza - Planta - Campo - Administración"/>
    <s v="Total"/>
    <x v="1"/>
    <x v="0"/>
    <x v="1"/>
    <s v="$"/>
    <n v="1429.42"/>
    <n v="1429.42"/>
    <n v="0.94351155115511554"/>
    <s v="Retenciones"/>
    <m/>
    <s v="26"/>
    <s v="OPN-12026"/>
    <x v="0"/>
  </r>
  <r>
    <x v="68"/>
    <x v="64"/>
    <s v="Pulpeado Nueces "/>
    <s v="Total"/>
    <x v="2"/>
    <x v="1"/>
    <x v="2"/>
    <s v="$"/>
    <n v="1000000"/>
    <n v="1000000"/>
    <n v="660.0660066006601"/>
    <m/>
    <m/>
    <s v="28"/>
    <s v="OPN-7455"/>
    <x v="0"/>
  </r>
  <r>
    <x v="67"/>
    <x v="483"/>
    <s v="Flete arbequina plana de aceite 2026"/>
    <s v="Total"/>
    <x v="2"/>
    <x v="1"/>
    <x v="2"/>
    <s v="$"/>
    <n v="504840"/>
    <n v="504840"/>
    <n v="333.22772277227722"/>
    <m/>
    <m/>
    <s v="26"/>
    <s v="OPN-7314"/>
    <x v="0"/>
  </r>
  <r>
    <x v="66"/>
    <x v="284"/>
    <s v="Trabajo en Cava"/>
    <s v="Total"/>
    <x v="2"/>
    <x v="1"/>
    <x v="2"/>
    <s v="$"/>
    <n v="250000"/>
    <n v="250000"/>
    <n v="165.01650165016503"/>
    <m/>
    <m/>
    <s v="24"/>
    <s v="OPN-7221"/>
    <x v="0"/>
  </r>
  <r>
    <x v="67"/>
    <x v="483"/>
    <s v="Flete arbequina plana de aceite 2026"/>
    <s v="Total"/>
    <x v="1"/>
    <x v="1"/>
    <x v="2"/>
    <s v="$"/>
    <n v="551900"/>
    <n v="551900"/>
    <n v="364.29042904290429"/>
    <m/>
    <d v="2026-07-28T00:00:00"/>
    <n v="31"/>
    <s v="OPN-7314"/>
    <x v="0"/>
  </r>
  <r>
    <x v="67"/>
    <x v="483"/>
    <s v="Flete arbequina plana de aceite 2026"/>
    <s v="Total"/>
    <x v="1"/>
    <x v="1"/>
    <x v="2"/>
    <s v="$"/>
    <n v="1000000"/>
    <n v="1000000"/>
    <n v="660.0660066006601"/>
    <m/>
    <d v="2026-07-23T00:00:00"/>
    <n v="30"/>
    <s v="OPN-7314"/>
    <x v="0"/>
  </r>
  <r>
    <x v="71"/>
    <x v="449"/>
    <s v="Pedido Casa Doctor"/>
    <s v="Total"/>
    <x v="2"/>
    <x v="0"/>
    <x v="2"/>
    <s v="$"/>
    <n v="9599.99"/>
    <n v="9599.99"/>
    <n v="6.3366270627062704"/>
    <m/>
    <m/>
    <s v="25"/>
    <s v="OPN-11976"/>
    <x v="0"/>
  </r>
  <r>
    <x v="71"/>
    <x v="495"/>
    <s v="Compra combustible -  campo"/>
    <s v="Total"/>
    <x v="1"/>
    <x v="0"/>
    <x v="1"/>
    <s v="$"/>
    <n v="6970740"/>
    <n v="6970740"/>
    <n v="4601.1485148514848"/>
    <m/>
    <d v="2026-06-30T00:00:00"/>
    <n v="27"/>
    <s v="OPN-11968"/>
    <x v="0"/>
  </r>
  <r>
    <x v="71"/>
    <x v="495"/>
    <s v="Compra combustible -  campo"/>
    <s v="Total"/>
    <x v="1"/>
    <x v="0"/>
    <x v="1"/>
    <s v="$"/>
    <n v="142260"/>
    <n v="142260"/>
    <n v="93.900990099009903"/>
    <s v="Retenciones"/>
    <m/>
    <s v="25"/>
    <s v="OPN-11968"/>
    <x v="0"/>
  </r>
  <r>
    <x v="56"/>
    <x v="32"/>
    <s v="Pedidos EPP - Ferreteria"/>
    <s v="Total"/>
    <x v="0"/>
    <x v="0"/>
    <x v="1"/>
    <s v="$"/>
    <n v="16495.68"/>
    <n v="16495.68"/>
    <n v="10.888237623762377"/>
    <s v="Retenciones"/>
    <m/>
    <s v="32"/>
    <m/>
    <x v="2"/>
  </r>
  <r>
    <x v="56"/>
    <x v="32"/>
    <s v="Pedidos EPP - Ferreteria"/>
    <s v="Total"/>
    <x v="0"/>
    <x v="0"/>
    <x v="1"/>
    <s v="$"/>
    <n v="597669.36"/>
    <n v="597669.36"/>
    <n v="394.50122772277228"/>
    <m/>
    <m/>
    <s v="32"/>
    <m/>
    <x v="1"/>
  </r>
  <r>
    <x v="56"/>
    <x v="36"/>
    <s v="Calibración de maquina"/>
    <s v="Total"/>
    <x v="0"/>
    <x v="0"/>
    <x v="1"/>
    <s v="$"/>
    <n v="1846000"/>
    <n v="1846000"/>
    <n v="1218.4818481848185"/>
    <m/>
    <m/>
    <s v="32"/>
    <m/>
    <x v="1"/>
  </r>
  <r>
    <x v="72"/>
    <x v="69"/>
    <s v="Azucar x 50kg x 2 - pedido bodega"/>
    <s v="Total"/>
    <x v="2"/>
    <x v="0"/>
    <x v="2"/>
    <s v="$"/>
    <n v="118000"/>
    <n v="118000"/>
    <n v="77.887788778877891"/>
    <m/>
    <m/>
    <s v="30"/>
    <s v="OPN-12236"/>
    <x v="0"/>
  </r>
  <r>
    <x v="66"/>
    <x v="295"/>
    <s v="Bidones TAU 240"/>
    <s v="Parcial"/>
    <x v="0"/>
    <x v="0"/>
    <x v="1"/>
    <s v="$"/>
    <n v="4090774.09"/>
    <n v="4090774.09"/>
    <n v="2700.1809174917489"/>
    <m/>
    <d v="2026-07-18T00:00:00"/>
    <n v="29"/>
    <s v="OPN-11925"/>
    <x v="0"/>
  </r>
  <r>
    <x v="66"/>
    <x v="295"/>
    <s v="Bidones TAU 240"/>
    <s v="Parcial"/>
    <x v="0"/>
    <x v="0"/>
    <x v="1"/>
    <s v="$"/>
    <n v="5476402.6500000004"/>
    <n v="5476402.6500000004"/>
    <n v="3614.7872277227725"/>
    <m/>
    <d v="2026-08-10T00:00:00"/>
    <n v="33"/>
    <s v="OPN-11925"/>
    <x v="0"/>
  </r>
  <r>
    <x v="66"/>
    <x v="295"/>
    <s v="Bidones TAU 240"/>
    <s v="Parcial"/>
    <x v="0"/>
    <x v="0"/>
    <x v="1"/>
    <s v="$"/>
    <n v="5476402.6500000004"/>
    <n v="5476402.6500000004"/>
    <n v="3614.7872277227725"/>
    <m/>
    <d v="2026-08-21T00:00:00"/>
    <n v="34"/>
    <s v="OPN-11925"/>
    <x v="0"/>
  </r>
  <r>
    <x v="66"/>
    <x v="295"/>
    <s v="Bidones TAU 240"/>
    <s v="Parcial"/>
    <x v="0"/>
    <x v="0"/>
    <x v="1"/>
    <s v="$"/>
    <n v="252833.33"/>
    <n v="252833.33"/>
    <n v="166.88668646864684"/>
    <s v="Retenciones"/>
    <m/>
    <s v="24"/>
    <s v="OPN-11925"/>
    <x v="0"/>
  </r>
  <r>
    <x v="66"/>
    <x v="295"/>
    <s v="Bidones TAU 240"/>
    <s v="Parcial"/>
    <x v="0"/>
    <x v="0"/>
    <x v="1"/>
    <s v="$"/>
    <n v="1017597.14"/>
    <n v="1017597.14"/>
    <n v="671.68128052805287"/>
    <m/>
    <d v="2026-07-11T00:00:00"/>
    <n v="28"/>
    <s v="OPN-11927"/>
    <x v="0"/>
  </r>
  <r>
    <x v="66"/>
    <x v="295"/>
    <s v="Bidones TAU 240"/>
    <s v="Parcial"/>
    <x v="0"/>
    <x v="0"/>
    <x v="1"/>
    <s v="$"/>
    <n v="1351670.6"/>
    <n v="1351670.6"/>
    <n v="892.19181518151822"/>
    <m/>
    <d v="2026-07-23T00:00:00"/>
    <n v="30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09-17T00:00:00"/>
    <n v="38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09-24T00:00:00"/>
    <n v="39"/>
    <s v="OPN-11927"/>
    <x v="0"/>
  </r>
  <r>
    <x v="66"/>
    <x v="295"/>
    <s v="Bidones TAU 240"/>
    <s v="Parcial"/>
    <x v="0"/>
    <x v="0"/>
    <x v="1"/>
    <s v="$"/>
    <n v="6796650.0599999996"/>
    <n v="6796650.0599999996"/>
    <n v="4486.2376633663362"/>
    <m/>
    <d v="2026-10-08T00:00:00"/>
    <n v="41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10-01T00:00:00"/>
    <n v="40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09-10T00:00:00"/>
    <n v="37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08-29T00:00:00"/>
    <n v="35"/>
    <s v="OPN-11927"/>
    <x v="0"/>
  </r>
  <r>
    <x v="66"/>
    <x v="295"/>
    <s v="Bidones TAU 240"/>
    <s v="Parcial"/>
    <x v="0"/>
    <x v="0"/>
    <x v="1"/>
    <s v="$"/>
    <n v="725477.61"/>
    <n v="725477.61"/>
    <n v="478.86310891089107"/>
    <s v="Retenciones"/>
    <m/>
    <s v="24"/>
    <s v="OPN-11927"/>
    <x v="0"/>
  </r>
  <r>
    <x v="69"/>
    <x v="64"/>
    <s v="Pulpeado Nueces "/>
    <s v="Total"/>
    <x v="2"/>
    <x v="1"/>
    <x v="2"/>
    <s v="$"/>
    <n v="1000000"/>
    <n v="1000000"/>
    <n v="660.0660066006601"/>
    <m/>
    <m/>
    <s v="29"/>
    <s v="OPN-7511"/>
    <x v="0"/>
  </r>
  <r>
    <x v="56"/>
    <x v="36"/>
    <s v="Servicio envasado de aceitunas"/>
    <s v="Total"/>
    <x v="0"/>
    <x v="0"/>
    <x v="1"/>
    <s v="$"/>
    <n v="2368000"/>
    <n v="2368000"/>
    <n v="1563.0363036303631"/>
    <m/>
    <m/>
    <s v="32"/>
    <m/>
    <x v="2"/>
  </r>
  <r>
    <x v="71"/>
    <x v="437"/>
    <s v="Pedido Casa Doctor"/>
    <s v="Total"/>
    <x v="2"/>
    <x v="0"/>
    <x v="2"/>
    <s v="$"/>
    <n v="84370"/>
    <n v="84370"/>
    <n v="55.689768976897689"/>
    <m/>
    <m/>
    <s v="25"/>
    <s v="OPN-11974"/>
    <x v="0"/>
  </r>
  <r>
    <x v="66"/>
    <x v="64"/>
    <s v="Pulpeado Nueces "/>
    <s v="Total"/>
    <x v="2"/>
    <x v="1"/>
    <x v="2"/>
    <s v="$"/>
    <n v="500000"/>
    <n v="500000"/>
    <n v="330.03300330033005"/>
    <m/>
    <m/>
    <s v="24"/>
    <s v="OPN-7223"/>
    <x v="0"/>
  </r>
  <r>
    <x v="71"/>
    <x v="498"/>
    <s v="Grafica - saldo"/>
    <s v="Total"/>
    <x v="1"/>
    <x v="0"/>
    <x v="0"/>
    <s v="$"/>
    <n v="460530"/>
    <n v="460530"/>
    <n v="303.980198019802"/>
    <m/>
    <m/>
    <s v="25"/>
    <s v="OPN-11990"/>
    <x v="0"/>
  </r>
  <r>
    <x v="71"/>
    <x v="498"/>
    <s v="Grafica - saldo"/>
    <s v="Total"/>
    <x v="1"/>
    <x v="0"/>
    <x v="0"/>
    <s v="$"/>
    <n v="7740"/>
    <n v="7740"/>
    <n v="5.108910891089109"/>
    <s v="Retenciones"/>
    <m/>
    <s v="25"/>
    <s v="OPN-11990"/>
    <x v="0"/>
  </r>
  <r>
    <x v="65"/>
    <x v="508"/>
    <s v="Periodo 5/2026"/>
    <s v="Total"/>
    <x v="3"/>
    <x v="0"/>
    <x v="1"/>
    <s v="$"/>
    <n v="3212624.89"/>
    <n v="3212624.89"/>
    <n v="2120.5444818481851"/>
    <m/>
    <d v="2026-06-23T00:00:00"/>
    <n v="26"/>
    <s v="OPN-12105"/>
    <x v="0"/>
  </r>
  <r>
    <x v="66"/>
    <x v="64"/>
    <s v="Riego Santa Cruz "/>
    <s v="Total"/>
    <x v="2"/>
    <x v="1"/>
    <x v="2"/>
    <s v="$"/>
    <n v="170000"/>
    <n v="170000"/>
    <n v="112.21122112211221"/>
    <m/>
    <m/>
    <s v="24"/>
    <s v="OPN-7222"/>
    <x v="0"/>
  </r>
  <r>
    <x v="65"/>
    <x v="508"/>
    <s v="Periodo 5/2026"/>
    <s v="Total"/>
    <x v="3"/>
    <x v="0"/>
    <x v="1"/>
    <s v="$"/>
    <n v="4000000"/>
    <n v="4000000"/>
    <n v="2640.2640264026404"/>
    <m/>
    <d v="2026-06-23T00:00:00"/>
    <n v="26"/>
    <s v="OPN-12105"/>
    <x v="0"/>
  </r>
  <r>
    <x v="65"/>
    <x v="508"/>
    <s v="Periodo 5/2026"/>
    <s v="Total"/>
    <x v="3"/>
    <x v="0"/>
    <x v="1"/>
    <s v="$"/>
    <n v="11097043.460000001"/>
    <n v="11097043.460000001"/>
    <n v="7324.7811617161724"/>
    <m/>
    <d v="2026-08-15T00:00:00"/>
    <n v="33"/>
    <s v="OPN-12105"/>
    <x v="0"/>
  </r>
  <r>
    <x v="65"/>
    <x v="508"/>
    <s v="Periodo 5/2026"/>
    <s v="Total"/>
    <x v="3"/>
    <x v="0"/>
    <x v="1"/>
    <s v="$"/>
    <n v="11097043.460000001"/>
    <n v="11097043.460000001"/>
    <n v="7324.7811617161724"/>
    <m/>
    <d v="2026-08-20T00:00:00"/>
    <n v="34"/>
    <s v="OPN-12105"/>
    <x v="0"/>
  </r>
  <r>
    <x v="65"/>
    <x v="508"/>
    <s v="Periodo 5/2026"/>
    <s v="Total"/>
    <x v="3"/>
    <x v="0"/>
    <x v="1"/>
    <s v="$"/>
    <n v="11097043.460000001"/>
    <n v="11097043.460000001"/>
    <n v="7324.7811617161724"/>
    <m/>
    <d v="2026-08-30T00:00:00"/>
    <n v="36"/>
    <s v="OPN-12105"/>
    <x v="0"/>
  </r>
  <r>
    <x v="67"/>
    <x v="440"/>
    <s v="Pedido Casa Doctor"/>
    <s v="Total"/>
    <x v="2"/>
    <x v="0"/>
    <x v="2"/>
    <s v="$"/>
    <n v="6927.47"/>
    <n v="6927.47"/>
    <n v="4.5725874587458746"/>
    <m/>
    <m/>
    <s v="26"/>
    <s v="OPN-12010"/>
    <x v="0"/>
  </r>
  <r>
    <x v="65"/>
    <x v="508"/>
    <s v="Periodo 5/2026"/>
    <s v="Total"/>
    <x v="3"/>
    <x v="0"/>
    <x v="1"/>
    <s v="$"/>
    <n v="11097043.460000001"/>
    <n v="11097043.460000001"/>
    <n v="7324.7811617161724"/>
    <m/>
    <d v="2026-09-09T00:00:00"/>
    <n v="37"/>
    <s v="OPN-12105"/>
    <x v="0"/>
  </r>
  <r>
    <x v="65"/>
    <x v="508"/>
    <s v="Periodo 5/2026"/>
    <s v="Total"/>
    <x v="3"/>
    <x v="0"/>
    <x v="1"/>
    <s v="$"/>
    <n v="11097043.460000001"/>
    <n v="11097043.460000001"/>
    <n v="7324.7811617161724"/>
    <m/>
    <d v="2026-09-19T00:00:00"/>
    <n v="38"/>
    <s v="OPN-12105"/>
    <x v="0"/>
  </r>
  <r>
    <x v="68"/>
    <x v="84"/>
    <s v="Honorarios profesionales"/>
    <s v="Total"/>
    <x v="3"/>
    <x v="0"/>
    <x v="0"/>
    <s v="$"/>
    <n v="1120000"/>
    <n v="1120000"/>
    <n v="739.27392739273932"/>
    <m/>
    <m/>
    <s v="28"/>
    <s v="OPN-12164"/>
    <x v="0"/>
  </r>
  <r>
    <x v="65"/>
    <x v="115"/>
    <s v="Servicio de envios"/>
    <s v="Total"/>
    <x v="5"/>
    <x v="0"/>
    <x v="1"/>
    <s v="$"/>
    <n v="3212624.89"/>
    <n v="3212624.89"/>
    <n v="2120.5444818481851"/>
    <m/>
    <d v="2026-06-23T00:00:00"/>
    <n v="26"/>
    <s v="OPN-12064"/>
    <x v="0"/>
  </r>
  <r>
    <x v="65"/>
    <x v="115"/>
    <s v="Servicio de envios"/>
    <s v="Total"/>
    <x v="5"/>
    <x v="0"/>
    <x v="1"/>
    <s v="$"/>
    <n v="5772.5"/>
    <n v="5772.5"/>
    <n v="3.8102310231023102"/>
    <s v="Retenciones"/>
    <m/>
    <s v="27"/>
    <s v="OPN-12064"/>
    <x v="0"/>
  </r>
  <r>
    <x v="68"/>
    <x v="509"/>
    <s v="Combustible"/>
    <s v="Total"/>
    <x v="2"/>
    <x v="0"/>
    <x v="2"/>
    <s v="$"/>
    <n v="60000.06"/>
    <n v="60000.06"/>
    <n v="39.603999999999999"/>
    <m/>
    <m/>
    <s v="28"/>
    <s v="OPN-12134"/>
    <x v="0"/>
  </r>
  <r>
    <x v="65"/>
    <x v="123"/>
    <s v="Flete Mendoza Chilecito - La casa del filtro"/>
    <s v="Total"/>
    <x v="2"/>
    <x v="0"/>
    <x v="2"/>
    <s v="$"/>
    <n v="11000"/>
    <n v="11000"/>
    <n v="7.2607260726072607"/>
    <m/>
    <m/>
    <s v="27"/>
    <s v="OPN-12112"/>
    <x v="0"/>
  </r>
  <r>
    <x v="56"/>
    <x v="37"/>
    <s v="Articulos de librería"/>
    <s v="Total"/>
    <x v="0"/>
    <x v="0"/>
    <x v="0"/>
    <s v="$"/>
    <n v="1245150"/>
    <n v="1245150"/>
    <n v="821.88118811881191"/>
    <m/>
    <m/>
    <s v="32"/>
    <m/>
    <x v="2"/>
  </r>
  <r>
    <x v="56"/>
    <x v="51"/>
    <s v="Filtrado de vino"/>
    <s v="Total"/>
    <x v="0"/>
    <x v="0"/>
    <x v="1"/>
    <s v="$"/>
    <n v="4552979.5599999996"/>
    <n v="4552979.5599999996"/>
    <n v="3005.26703630363"/>
    <m/>
    <m/>
    <s v="32"/>
    <m/>
    <x v="1"/>
  </r>
  <r>
    <x v="68"/>
    <x v="93"/>
    <s v="USB HUB / Toner samsun 2020"/>
    <s v="Total"/>
    <x v="2"/>
    <x v="0"/>
    <x v="2"/>
    <s v="$"/>
    <n v="35500.01"/>
    <n v="35500.01"/>
    <n v="23.432349834983501"/>
    <m/>
    <m/>
    <s v="28"/>
    <s v="OPN-12118"/>
    <x v="0"/>
  </r>
  <r>
    <x v="72"/>
    <x v="64"/>
    <s v="Combustible"/>
    <s v="Total"/>
    <x v="2"/>
    <x v="0"/>
    <x v="2"/>
    <s v="$"/>
    <n v="160008"/>
    <n v="160008"/>
    <n v="105.61584158415842"/>
    <s v="A rendir"/>
    <m/>
    <s v="30"/>
    <s v="OPN-12246"/>
    <x v="0"/>
  </r>
  <r>
    <x v="68"/>
    <x v="510"/>
    <s v="Pedido de bodega"/>
    <s v="Total"/>
    <x v="1"/>
    <x v="0"/>
    <x v="0"/>
    <s v="$"/>
    <n v="275535.15000000002"/>
    <n v="275535.15000000002"/>
    <n v="181.87138613861387"/>
    <m/>
    <m/>
    <s v="28"/>
    <s v="OPN-12152"/>
    <x v="0"/>
  </r>
  <r>
    <x v="68"/>
    <x v="511"/>
    <s v="Insumos planta"/>
    <s v="Total"/>
    <x v="0"/>
    <x v="0"/>
    <x v="1"/>
    <s v="$"/>
    <n v="2618473"/>
    <n v="2618473"/>
    <n v="1728.3650165016502"/>
    <m/>
    <d v="2026-08-05T00:00:00"/>
    <n v="32"/>
    <s v="OPN-12137"/>
    <x v="0"/>
  </r>
  <r>
    <x v="67"/>
    <x v="449"/>
    <s v="Pedido Casa Doctor"/>
    <s v="Total"/>
    <x v="2"/>
    <x v="0"/>
    <x v="2"/>
    <s v="$"/>
    <n v="6900.01"/>
    <n v="6900.01"/>
    <n v="4.5544620462046206"/>
    <m/>
    <m/>
    <s v="26"/>
    <s v="OPN-12017"/>
    <x v="0"/>
  </r>
  <r>
    <x v="71"/>
    <x v="288"/>
    <s v="Campaña 2026"/>
    <s v="Total"/>
    <x v="2"/>
    <x v="1"/>
    <x v="2"/>
    <s v="$"/>
    <n v="500000"/>
    <n v="500000"/>
    <n v="330.03300330033005"/>
    <m/>
    <m/>
    <s v="25"/>
    <s v="OPN-7274"/>
    <x v="0"/>
  </r>
  <r>
    <x v="65"/>
    <x v="512"/>
    <s v="Caminos y sabores"/>
    <s v="Total"/>
    <x v="1"/>
    <x v="0"/>
    <x v="1"/>
    <s v="$"/>
    <n v="1984540.96"/>
    <n v="1984540.96"/>
    <n v="1309.9280264026402"/>
    <m/>
    <d v="2026-07-20T00:00:00"/>
    <n v="30"/>
    <s v="OPN-12076"/>
    <x v="0"/>
  </r>
  <r>
    <x v="65"/>
    <x v="512"/>
    <s v="Caminos y sabores"/>
    <s v="Total"/>
    <x v="1"/>
    <x v="0"/>
    <x v="1"/>
    <s v="$"/>
    <n v="1984540.96"/>
    <n v="1984540.96"/>
    <n v="1309.9280264026402"/>
    <m/>
    <d v="2026-08-20T00:00:00"/>
    <n v="34"/>
    <s v="OPN-12076"/>
    <x v="0"/>
  </r>
  <r>
    <x v="66"/>
    <x v="367"/>
    <s v="Cunas 8.5"/>
    <s v="Parcial"/>
    <x v="1"/>
    <x v="0"/>
    <x v="1"/>
    <s v="$"/>
    <n v="2075080"/>
    <n v="2075080"/>
    <n v="1369.6897689768978"/>
    <m/>
    <d v="2026-07-12T00:00:00"/>
    <n v="29"/>
    <s v="OPN-11966"/>
    <x v="0"/>
  </r>
  <r>
    <x v="66"/>
    <x v="367"/>
    <s v="Cunas 8.5"/>
    <s v="Parcial"/>
    <x v="1"/>
    <x v="0"/>
    <x v="1"/>
    <s v="$"/>
    <n v="30320"/>
    <n v="30320"/>
    <n v="20.013201320132012"/>
    <s v="Retenciones"/>
    <m/>
    <s v="24"/>
    <s v="OPN-11966"/>
    <x v="0"/>
  </r>
  <r>
    <x v="66"/>
    <x v="513"/>
    <s v="Tanza - Bodega"/>
    <s v="Total"/>
    <x v="2"/>
    <x v="0"/>
    <x v="2"/>
    <s v="$"/>
    <n v="3500"/>
    <n v="3500"/>
    <n v="2.3102310231023102"/>
    <m/>
    <m/>
    <s v="24"/>
    <s v="OPN-11940"/>
    <x v="0"/>
  </r>
  <r>
    <x v="65"/>
    <x v="512"/>
    <s v="Caminos y sabores"/>
    <s v="Total"/>
    <x v="1"/>
    <x v="0"/>
    <x v="1"/>
    <s v="$"/>
    <n v="1984540.96"/>
    <n v="1984540.96"/>
    <n v="1309.9280264026402"/>
    <m/>
    <d v="2026-09-20T00:00:00"/>
    <n v="39"/>
    <s v="OPN-12076"/>
    <x v="0"/>
  </r>
  <r>
    <x v="65"/>
    <x v="512"/>
    <s v="Caminos y sabores"/>
    <s v="Total"/>
    <x v="1"/>
    <x v="0"/>
    <x v="1"/>
    <s v="$"/>
    <n v="1984540.96"/>
    <n v="1984540.96"/>
    <n v="1309.9280264026402"/>
    <m/>
    <d v="2026-10-20T00:00:00"/>
    <n v="43"/>
    <s v="OPN-12076"/>
    <x v="0"/>
  </r>
  <r>
    <x v="65"/>
    <x v="512"/>
    <s v="Caminos y sabores"/>
    <s v="Total"/>
    <x v="1"/>
    <x v="0"/>
    <x v="1"/>
    <s v="$"/>
    <n v="1984540.96"/>
    <n v="1984540.96"/>
    <n v="1309.9280264026402"/>
    <m/>
    <d v="2026-11-20T00:00:00"/>
    <n v="47"/>
    <s v="OPN-12076"/>
    <x v="0"/>
  </r>
  <r>
    <x v="71"/>
    <x v="295"/>
    <s v="Bidones TAU 240"/>
    <s v="Parcial"/>
    <x v="0"/>
    <x v="0"/>
    <x v="1"/>
    <s v="$"/>
    <n v="10876685"/>
    <n v="10876685"/>
    <n v="7179.3300330033007"/>
    <m/>
    <d v="2026-08-20T00:00:00"/>
    <n v="34"/>
    <s v="OPN-11986"/>
    <x v="0"/>
  </r>
  <r>
    <x v="71"/>
    <x v="295"/>
    <s v="Bidones TAU 240"/>
    <s v="Parcial"/>
    <x v="0"/>
    <x v="0"/>
    <x v="1"/>
    <s v="$"/>
    <n v="10876685"/>
    <n v="10876685"/>
    <n v="7179.3300330033007"/>
    <m/>
    <d v="2026-09-01T00:00:00"/>
    <n v="36"/>
    <s v="OPN-11986"/>
    <x v="0"/>
  </r>
  <r>
    <x v="66"/>
    <x v="387"/>
    <s v="Fletes"/>
    <s v="Total"/>
    <x v="5"/>
    <x v="0"/>
    <x v="1"/>
    <s v="$"/>
    <n v="2301114.13"/>
    <n v="2301114.13"/>
    <n v="1518.8872145214521"/>
    <m/>
    <d v="2026-07-09T00:00:00"/>
    <n v="28"/>
    <s v="OPN-11911"/>
    <x v="0"/>
  </r>
  <r>
    <x v="66"/>
    <x v="387"/>
    <s v="Fletes"/>
    <s v="Total"/>
    <x v="5"/>
    <x v="0"/>
    <x v="1"/>
    <s v="$"/>
    <n v="37308.21"/>
    <n v="37308.21"/>
    <n v="24.625881188118811"/>
    <s v="Retenciones"/>
    <m/>
    <s v="24"/>
    <s v="OPN-11911"/>
    <x v="0"/>
  </r>
  <r>
    <x v="66"/>
    <x v="445"/>
    <s v="Envio Entre Rios - Chilecito - Dupont"/>
    <s v="Total"/>
    <x v="2"/>
    <x v="0"/>
    <x v="2"/>
    <s v="$"/>
    <n v="32000"/>
    <n v="32000"/>
    <n v="21.122112211221122"/>
    <m/>
    <m/>
    <s v="24"/>
    <s v="OPN-11942"/>
    <x v="0"/>
  </r>
  <r>
    <x v="71"/>
    <x v="295"/>
    <s v="Bidones TAU 240"/>
    <s v="Parcial"/>
    <x v="0"/>
    <x v="0"/>
    <x v="1"/>
    <s v="$"/>
    <n v="10876685"/>
    <n v="10876685"/>
    <n v="7179.3300330033007"/>
    <m/>
    <d v="2026-09-09T00:00:00"/>
    <n v="37"/>
    <s v="OPN-11986"/>
    <x v="0"/>
  </r>
  <r>
    <x v="71"/>
    <x v="295"/>
    <s v="Bidones TAU 240"/>
    <s v="Parcial"/>
    <x v="0"/>
    <x v="0"/>
    <x v="1"/>
    <s v="$"/>
    <n v="10876687.130000001"/>
    <n v="10876687.130000001"/>
    <n v="7179.3314389438947"/>
    <m/>
    <d v="2026-09-19T00:00:00"/>
    <n v="38"/>
    <s v="OPN-11986"/>
    <x v="0"/>
  </r>
  <r>
    <x v="66"/>
    <x v="349"/>
    <s v="Trabajos de torneria"/>
    <s v="Total"/>
    <x v="1"/>
    <x v="0"/>
    <x v="0"/>
    <s v="$"/>
    <n v="672458.55"/>
    <n v="672458.55"/>
    <n v="443.86702970297034"/>
    <m/>
    <m/>
    <s v="24"/>
    <s v="OPN-11924"/>
    <x v="0"/>
  </r>
  <r>
    <x v="66"/>
    <x v="349"/>
    <s v="Trabajos de torneria"/>
    <s v="Total"/>
    <x v="1"/>
    <x v="0"/>
    <x v="0"/>
    <s v="$"/>
    <n v="6746.53"/>
    <n v="6746.53"/>
    <n v="4.4531551155115512"/>
    <s v="Retenciones"/>
    <m/>
    <s v="24"/>
    <s v="OPN-11924"/>
    <x v="0"/>
  </r>
  <r>
    <x v="66"/>
    <x v="332"/>
    <s v="Trabajo herreria porton montacarga - Cava"/>
    <s v="Total"/>
    <x v="2"/>
    <x v="1"/>
    <x v="2"/>
    <s v="$"/>
    <n v="250000"/>
    <n v="250000"/>
    <n v="165.01650165016503"/>
    <m/>
    <m/>
    <s v="24"/>
    <s v="OPN-7218"/>
    <x v="0"/>
  </r>
  <r>
    <x v="66"/>
    <x v="437"/>
    <s v="Compras casa Doctor"/>
    <s v="Total"/>
    <x v="2"/>
    <x v="0"/>
    <x v="2"/>
    <s v="$"/>
    <n v="27427.5"/>
    <n v="27427.5"/>
    <n v="18.103960396039604"/>
    <m/>
    <m/>
    <s v="24"/>
    <s v="OPN-11967"/>
    <x v="0"/>
  </r>
  <r>
    <x v="66"/>
    <x v="282"/>
    <s v="Tramitar - Pago Dripsa - La Rioja"/>
    <s v="Total"/>
    <x v="1"/>
    <x v="0"/>
    <x v="0"/>
    <s v="$"/>
    <n v="20000"/>
    <n v="20000"/>
    <n v="13.201320132013201"/>
    <m/>
    <m/>
    <s v="24"/>
    <s v="OPN-11965"/>
    <x v="0"/>
  </r>
  <r>
    <x v="66"/>
    <x v="121"/>
    <s v="Bolsas de pasas para sobres de aceitunas"/>
    <s v="Total"/>
    <x v="1"/>
    <x v="0"/>
    <x v="1"/>
    <s v="$"/>
    <n v="563570"/>
    <n v="563570"/>
    <n v="371.993399339934"/>
    <m/>
    <d v="2026-07-12T00:00:00"/>
    <n v="29"/>
    <s v="OPN-11964"/>
    <x v="0"/>
  </r>
  <r>
    <x v="66"/>
    <x v="121"/>
    <s v="Bolsas de pasas para sobres de aceitunas"/>
    <s v="Total"/>
    <x v="1"/>
    <x v="0"/>
    <x v="1"/>
    <s v="$"/>
    <n v="6930"/>
    <n v="6930"/>
    <n v="4.5742574257425739"/>
    <s v="Retenciones"/>
    <m/>
    <s v="24"/>
    <s v="OPN-11964"/>
    <x v="0"/>
  </r>
  <r>
    <x v="66"/>
    <x v="514"/>
    <s v="Filtros COE"/>
    <s v="Total"/>
    <x v="1"/>
    <x v="0"/>
    <x v="0"/>
    <s v="$"/>
    <n v="48414.91"/>
    <n v="48414.91"/>
    <n v="31.957036303630364"/>
    <m/>
    <m/>
    <s v="24"/>
    <s v="OPN-11962"/>
    <x v="0"/>
  </r>
  <r>
    <x v="71"/>
    <x v="295"/>
    <s v="Bidones TAU 240"/>
    <s v="Parcial"/>
    <x v="0"/>
    <x v="0"/>
    <x v="1"/>
    <s v="$"/>
    <n v="731205.75"/>
    <n v="731205.75"/>
    <n v="482.6440594059406"/>
    <s v="Retenciones"/>
    <m/>
    <s v="25"/>
    <s v="OPN-11986"/>
    <x v="0"/>
  </r>
  <r>
    <x v="71"/>
    <x v="304"/>
    <s v="Combustible"/>
    <s v="Total"/>
    <x v="2"/>
    <x v="0"/>
    <x v="2"/>
    <s v="$"/>
    <n v="90077.85"/>
    <n v="90077.85"/>
    <n v="59.457326732673273"/>
    <m/>
    <m/>
    <s v="25"/>
    <s v="OPN-12002"/>
    <x v="0"/>
  </r>
  <r>
    <x v="67"/>
    <x v="437"/>
    <s v="Pedido Casa Doctor"/>
    <s v="Total"/>
    <x v="2"/>
    <x v="0"/>
    <x v="2"/>
    <s v="$"/>
    <n v="179895"/>
    <n v="179895"/>
    <n v="118.74257425742574"/>
    <m/>
    <m/>
    <s v="26"/>
    <s v="OPN-12008"/>
    <x v="0"/>
  </r>
  <r>
    <x v="65"/>
    <x v="512"/>
    <s v="Caminos y sabores"/>
    <s v="Total"/>
    <x v="1"/>
    <x v="0"/>
    <x v="1"/>
    <s v="$"/>
    <n v="1984541"/>
    <n v="1984541"/>
    <n v="1309.9280528052805"/>
    <m/>
    <d v="2026-12-20T00:00:00"/>
    <n v="52"/>
    <s v="OPN-12076"/>
    <x v="0"/>
  </r>
  <r>
    <x v="65"/>
    <x v="512"/>
    <s v="Caminos y sabores"/>
    <s v="Total"/>
    <x v="1"/>
    <x v="0"/>
    <x v="1"/>
    <s v="$"/>
    <n v="198755.8"/>
    <n v="198755.8"/>
    <n v="131.19194719471946"/>
    <s v="Retenciones"/>
    <m/>
    <s v="27"/>
    <s v="OPN-12076"/>
    <x v="0"/>
  </r>
  <r>
    <x v="68"/>
    <x v="511"/>
    <s v="Insumos planta"/>
    <s v="Total"/>
    <x v="0"/>
    <x v="0"/>
    <x v="1"/>
    <s v="$"/>
    <n v="38798.89"/>
    <n v="38798.89"/>
    <n v="25.609828382838284"/>
    <s v="Retenciones"/>
    <m/>
    <s v="28"/>
    <s v="OPN-12137"/>
    <x v="0"/>
  </r>
  <r>
    <x v="71"/>
    <x v="454"/>
    <s v="Campaña 2026"/>
    <s v="Total"/>
    <x v="2"/>
    <x v="1"/>
    <x v="2"/>
    <s v="$"/>
    <n v="900000"/>
    <n v="900000"/>
    <n v="594.05940594059405"/>
    <m/>
    <m/>
    <s v="25"/>
    <s v="OPN-7271"/>
    <x v="0"/>
  </r>
  <r>
    <x v="71"/>
    <x v="325"/>
    <s v="Bolones - pedido campo"/>
    <s v="Total"/>
    <x v="1"/>
    <x v="0"/>
    <x v="1"/>
    <s v="$"/>
    <n v="80000"/>
    <n v="80000"/>
    <n v="52.805280528052805"/>
    <m/>
    <d v="2026-06-28T00:00:00"/>
    <n v="27"/>
    <s v="OPN-11969"/>
    <x v="0"/>
  </r>
  <r>
    <x v="56"/>
    <x v="60"/>
    <s v="Repuetos Campo"/>
    <s v="Total"/>
    <x v="0"/>
    <x v="0"/>
    <x v="1"/>
    <s v="$"/>
    <n v="14275.28"/>
    <n v="14275.28"/>
    <n v="9.4226270627062707"/>
    <m/>
    <m/>
    <s v="32"/>
    <m/>
    <x v="1"/>
  </r>
  <r>
    <x v="65"/>
    <x v="147"/>
    <s v="Jabon liquido para manos"/>
    <s v="Total"/>
    <x v="2"/>
    <x v="0"/>
    <x v="2"/>
    <s v="$"/>
    <n v="9500"/>
    <n v="9500"/>
    <n v="6.2706270627062706"/>
    <m/>
    <m/>
    <s v="27"/>
    <s v="OPN-12044"/>
    <x v="0"/>
  </r>
  <r>
    <x v="67"/>
    <x v="242"/>
    <s v="Combustible"/>
    <s v="Total"/>
    <x v="2"/>
    <x v="0"/>
    <x v="2"/>
    <s v="$"/>
    <n v="190001.08"/>
    <n v="190001.08"/>
    <n v="125.41325412541254"/>
    <m/>
    <m/>
    <s v="26"/>
    <s v="OPN-12031"/>
    <x v="0"/>
  </r>
  <r>
    <x v="72"/>
    <x v="64"/>
    <s v="Pulpeado Nueces "/>
    <s v="Total"/>
    <x v="2"/>
    <x v="1"/>
    <x v="2"/>
    <s v="$"/>
    <n v="1000000"/>
    <n v="1000000"/>
    <n v="660.0660066006601"/>
    <m/>
    <m/>
    <s v="30"/>
    <s v="OPN-7557"/>
    <x v="0"/>
  </r>
  <r>
    <x v="69"/>
    <x v="515"/>
    <s v="Repuesto Jeep - homocinetica"/>
    <s v="Total"/>
    <x v="2"/>
    <x v="0"/>
    <x v="2"/>
    <s v="$"/>
    <n v="100700"/>
    <n v="100700"/>
    <n v="66.468646864686463"/>
    <m/>
    <m/>
    <s v="29"/>
    <s v="OPN-12184"/>
    <x v="0"/>
  </r>
  <r>
    <x v="67"/>
    <x v="405"/>
    <m/>
    <s v="Total"/>
    <x v="1"/>
    <x v="0"/>
    <x v="1"/>
    <s v="$"/>
    <n v="1217454.25"/>
    <n v="1217454.25"/>
    <n v="803.60016501650171"/>
    <m/>
    <d v="2026-07-23T00:00:00"/>
    <n v="30"/>
    <s v="OPN-12014"/>
    <x v="0"/>
  </r>
  <r>
    <x v="67"/>
    <x v="405"/>
    <m/>
    <s v="Total"/>
    <x v="1"/>
    <x v="0"/>
    <x v="1"/>
    <s v="$"/>
    <n v="15906.12"/>
    <n v="15906.12"/>
    <n v="10.499089108910892"/>
    <s v="Retenciones"/>
    <m/>
    <s v="26"/>
    <s v="OPN-12014"/>
    <x v="0"/>
  </r>
  <r>
    <x v="71"/>
    <x v="516"/>
    <s v="Consulta oftalmologica"/>
    <s v="Total"/>
    <x v="1"/>
    <x v="0"/>
    <x v="0"/>
    <s v="$"/>
    <n v="48400"/>
    <n v="48400"/>
    <n v="31.947194719471948"/>
    <m/>
    <m/>
    <s v="25"/>
    <s v="OPN-11984"/>
    <x v="0"/>
  </r>
  <r>
    <x v="72"/>
    <x v="64"/>
    <s v="Combustible"/>
    <s v="Total"/>
    <x v="2"/>
    <x v="0"/>
    <x v="2"/>
    <s v="$"/>
    <n v="19999.21"/>
    <n v="19999.21"/>
    <n v="13.200798679867987"/>
    <m/>
    <m/>
    <s v="30"/>
    <s v="OPN-12228"/>
    <x v="0"/>
  </r>
  <r>
    <x v="68"/>
    <x v="123"/>
    <s v="Envio Mendoza - Chilecito - Ballerini Jorje"/>
    <s v="Total"/>
    <x v="2"/>
    <x v="0"/>
    <x v="2"/>
    <s v="$"/>
    <n v="11000"/>
    <n v="11000"/>
    <n v="7.2607260726072607"/>
    <m/>
    <m/>
    <s v="28"/>
    <s v="OPN-12158"/>
    <x v="0"/>
  </r>
  <r>
    <x v="58"/>
    <x v="475"/>
    <s v="Diseño caja de pasas"/>
    <s v="Total"/>
    <x v="1"/>
    <x v="0"/>
    <x v="0"/>
    <s v="$"/>
    <n v="80000"/>
    <n v="80000"/>
    <n v="52.805280528052805"/>
    <m/>
    <m/>
    <s v="16"/>
    <s v="OPN-11983"/>
    <x v="0"/>
  </r>
  <r>
    <x v="67"/>
    <x v="269"/>
    <s v="Pedido de planta - embalaje"/>
    <s v="Total"/>
    <x v="1"/>
    <x v="0"/>
    <x v="1"/>
    <s v="$"/>
    <n v="592590.98"/>
    <n v="592590.98"/>
    <n v="391.14916171617159"/>
    <m/>
    <d v="2026-06-25T00:00:00"/>
    <n v="26"/>
    <s v="OPN-12022"/>
    <x v="0"/>
  </r>
  <r>
    <x v="67"/>
    <x v="269"/>
    <s v="Pedido de planta - embalaje"/>
    <s v="Total"/>
    <x v="1"/>
    <x v="0"/>
    <x v="1"/>
    <s v="$"/>
    <n v="12093.69"/>
    <n v="12093.69"/>
    <n v="7.9826336633663368"/>
    <s v="Retenciones"/>
    <m/>
    <s v="26"/>
    <s v="OPN-12022"/>
    <x v="0"/>
  </r>
  <r>
    <x v="72"/>
    <x v="64"/>
    <s v="Combustible"/>
    <s v="Total"/>
    <x v="2"/>
    <x v="0"/>
    <x v="2"/>
    <s v="$"/>
    <n v="50000.75"/>
    <n v="50000.75"/>
    <n v="33.003795379537955"/>
    <m/>
    <m/>
    <s v="30"/>
    <s v="OPN-12227"/>
    <x v="0"/>
  </r>
  <r>
    <x v="72"/>
    <x v="64"/>
    <s v="Combustible"/>
    <s v="Total"/>
    <x v="2"/>
    <x v="0"/>
    <x v="2"/>
    <s v="$"/>
    <n v="80002.69"/>
    <n v="80002.69"/>
    <n v="52.807056105610563"/>
    <m/>
    <m/>
    <s v="30"/>
    <s v="OPN-12226"/>
    <x v="0"/>
  </r>
  <r>
    <x v="70"/>
    <x v="61"/>
    <s v="Pedidos Bruno - Fina Lolita"/>
    <s v="Total"/>
    <x v="2"/>
    <x v="0"/>
    <x v="2"/>
    <s v="$"/>
    <n v="922987.6"/>
    <n v="922987.6"/>
    <n v="609.23273927392734"/>
    <m/>
    <m/>
    <s v="31"/>
    <s v="OPN-12276"/>
    <x v="0"/>
  </r>
  <r>
    <x v="69"/>
    <x v="123"/>
    <s v="Flete Mendoza Chilecito - Itecra"/>
    <s v="Total"/>
    <x v="2"/>
    <x v="0"/>
    <x v="2"/>
    <s v="$"/>
    <n v="164000"/>
    <n v="164000"/>
    <n v="108.25082508250826"/>
    <m/>
    <m/>
    <s v="29"/>
    <s v="OPN-12186"/>
    <x v="0"/>
  </r>
  <r>
    <x v="65"/>
    <x v="157"/>
    <s v="Reposición de chueque sin fondos"/>
    <s v="Total"/>
    <x v="1"/>
    <x v="0"/>
    <x v="0"/>
    <s v="$"/>
    <n v="1764906.74"/>
    <n v="1764906.74"/>
    <n v="1164.9549438943895"/>
    <m/>
    <m/>
    <s v="27"/>
    <s v="OPN-12094"/>
    <x v="0"/>
  </r>
  <r>
    <x v="70"/>
    <x v="61"/>
    <s v="Pedidos Bruno - Fina Lolita"/>
    <s v="Total"/>
    <x v="2"/>
    <x v="0"/>
    <x v="2"/>
    <s v="$"/>
    <n v="15512.4"/>
    <n v="15512.4"/>
    <n v="10.239207920792079"/>
    <s v="Retenciones"/>
    <m/>
    <s v="31"/>
    <s v="OPN-12276"/>
    <x v="0"/>
  </r>
  <r>
    <x v="65"/>
    <x v="165"/>
    <s v="Pedido EPP - Campo"/>
    <s v="Total"/>
    <x v="1"/>
    <x v="0"/>
    <x v="1"/>
    <s v="$"/>
    <n v="34857.29"/>
    <n v="34857.29"/>
    <n v="23.008112211221121"/>
    <m/>
    <d v="2026-07-30T00:00:00"/>
    <n v="31"/>
    <s v="OPN-12075"/>
    <x v="0"/>
  </r>
  <r>
    <x v="65"/>
    <x v="165"/>
    <s v="Reposición de chueque sin fondos"/>
    <s v="Total"/>
    <x v="1"/>
    <x v="0"/>
    <x v="0"/>
    <s v="$"/>
    <n v="72096.639999999999"/>
    <n v="72096.639999999999"/>
    <n v="47.58854125412541"/>
    <m/>
    <m/>
    <s v="27"/>
    <s v="OPN-12097"/>
    <x v="0"/>
  </r>
  <r>
    <x v="68"/>
    <x v="129"/>
    <s v="Campaña 2025"/>
    <s v="Total"/>
    <x v="4"/>
    <x v="1"/>
    <x v="1"/>
    <s v="$"/>
    <n v="2726733"/>
    <n v="2726733"/>
    <n v="1799.8237623762377"/>
    <m/>
    <d v="2026-09-01T00:00:00"/>
    <n v="36"/>
    <s v="OPN-7408"/>
    <x v="0"/>
  </r>
  <r>
    <x v="68"/>
    <x v="129"/>
    <s v="Campaña 2025"/>
    <s v="Total"/>
    <x v="4"/>
    <x v="1"/>
    <x v="1"/>
    <s v="$"/>
    <n v="2726733"/>
    <n v="2726733"/>
    <n v="1799.8237623762377"/>
    <m/>
    <d v="2026-09-04T00:00:00"/>
    <n v="36"/>
    <s v="OPN-7408"/>
    <x v="0"/>
  </r>
  <r>
    <x v="67"/>
    <x v="288"/>
    <s v="Campaña 2026"/>
    <s v="Total"/>
    <x v="4"/>
    <x v="1"/>
    <x v="1"/>
    <s v="U$D"/>
    <n v="1600"/>
    <n v="2424000"/>
    <n v="1600"/>
    <m/>
    <m/>
    <s v="26"/>
    <s v="OPN-7285"/>
    <x v="0"/>
  </r>
  <r>
    <x v="71"/>
    <x v="466"/>
    <s v="Trabajos según facturas 180/181/182"/>
    <s v="Total"/>
    <x v="0"/>
    <x v="0"/>
    <x v="2"/>
    <s v="$"/>
    <n v="100000"/>
    <n v="100000"/>
    <n v="66.006600660066013"/>
    <m/>
    <m/>
    <s v="25"/>
    <s v="OPN-12003"/>
    <x v="0"/>
  </r>
  <r>
    <x v="56"/>
    <x v="61"/>
    <s v="Pedidos Bruno - Fina Lolita"/>
    <s v="Total"/>
    <x v="0"/>
    <x v="0"/>
    <x v="1"/>
    <s v="$"/>
    <n v="113000"/>
    <n v="113000"/>
    <n v="74.587458745874585"/>
    <m/>
    <m/>
    <s v="32"/>
    <m/>
    <x v="2"/>
  </r>
  <r>
    <x v="56"/>
    <x v="63"/>
    <s v="Cajas de pasas sin impresión"/>
    <s v="Total"/>
    <x v="1"/>
    <x v="0"/>
    <x v="0"/>
    <s v="$"/>
    <n v="3282681.6"/>
    <n v="3282681.6"/>
    <n v="2166.7865346534654"/>
    <m/>
    <m/>
    <s v="32"/>
    <m/>
    <x v="1"/>
  </r>
  <r>
    <x v="56"/>
    <x v="517"/>
    <s v="Gastos comida limpeza casa Doctor / Luciano"/>
    <s v="Total"/>
    <x v="2"/>
    <x v="0"/>
    <x v="2"/>
    <s v="$"/>
    <n v="250000"/>
    <n v="250000"/>
    <n v="165.01650165016503"/>
    <m/>
    <m/>
    <s v="32"/>
    <m/>
    <x v="2"/>
  </r>
  <r>
    <x v="70"/>
    <x v="448"/>
    <s v="Tubos de gas Planta"/>
    <s v="Total"/>
    <x v="0"/>
    <x v="0"/>
    <x v="1"/>
    <s v="$"/>
    <n v="2995034.35"/>
    <n v="2995034.35"/>
    <n v="1976.9203630363038"/>
    <m/>
    <d v="2026-08-12T00:00:00"/>
    <n v="33"/>
    <s v="OPN-12282"/>
    <x v="0"/>
  </r>
  <r>
    <x v="65"/>
    <x v="440"/>
    <s v="Pedido Bodeja "/>
    <s v="Total"/>
    <x v="2"/>
    <x v="0"/>
    <x v="2"/>
    <s v="$"/>
    <n v="12060.5"/>
    <n v="12060.5"/>
    <n v="7.9607260726072608"/>
    <m/>
    <m/>
    <s v="27"/>
    <s v="OPN-12045"/>
    <x v="0"/>
  </r>
  <r>
    <x v="71"/>
    <x v="400"/>
    <s v="Pedido Casa Doctor"/>
    <s v="Total"/>
    <x v="1"/>
    <x v="0"/>
    <x v="0"/>
    <s v="$"/>
    <n v="140400"/>
    <n v="140400"/>
    <n v="92.67326732673267"/>
    <m/>
    <m/>
    <s v="25"/>
    <s v="OPN-11972"/>
    <x v="0"/>
  </r>
  <r>
    <x v="71"/>
    <x v="400"/>
    <s v="Pedido Casa Doctor"/>
    <s v="Total"/>
    <x v="1"/>
    <x v="0"/>
    <x v="0"/>
    <s v="$"/>
    <n v="72100"/>
    <n v="72100"/>
    <n v="47.590759075907592"/>
    <m/>
    <m/>
    <s v="25"/>
    <s v="OPN-11995"/>
    <x v="0"/>
  </r>
  <r>
    <x v="71"/>
    <x v="461"/>
    <s v="Alquiler de grua - traslado de panque bodega a planta de aceite"/>
    <s v="Total"/>
    <x v="1"/>
    <x v="0"/>
    <x v="1"/>
    <s v="$"/>
    <n v="575680"/>
    <n v="575680"/>
    <n v="379.986798679868"/>
    <m/>
    <d v="2026-07-18T00:00:00"/>
    <n v="29"/>
    <s v="OPN-11999"/>
    <x v="0"/>
  </r>
  <r>
    <x v="71"/>
    <x v="461"/>
    <s v="Alquiler de grua - traslado de panque bodega a planta de aceite"/>
    <s v="Total"/>
    <x v="1"/>
    <x v="0"/>
    <x v="1"/>
    <s v="$"/>
    <n v="5120"/>
    <n v="5120"/>
    <n v="3.3795379537953796"/>
    <s v="Retenciones"/>
    <m/>
    <s v="25"/>
    <s v="OPN-11999"/>
    <x v="0"/>
  </r>
  <r>
    <x v="71"/>
    <x v="165"/>
    <s v="EPP - pedido planta"/>
    <s v="Total"/>
    <x v="1"/>
    <x v="0"/>
    <x v="1"/>
    <s v="$"/>
    <n v="309980.87"/>
    <n v="309980.87"/>
    <n v="204.60783498349835"/>
    <m/>
    <d v="2026-06-19T00:00:00"/>
    <n v="25"/>
    <s v="OPN-12004"/>
    <x v="0"/>
  </r>
  <r>
    <x v="71"/>
    <x v="165"/>
    <s v="EPP - pedido planta"/>
    <s v="Total"/>
    <x v="1"/>
    <x v="0"/>
    <x v="1"/>
    <s v="$"/>
    <n v="3438.74"/>
    <n v="3438.74"/>
    <n v="2.2697953795379537"/>
    <m/>
    <m/>
    <s v="25"/>
    <s v="OPN-12004"/>
    <x v="0"/>
  </r>
  <r>
    <x v="71"/>
    <x v="484"/>
    <s v="Flete campaña 2026"/>
    <s v="Total"/>
    <x v="2"/>
    <x v="1"/>
    <x v="2"/>
    <s v="$"/>
    <n v="400000"/>
    <n v="400000"/>
    <n v="264.02640264026405"/>
    <m/>
    <m/>
    <s v="25"/>
    <s v="OPN-7276"/>
    <x v="0"/>
  </r>
  <r>
    <x v="71"/>
    <x v="417"/>
    <s v="Flete campaña 2026"/>
    <s v="Total"/>
    <x v="2"/>
    <x v="1"/>
    <x v="2"/>
    <s v="$"/>
    <n v="400000"/>
    <n v="400000"/>
    <n v="264.02640264026405"/>
    <m/>
    <m/>
    <s v="25"/>
    <s v="OPN-7275"/>
    <x v="0"/>
  </r>
  <r>
    <x v="71"/>
    <x v="245"/>
    <s v="Flete Bidones "/>
    <s v="Total"/>
    <x v="2"/>
    <x v="1"/>
    <x v="2"/>
    <s v="$"/>
    <n v="350000"/>
    <n v="350000"/>
    <n v="231.02310231023102"/>
    <m/>
    <m/>
    <s v="25"/>
    <s v="OPN-7277"/>
    <x v="0"/>
  </r>
  <r>
    <x v="71"/>
    <x v="439"/>
    <s v="Compra de nuez"/>
    <s v="Total"/>
    <x v="2"/>
    <x v="1"/>
    <x v="2"/>
    <s v="$"/>
    <n v="500000"/>
    <n v="500000"/>
    <n v="330.03300330033005"/>
    <m/>
    <m/>
    <s v="25"/>
    <s v="OPN-7273"/>
    <x v="0"/>
  </r>
  <r>
    <x v="71"/>
    <x v="218"/>
    <s v="Insumos laboratorio planta de aceite / bodega"/>
    <s v="Total"/>
    <x v="1"/>
    <x v="0"/>
    <x v="1"/>
    <s v="$"/>
    <n v="701221.78"/>
    <n v="701221.78"/>
    <n v="462.85266006600659"/>
    <m/>
    <d v="2026-07-19T00:00:00"/>
    <n v="30"/>
    <s v="OPN-12005"/>
    <x v="0"/>
  </r>
  <r>
    <x v="71"/>
    <x v="218"/>
    <s v="Insumos laboratorio planta de aceite / bodega"/>
    <s v="Total"/>
    <x v="1"/>
    <x v="0"/>
    <x v="1"/>
    <s v="$"/>
    <n v="7230.02"/>
    <n v="7230.02"/>
    <n v="4.7722904290429042"/>
    <s v="Retenciones"/>
    <m/>
    <s v="25"/>
    <s v="OPN-12005"/>
    <x v="0"/>
  </r>
  <r>
    <x v="71"/>
    <x v="358"/>
    <s v="Reposición de cheque"/>
    <s v="Total"/>
    <x v="0"/>
    <x v="0"/>
    <x v="0"/>
    <s v="$"/>
    <n v="964500"/>
    <n v="964500"/>
    <n v="636.63366336633658"/>
    <m/>
    <m/>
    <s v="25"/>
    <s v="OPN-12006"/>
    <x v="0"/>
  </r>
  <r>
    <x v="71"/>
    <x v="358"/>
    <s v="Reposición de cheque"/>
    <s v="Total"/>
    <x v="0"/>
    <x v="0"/>
    <x v="0"/>
    <s v="$"/>
    <n v="48400"/>
    <n v="48400"/>
    <n v="31.947194719471948"/>
    <m/>
    <m/>
    <s v="25"/>
    <s v="OPN-12006"/>
    <x v="0"/>
  </r>
  <r>
    <x v="67"/>
    <x v="295"/>
    <s v="Bidones TAU 240"/>
    <s v="Parcial"/>
    <x v="0"/>
    <x v="0"/>
    <x v="1"/>
    <s v="$"/>
    <n v="8900000"/>
    <n v="8900000"/>
    <n v="5874.5874587458748"/>
    <m/>
    <d v="2026-09-16T00:00:00"/>
    <n v="38"/>
    <s v="OPN-12027"/>
    <x v="0"/>
  </r>
  <r>
    <x v="67"/>
    <x v="295"/>
    <s v="Bidones TAU 240"/>
    <s v="Parcial"/>
    <x v="0"/>
    <x v="0"/>
    <x v="1"/>
    <s v="$"/>
    <n v="8900000"/>
    <n v="8900000"/>
    <n v="5874.5874587458748"/>
    <m/>
    <d v="2026-09-23T00:00:00"/>
    <n v="39"/>
    <s v="OPN-12027"/>
    <x v="0"/>
  </r>
  <r>
    <x v="67"/>
    <x v="295"/>
    <s v="Bidones TAU 240"/>
    <s v="Parcial"/>
    <x v="0"/>
    <x v="0"/>
    <x v="1"/>
    <s v="$"/>
    <n v="8900000"/>
    <n v="8900000"/>
    <n v="5874.5874587458748"/>
    <m/>
    <d v="2026-09-30T00:00:00"/>
    <n v="40"/>
    <s v="OPN-12027"/>
    <x v="0"/>
  </r>
  <r>
    <x v="67"/>
    <x v="295"/>
    <s v="Bidones TAU 240"/>
    <s v="Parcial"/>
    <x v="0"/>
    <x v="0"/>
    <x v="1"/>
    <s v="$"/>
    <n v="8758802.9600000009"/>
    <n v="8758802.9600000009"/>
    <n v="5781.3880924092418"/>
    <m/>
    <d v="2026-08-31T00:00:00"/>
    <n v="36"/>
    <s v="OPN-12027"/>
    <x v="0"/>
  </r>
  <r>
    <x v="67"/>
    <x v="295"/>
    <s v="Bidones TAU 240"/>
    <s v="Parcial"/>
    <x v="0"/>
    <x v="0"/>
    <x v="1"/>
    <s v="$"/>
    <n v="8900000"/>
    <n v="8900000"/>
    <n v="5874.5874587458748"/>
    <m/>
    <d v="2026-09-07T00:00:00"/>
    <n v="37"/>
    <s v="OPN-12027"/>
    <x v="0"/>
  </r>
  <r>
    <x v="67"/>
    <x v="295"/>
    <s v="Bidones TAU 240"/>
    <s v="Parcial"/>
    <x v="0"/>
    <x v="0"/>
    <x v="1"/>
    <s v="$"/>
    <n v="745526.1"/>
    <n v="745526.1"/>
    <n v="492.09643564356435"/>
    <s v="Retenciones"/>
    <m/>
    <s v="26"/>
    <s v="OPN-12027"/>
    <x v="0"/>
  </r>
  <r>
    <x v="67"/>
    <x v="499"/>
    <s v="Pedido Casa Doctor"/>
    <s v="Total"/>
    <x v="2"/>
    <x v="0"/>
    <x v="2"/>
    <s v="$"/>
    <n v="15900"/>
    <n v="15900"/>
    <n v="10.495049504950495"/>
    <m/>
    <m/>
    <s v="26"/>
    <s v="OPN-12007"/>
    <x v="0"/>
  </r>
  <r>
    <x v="58"/>
    <x v="508"/>
    <s v="Finca Lolita - NIS 503745 - Periodo 2 - 3 - 4 - 5"/>
    <s v="Total"/>
    <x v="0"/>
    <x v="0"/>
    <x v="1"/>
    <s v="$"/>
    <n v="2000000"/>
    <n v="2000000"/>
    <n v="1320.1320132013202"/>
    <m/>
    <d v="2026-06-06T00:00:00"/>
    <n v="23"/>
    <s v="OPN-2"/>
    <x v="0"/>
  </r>
  <r>
    <x v="58"/>
    <x v="508"/>
    <s v="Finca Lolita - NIS 503745 - Periodo 2 - 3 - 4 - 5"/>
    <s v="Total"/>
    <x v="0"/>
    <x v="0"/>
    <x v="1"/>
    <s v="$"/>
    <n v="2000000"/>
    <n v="2000000"/>
    <n v="1320.1320132013202"/>
    <m/>
    <d v="2026-06-13T00:00:00"/>
    <n v="24"/>
    <s v="OPN-2"/>
    <x v="0"/>
  </r>
  <r>
    <x v="58"/>
    <x v="508"/>
    <s v="Finca Lolita - NIS 503745 - Periodo 2 - 3 - 4 - 5"/>
    <s v="Total"/>
    <x v="0"/>
    <x v="0"/>
    <x v="1"/>
    <s v="$"/>
    <n v="2000000"/>
    <n v="2000000"/>
    <n v="1320.1320132013202"/>
    <m/>
    <d v="2026-06-20T00:00:00"/>
    <n v="25"/>
    <s v="OPN-2"/>
    <x v="0"/>
  </r>
  <r>
    <x v="58"/>
    <x v="508"/>
    <s v="Finca Lolita - NIS 503745 - Periodo 2 - 3 - 4 - 5"/>
    <s v="Total"/>
    <x v="0"/>
    <x v="0"/>
    <x v="1"/>
    <s v="$"/>
    <n v="1908354"/>
    <n v="1908354"/>
    <n v="1259.639603960396"/>
    <m/>
    <d v="2026-06-27T00:00:00"/>
    <n v="26"/>
    <s v="OPN-2"/>
    <x v="0"/>
  </r>
  <r>
    <x v="58"/>
    <x v="508"/>
    <s v="Finca Lolita - NIS 503745 - Periodo 2 - 3 - 4 - 5"/>
    <s v="Total"/>
    <x v="0"/>
    <x v="0"/>
    <x v="1"/>
    <s v="$"/>
    <n v="1683449"/>
    <n v="1683449"/>
    <n v="1111.1874587458747"/>
    <m/>
    <d v="2026-07-04T00:00:00"/>
    <n v="27"/>
    <s v="OPN-2"/>
    <x v="0"/>
  </r>
  <r>
    <x v="58"/>
    <x v="508"/>
    <s v="Finca Lolita - NIS 503745 - Periodo 2 - 3 - 4 - 5"/>
    <s v="Total"/>
    <x v="0"/>
    <x v="0"/>
    <x v="1"/>
    <s v="$"/>
    <n v="800000"/>
    <n v="800000"/>
    <n v="528.0528052805281"/>
    <m/>
    <d v="2026-07-14T00:00:00"/>
    <n v="29"/>
    <s v="OPN-2"/>
    <x v="0"/>
  </r>
  <r>
    <x v="58"/>
    <x v="508"/>
    <s v="Finca Lolita - NIS 503745 - Periodo 2 - 3 - 4 - 5"/>
    <s v="Total"/>
    <x v="0"/>
    <x v="0"/>
    <x v="1"/>
    <s v="$"/>
    <n v="1010000"/>
    <n v="1010000"/>
    <n v="666.66666666666663"/>
    <m/>
    <d v="2026-07-15T00:00:00"/>
    <n v="29"/>
    <s v="OPN-2"/>
    <x v="0"/>
  </r>
  <r>
    <x v="58"/>
    <x v="508"/>
    <s v="Finca Lolita - NIS 503745 - Periodo 2 - 3 - 4 - 5"/>
    <s v="Total"/>
    <x v="0"/>
    <x v="0"/>
    <x v="1"/>
    <s v="$"/>
    <n v="1463700"/>
    <n v="1463700"/>
    <n v="966.13861386138615"/>
    <m/>
    <d v="2026-07-16T00:00:00"/>
    <n v="29"/>
    <s v="OPN-2"/>
    <x v="0"/>
  </r>
  <r>
    <x v="58"/>
    <x v="508"/>
    <s v="Finca Lolita - NIS 503745 - Periodo 2 - 3 - 4 - 5"/>
    <s v="Total"/>
    <x v="0"/>
    <x v="0"/>
    <x v="1"/>
    <s v="$"/>
    <n v="200000"/>
    <n v="200000"/>
    <n v="132.01320132013203"/>
    <m/>
    <d v="2026-07-20T00:00:00"/>
    <n v="30"/>
    <s v="OPN-2"/>
    <x v="0"/>
  </r>
  <r>
    <x v="58"/>
    <x v="508"/>
    <s v="Finca Lolita - NIS 503745 - Periodo 2 - 3 - 4 - 5"/>
    <s v="Total"/>
    <x v="0"/>
    <x v="0"/>
    <x v="1"/>
    <s v="$"/>
    <n v="800000"/>
    <n v="800000"/>
    <n v="528.0528052805281"/>
    <m/>
    <d v="2026-07-20T00:00:00"/>
    <n v="30"/>
    <s v="OPN-2"/>
    <x v="0"/>
  </r>
  <r>
    <x v="58"/>
    <x v="508"/>
    <s v="Finca Lolita - NIS 503745 - Periodo 2 - 3 - 4 - 5"/>
    <s v="Total"/>
    <x v="0"/>
    <x v="0"/>
    <x v="1"/>
    <s v="$"/>
    <n v="411360"/>
    <n v="411360"/>
    <n v="271.52475247524751"/>
    <m/>
    <d v="2026-07-20T00:00:00"/>
    <n v="30"/>
    <s v="OPN-2"/>
    <x v="0"/>
  </r>
  <r>
    <x v="58"/>
    <x v="508"/>
    <s v="Finca Lolita - NIS 503745 - Periodo 2 - 3 - 4 - 5"/>
    <s v="Total"/>
    <x v="0"/>
    <x v="0"/>
    <x v="1"/>
    <s v="$"/>
    <n v="3210000"/>
    <n v="3210000"/>
    <n v="2118.8118811881186"/>
    <m/>
    <d v="2026-07-21T00:00:00"/>
    <n v="30"/>
    <s v="OPN-2"/>
    <x v="0"/>
  </r>
  <r>
    <x v="58"/>
    <x v="508"/>
    <s v="Finca Lolita - NIS 503745 - Periodo 2 - 3 - 4 - 5"/>
    <s v="Total"/>
    <x v="0"/>
    <x v="0"/>
    <x v="1"/>
    <s v="$"/>
    <n v="550000"/>
    <n v="550000"/>
    <n v="363.03630363036302"/>
    <m/>
    <d v="2026-07-21T00:00:00"/>
    <n v="30"/>
    <s v="OPN-2"/>
    <x v="0"/>
  </r>
  <r>
    <x v="58"/>
    <x v="508"/>
    <s v="Finca Lolita - NIS 503745 - Periodo 2 - 3 - 4 - 5"/>
    <s v="Total"/>
    <x v="0"/>
    <x v="0"/>
    <x v="1"/>
    <s v="$"/>
    <n v="1550000"/>
    <n v="1550000"/>
    <n v="1023.1023102310231"/>
    <m/>
    <d v="2026-07-21T00:00:00"/>
    <n v="30"/>
    <s v="OPN-2"/>
    <x v="0"/>
  </r>
  <r>
    <x v="58"/>
    <x v="508"/>
    <s v="Finca Lolita - NIS 503745 - Periodo 2 - 3 - 4 - 5"/>
    <s v="Total"/>
    <x v="0"/>
    <x v="0"/>
    <x v="1"/>
    <s v="$"/>
    <n v="7000000"/>
    <n v="7000000"/>
    <n v="4620.4620462046205"/>
    <m/>
    <d v="2026-07-22T00:00:00"/>
    <n v="30"/>
    <s v="OPN-2"/>
    <x v="0"/>
  </r>
  <r>
    <x v="58"/>
    <x v="508"/>
    <s v="Finca Lolita - NIS 503745 - Periodo 2 - 3 - 4 - 5"/>
    <s v="Total"/>
    <x v="0"/>
    <x v="0"/>
    <x v="1"/>
    <s v="$"/>
    <n v="5043137"/>
    <n v="5043137"/>
    <n v="3328.8033003300329"/>
    <m/>
    <d v="2026-06-30T00:00:00"/>
    <n v="27"/>
    <s v="OPN-2"/>
    <x v="0"/>
  </r>
  <r>
    <x v="67"/>
    <x v="304"/>
    <s v="Combustible"/>
    <s v="Total"/>
    <x v="2"/>
    <x v="0"/>
    <x v="2"/>
    <s v="$"/>
    <n v="94999.93"/>
    <n v="94999.93"/>
    <n v="62.70622442244224"/>
    <m/>
    <m/>
    <s v="26"/>
    <s v="OPN-12032"/>
    <x v="0"/>
  </r>
  <r>
    <x v="68"/>
    <x v="518"/>
    <s v="Desagote pozo casa Doctor (Quincho)"/>
    <s v="Total"/>
    <x v="2"/>
    <x v="1"/>
    <x v="2"/>
    <s v="$"/>
    <n v="150000"/>
    <n v="150000"/>
    <n v="99.009900990099013"/>
    <m/>
    <m/>
    <s v="28"/>
    <s v="OPN-7422"/>
    <x v="0"/>
  </r>
  <r>
    <x v="67"/>
    <x v="307"/>
    <s v="Pedido de planta - Precintos cola de raton"/>
    <s v="Total"/>
    <x v="1"/>
    <x v="0"/>
    <x v="1"/>
    <s v="$"/>
    <n v="72141.17"/>
    <n v="72141.17"/>
    <n v="47.61793399339934"/>
    <m/>
    <d v="2026-07-10T00:00:00"/>
    <n v="28"/>
    <s v="OPN-12019"/>
    <x v="0"/>
  </r>
  <r>
    <x v="69"/>
    <x v="129"/>
    <s v="Campaña 2025"/>
    <s v="Total"/>
    <x v="4"/>
    <x v="0"/>
    <x v="1"/>
    <s v="$"/>
    <n v="1000000"/>
    <n v="1000000"/>
    <n v="660.0660066006601"/>
    <m/>
    <d v="2026-08-18T00:00:00"/>
    <n v="34"/>
    <s v="OPN-7478"/>
    <x v="0"/>
  </r>
  <r>
    <x v="69"/>
    <x v="129"/>
    <s v="Campaña 2025"/>
    <s v="Total"/>
    <x v="4"/>
    <x v="0"/>
    <x v="1"/>
    <s v="$"/>
    <n v="3748280"/>
    <n v="3748280"/>
    <n v="2474.1122112211219"/>
    <m/>
    <d v="2026-08-22T00:00:00"/>
    <n v="34"/>
    <s v="OPN-7478"/>
    <x v="0"/>
  </r>
  <r>
    <x v="68"/>
    <x v="147"/>
    <s v="Guantes descartables"/>
    <s v="Total"/>
    <x v="2"/>
    <x v="0"/>
    <x v="2"/>
    <s v="$"/>
    <n v="11000"/>
    <n v="11000"/>
    <n v="7.2607260726072607"/>
    <m/>
    <m/>
    <s v="28"/>
    <s v="OPN-12257"/>
    <x v="0"/>
  </r>
  <r>
    <x v="67"/>
    <x v="454"/>
    <s v="Campaña 2026"/>
    <s v="Total"/>
    <x v="0"/>
    <x v="1"/>
    <x v="1"/>
    <s v="$"/>
    <n v="2000000"/>
    <n v="2000000"/>
    <n v="1320.1320132013202"/>
    <m/>
    <d v="2026-08-08T00:00:00"/>
    <n v="32"/>
    <s v="OPN7339"/>
    <x v="0"/>
  </r>
  <r>
    <x v="67"/>
    <x v="454"/>
    <s v="Campaña 2026"/>
    <s v="Total"/>
    <x v="2"/>
    <x v="1"/>
    <x v="2"/>
    <s v="$"/>
    <n v="1000000"/>
    <n v="1000000"/>
    <n v="660.0660066006601"/>
    <m/>
    <m/>
    <s v="26"/>
    <s v="OPN7339"/>
    <x v="0"/>
  </r>
  <r>
    <x v="70"/>
    <x v="448"/>
    <s v="Tubos de gas Planta"/>
    <s v="Total"/>
    <x v="0"/>
    <x v="0"/>
    <x v="2"/>
    <s v="$"/>
    <n v="55420.69"/>
    <n v="55420.69"/>
    <n v="36.581313531353139"/>
    <s v="Retenciones"/>
    <m/>
    <s v="31"/>
    <s v="OPN-12282"/>
    <x v="0"/>
  </r>
  <r>
    <x v="56"/>
    <x v="448"/>
    <s v="Tubos de gas Planta"/>
    <s v="Total"/>
    <x v="0"/>
    <x v="0"/>
    <x v="2"/>
    <s v="$"/>
    <n v="0"/>
    <n v="0"/>
    <n v="0"/>
    <s v="Saldo a favor 901694.84"/>
    <m/>
    <s v="32"/>
    <m/>
    <x v="1"/>
  </r>
  <r>
    <x v="56"/>
    <x v="69"/>
    <s v="Azucar para dulce de membirillo"/>
    <s v="Total"/>
    <x v="2"/>
    <x v="0"/>
    <x v="2"/>
    <s v="$"/>
    <n v="59000"/>
    <n v="59000"/>
    <n v="38.943894389438945"/>
    <m/>
    <m/>
    <s v="32"/>
    <s v="OPN-12317"/>
    <x v="0"/>
  </r>
  <r>
    <x v="56"/>
    <x v="435"/>
    <s v="Reparacion de motores varios"/>
    <s v="Total"/>
    <x v="0"/>
    <x v="0"/>
    <x v="1"/>
    <s v="$"/>
    <n v="192199"/>
    <n v="192199"/>
    <n v="126.86402640264026"/>
    <m/>
    <m/>
    <s v="32"/>
    <m/>
    <x v="1"/>
  </r>
  <r>
    <x v="67"/>
    <x v="333"/>
    <s v="Combustible"/>
    <s v="Total"/>
    <x v="2"/>
    <x v="0"/>
    <x v="2"/>
    <s v="$"/>
    <n v="50000"/>
    <n v="50000"/>
    <n v="33.003300330033007"/>
    <m/>
    <m/>
    <s v="26"/>
    <s v="OPN-12033"/>
    <x v="0"/>
  </r>
  <r>
    <x v="56"/>
    <x v="435"/>
    <s v="Reparacion de motores varios"/>
    <s v="Total"/>
    <x v="0"/>
    <x v="0"/>
    <x v="1"/>
    <s v="$"/>
    <n v="945000"/>
    <n v="945000"/>
    <n v="623.76237623762381"/>
    <m/>
    <m/>
    <s v="32"/>
    <m/>
    <x v="1"/>
  </r>
  <r>
    <x v="56"/>
    <x v="76"/>
    <s v="Estudio contable"/>
    <s v="Total"/>
    <x v="0"/>
    <x v="0"/>
    <x v="1"/>
    <s v="$"/>
    <n v="15053191.1"/>
    <n v="15053191.1"/>
    <n v="9936.0997359735975"/>
    <m/>
    <m/>
    <s v="32"/>
    <m/>
    <x v="1"/>
  </r>
  <r>
    <x v="56"/>
    <x v="64"/>
    <s v="Combustible"/>
    <s v="Total"/>
    <x v="2"/>
    <x v="0"/>
    <x v="2"/>
    <s v="$"/>
    <n v="6000"/>
    <n v="6000"/>
    <n v="3.9603960396039604"/>
    <s v="A rendir"/>
    <m/>
    <s v="32"/>
    <m/>
    <x v="1"/>
  </r>
  <r>
    <x v="65"/>
    <x v="200"/>
    <s v="Reposición de chueque sin fondos"/>
    <s v="Total"/>
    <x v="1"/>
    <x v="0"/>
    <x v="0"/>
    <s v="$"/>
    <n v="4324632.55"/>
    <n v="4324632.55"/>
    <n v="2854.5429372937292"/>
    <m/>
    <m/>
    <s v="27"/>
    <s v="OPN-12092"/>
    <x v="0"/>
  </r>
  <r>
    <x v="56"/>
    <x v="64"/>
    <s v="Combustible"/>
    <s v="Total"/>
    <x v="2"/>
    <x v="0"/>
    <x v="2"/>
    <s v="$"/>
    <n v="190000"/>
    <n v="190000"/>
    <n v="125.41254125412541"/>
    <m/>
    <m/>
    <s v="32"/>
    <m/>
    <x v="2"/>
  </r>
  <r>
    <x v="56"/>
    <x v="240"/>
    <s v="Combustible"/>
    <s v="Total"/>
    <x v="2"/>
    <x v="0"/>
    <x v="2"/>
    <s v="$"/>
    <n v="190000"/>
    <n v="190000"/>
    <n v="125.41254125412541"/>
    <m/>
    <m/>
    <s v="32"/>
    <m/>
    <x v="2"/>
  </r>
  <r>
    <x v="56"/>
    <x v="453"/>
    <s v="Combustible"/>
    <s v="Total"/>
    <x v="2"/>
    <x v="0"/>
    <x v="2"/>
    <s v="$"/>
    <n v="80000"/>
    <n v="80000"/>
    <n v="52.805280528052805"/>
    <m/>
    <m/>
    <s v="32"/>
    <m/>
    <x v="2"/>
  </r>
  <r>
    <x v="56"/>
    <x v="64"/>
    <s v="Pulpeado Nueces "/>
    <s v="Total"/>
    <x v="2"/>
    <x v="1"/>
    <x v="2"/>
    <s v="$"/>
    <n v="0"/>
    <n v="0"/>
    <n v="0"/>
    <m/>
    <m/>
    <s v="32"/>
    <m/>
    <x v="1"/>
  </r>
  <r>
    <x v="56"/>
    <x v="519"/>
    <s v="Recambio Postes - cuadros pasa de uva"/>
    <s v="Total"/>
    <x v="1"/>
    <x v="0"/>
    <x v="1"/>
    <s v="$"/>
    <n v="101421716"/>
    <n v="101421716"/>
    <n v="66945.027062706271"/>
    <m/>
    <m/>
    <s v="32"/>
    <m/>
    <x v="1"/>
  </r>
  <r>
    <x v="56"/>
    <x v="82"/>
    <s v="Cuotas tractores"/>
    <s v="Total"/>
    <x v="0"/>
    <x v="0"/>
    <x v="1"/>
    <s v="EUR"/>
    <n v="79085.14"/>
    <n v="139980697.80000001"/>
    <n v="92396.500198019814"/>
    <n v="79085.14"/>
    <m/>
    <s v="32"/>
    <m/>
    <x v="1"/>
  </r>
  <r>
    <x v="65"/>
    <x v="520"/>
    <s v="Pedido administración"/>
    <s v="Total"/>
    <x v="2"/>
    <x v="0"/>
    <x v="2"/>
    <s v="$"/>
    <n v="39509.919999999998"/>
    <n v="39509.919999999998"/>
    <n v="26.079155115511551"/>
    <m/>
    <m/>
    <s v="27"/>
    <s v="OPN-12043"/>
    <x v="0"/>
  </r>
  <r>
    <x v="67"/>
    <x v="346"/>
    <s v="Desagote pozo mas camara planta"/>
    <s v="Total"/>
    <x v="2"/>
    <x v="1"/>
    <x v="2"/>
    <s v="$"/>
    <n v="190000"/>
    <n v="190000"/>
    <n v="125.41254125412541"/>
    <m/>
    <m/>
    <s v="26"/>
    <s v="OPN-7342"/>
    <x v="0"/>
  </r>
  <r>
    <x v="67"/>
    <x v="130"/>
    <s v="Acesoramiento"/>
    <s v="Total"/>
    <x v="3"/>
    <x v="0"/>
    <x v="0"/>
    <s v="$"/>
    <n v="170000"/>
    <n v="170000"/>
    <n v="112.21122112211221"/>
    <m/>
    <m/>
    <s v="26"/>
    <s v="OPN-12039"/>
    <x v="0"/>
  </r>
  <r>
    <x v="67"/>
    <x v="353"/>
    <s v="Servicio liquidación de sueldos"/>
    <s v="Total"/>
    <x v="3"/>
    <x v="0"/>
    <x v="0"/>
    <s v="$"/>
    <n v="1572885"/>
    <n v="1572885"/>
    <n v="1038.2079207920792"/>
    <m/>
    <m/>
    <s v="26"/>
    <s v="OPN-12041"/>
    <x v="0"/>
  </r>
  <r>
    <x v="65"/>
    <x v="449"/>
    <s v="Pedido de administración - planta - bodega"/>
    <s v="Total"/>
    <x v="2"/>
    <x v="0"/>
    <x v="2"/>
    <s v="$"/>
    <n v="70600"/>
    <n v="70600"/>
    <n v="46.600660066006604"/>
    <m/>
    <m/>
    <s v="27"/>
    <s v="OPN-12110"/>
    <x v="0"/>
  </r>
  <r>
    <x v="65"/>
    <x v="212"/>
    <s v="Reposición de chueque sin fondos"/>
    <s v="Total"/>
    <x v="1"/>
    <x v="0"/>
    <x v="0"/>
    <s v="$"/>
    <n v="1186719.71"/>
    <n v="1186719.71"/>
    <n v="783.31333993399335"/>
    <m/>
    <m/>
    <s v="27"/>
    <s v="OPN-12081"/>
    <x v="0"/>
  </r>
  <r>
    <x v="65"/>
    <x v="495"/>
    <s v="Reposición de chueque sin fondos"/>
    <s v="Total"/>
    <x v="1"/>
    <x v="0"/>
    <x v="0"/>
    <s v="$"/>
    <n v="93032.8"/>
    <n v="93032.8"/>
    <n v="61.407788778877887"/>
    <m/>
    <m/>
    <s v="27"/>
    <s v="OPN-12093"/>
    <x v="0"/>
  </r>
  <r>
    <x v="65"/>
    <x v="495"/>
    <s v="Reposición de chueque sin fondos"/>
    <s v="Total"/>
    <x v="1"/>
    <x v="0"/>
    <x v="0"/>
    <s v="$"/>
    <n v="4651640"/>
    <n v="4651640"/>
    <n v="3070.3894389438942"/>
    <m/>
    <m/>
    <s v="27"/>
    <s v="OPN-12082"/>
    <x v="0"/>
  </r>
  <r>
    <x v="65"/>
    <x v="495"/>
    <m/>
    <s v="Total"/>
    <x v="1"/>
    <x v="0"/>
    <x v="1"/>
    <s v="$"/>
    <n v="4000000"/>
    <n v="4000000"/>
    <n v="2640.2640264026404"/>
    <m/>
    <d v="2026-06-23T00:00:00"/>
    <n v="26"/>
    <s v="OPN-12051"/>
    <x v="0"/>
  </r>
  <r>
    <x v="65"/>
    <x v="495"/>
    <m/>
    <s v="Total"/>
    <x v="1"/>
    <x v="0"/>
    <x v="1"/>
    <s v="$"/>
    <n v="80000"/>
    <n v="80000"/>
    <n v="52.805280528052805"/>
    <s v="Retenciones"/>
    <m/>
    <s v="27"/>
    <s v="OPN-12051"/>
    <x v="0"/>
  </r>
  <r>
    <x v="65"/>
    <x v="219"/>
    <s v="Combustible"/>
    <s v="Total"/>
    <x v="2"/>
    <x v="0"/>
    <x v="2"/>
    <s v="$"/>
    <n v="97960.01"/>
    <n v="97960.01"/>
    <n v="64.660072607260716"/>
    <m/>
    <m/>
    <s v="27"/>
    <s v="OPN-12108"/>
    <x v="0"/>
  </r>
  <r>
    <x v="65"/>
    <x v="219"/>
    <s v="Combustible"/>
    <s v="Total"/>
    <x v="2"/>
    <x v="0"/>
    <x v="2"/>
    <s v="$"/>
    <n v="97800"/>
    <n v="97800"/>
    <n v="64.554455445544548"/>
    <m/>
    <m/>
    <s v="27"/>
    <s v="OPN-12109"/>
    <x v="0"/>
  </r>
  <r>
    <x v="67"/>
    <x v="387"/>
    <s v="Servicio de envios"/>
    <s v="Total"/>
    <x v="5"/>
    <x v="0"/>
    <x v="1"/>
    <s v="$"/>
    <n v="1069423.8899999999"/>
    <n v="1069423.8899999999"/>
    <n v="705.89035643564353"/>
    <m/>
    <d v="2026-07-25T00:00:00"/>
    <n v="30"/>
    <s v="OPN-12018"/>
    <x v="0"/>
  </r>
  <r>
    <x v="67"/>
    <x v="387"/>
    <s v="Servicio de envios"/>
    <s v="Total"/>
    <x v="5"/>
    <x v="0"/>
    <x v="1"/>
    <s v="$"/>
    <n v="17973.509999999998"/>
    <n v="17973.509999999998"/>
    <n v="11.863702970297028"/>
    <s v="Retenciones"/>
    <m/>
    <s v="26"/>
    <s v="OPN-12018"/>
    <x v="0"/>
  </r>
  <r>
    <x v="65"/>
    <x v="219"/>
    <s v="Combustible"/>
    <s v="Total"/>
    <x v="2"/>
    <x v="0"/>
    <x v="2"/>
    <s v="$"/>
    <n v="98160"/>
    <n v="98160"/>
    <n v="64.792079207920793"/>
    <m/>
    <m/>
    <s v="27"/>
    <s v="OPN-12107"/>
    <x v="0"/>
  </r>
  <r>
    <x v="56"/>
    <x v="86"/>
    <s v="Combustrtibles y lubricantes"/>
    <s v="Total"/>
    <x v="0"/>
    <x v="0"/>
    <x v="1"/>
    <s v="$"/>
    <n v="0"/>
    <n v="0"/>
    <n v="0"/>
    <m/>
    <m/>
    <s v="32"/>
    <m/>
    <x v="1"/>
  </r>
  <r>
    <x v="56"/>
    <x v="521"/>
    <s v="Febrero"/>
    <s v="Total"/>
    <x v="3"/>
    <x v="0"/>
    <x v="0"/>
    <s v="$"/>
    <n v="399779.52"/>
    <n v="399779.52"/>
    <n v="263.88087128712874"/>
    <m/>
    <m/>
    <s v="32"/>
    <m/>
    <x v="1"/>
  </r>
  <r>
    <x v="72"/>
    <x v="147"/>
    <s v="Alcohol Etilico"/>
    <s v="Total"/>
    <x v="2"/>
    <x v="0"/>
    <x v="2"/>
    <s v="$"/>
    <n v="68400"/>
    <n v="68400"/>
    <n v="45.148514851485146"/>
    <m/>
    <m/>
    <s v="30"/>
    <s v="OPN-12231"/>
    <x v="0"/>
  </r>
  <r>
    <x v="69"/>
    <x v="160"/>
    <s v="Embases "/>
    <s v="Total"/>
    <x v="0"/>
    <x v="0"/>
    <x v="1"/>
    <s v="$"/>
    <n v="1246636.3999999999"/>
    <n v="1246636.3999999999"/>
    <n v="822.862310231023"/>
    <m/>
    <d v="2026-08-06T00:00:00"/>
    <n v="32"/>
    <s v="OPN-12181"/>
    <x v="0"/>
  </r>
  <r>
    <x v="69"/>
    <x v="160"/>
    <s v="Embases "/>
    <s v="Total"/>
    <x v="0"/>
    <x v="0"/>
    <x v="1"/>
    <s v="$"/>
    <n v="1537459.06"/>
    <n v="1537459.06"/>
    <n v="1014.8244620462046"/>
    <m/>
    <d v="2026-09-04T00:00:00"/>
    <n v="36"/>
    <s v="OPN-12181"/>
    <x v="0"/>
  </r>
  <r>
    <x v="69"/>
    <x v="160"/>
    <s v="Embases "/>
    <s v="Total"/>
    <x v="0"/>
    <x v="0"/>
    <x v="1"/>
    <s v="$"/>
    <n v="1537459.06"/>
    <n v="1537459.06"/>
    <n v="1014.8244620462046"/>
    <m/>
    <d v="2026-09-18T00:00:00"/>
    <n v="38"/>
    <s v="OPN-12181"/>
    <x v="0"/>
  </r>
  <r>
    <x v="69"/>
    <x v="160"/>
    <s v="Embases "/>
    <s v="Total"/>
    <x v="0"/>
    <x v="0"/>
    <x v="1"/>
    <s v="$"/>
    <n v="1537459.06"/>
    <n v="1537459.06"/>
    <n v="1014.8244620462046"/>
    <m/>
    <d v="2026-10-09T00:00:00"/>
    <n v="41"/>
    <s v="OPN-12181"/>
    <x v="0"/>
  </r>
  <r>
    <x v="68"/>
    <x v="453"/>
    <s v="Combustible"/>
    <s v="Total"/>
    <x v="2"/>
    <x v="0"/>
    <x v="1"/>
    <s v="$"/>
    <n v="70000.03"/>
    <n v="70000.03"/>
    <n v="46.204640264026402"/>
    <m/>
    <m/>
    <s v="28"/>
    <s v="OPN-12120"/>
    <x v="0"/>
  </r>
  <r>
    <x v="65"/>
    <x v="437"/>
    <s v="Pedido Casa Doctor"/>
    <s v="Total"/>
    <x v="2"/>
    <x v="0"/>
    <x v="2"/>
    <s v="$"/>
    <n v="112050.25"/>
    <n v="112050.25"/>
    <n v="73.960561056105604"/>
    <m/>
    <m/>
    <s v="27"/>
    <s v="OPN-12056"/>
    <x v="0"/>
  </r>
  <r>
    <x v="67"/>
    <x v="386"/>
    <s v="Cobre Stable - Pedido campo"/>
    <s v="Total"/>
    <x v="1"/>
    <x v="0"/>
    <x v="1"/>
    <s v="$"/>
    <n v="3249467.2"/>
    <n v="3249467.2"/>
    <n v="2144.8628382838283"/>
    <m/>
    <d v="2026-07-29T00:00:00"/>
    <n v="31"/>
    <s v="OPN-12035"/>
    <x v="0"/>
  </r>
  <r>
    <x v="67"/>
    <x v="386"/>
    <s v="Cobre Stable - Pedido campo"/>
    <s v="Total"/>
    <x v="1"/>
    <x v="0"/>
    <x v="1"/>
    <s v="$"/>
    <n v="50057.599999999999"/>
    <n v="50057.599999999999"/>
    <n v="33.041320132013198"/>
    <s v="Retenciones"/>
    <m/>
    <s v="26"/>
    <s v="OPN-12035"/>
    <x v="0"/>
  </r>
  <r>
    <x v="65"/>
    <x v="451"/>
    <s v="Pedido Casa Doctor"/>
    <s v="Total"/>
    <x v="2"/>
    <x v="0"/>
    <x v="2"/>
    <s v="$"/>
    <n v="30825"/>
    <n v="30825"/>
    <n v="20.346534653465348"/>
    <m/>
    <m/>
    <s v="27"/>
    <s v="OPN-12055"/>
    <x v="0"/>
  </r>
  <r>
    <x v="65"/>
    <x v="474"/>
    <s v="Reposición de chueque sin fondos"/>
    <s v="Total"/>
    <x v="1"/>
    <x v="0"/>
    <x v="0"/>
    <s v="$"/>
    <n v="563801"/>
    <n v="563801"/>
    <n v="372.14587458745876"/>
    <m/>
    <m/>
    <s v="27"/>
    <s v="OPN-12083"/>
    <x v="0"/>
  </r>
  <r>
    <x v="69"/>
    <x v="160"/>
    <s v="Embases "/>
    <s v="Total"/>
    <x v="0"/>
    <x v="0"/>
    <x v="1"/>
    <s v="$"/>
    <n v="1537459.07"/>
    <n v="1537459.07"/>
    <n v="1014.8244686468647"/>
    <m/>
    <d v="2026-10-23T00:00:00"/>
    <n v="43"/>
    <s v="OPN-12181"/>
    <x v="0"/>
  </r>
  <r>
    <x v="68"/>
    <x v="440"/>
    <s v="Pedido Casa Doctor"/>
    <s v="Total"/>
    <x v="2"/>
    <x v="0"/>
    <x v="2"/>
    <s v="$"/>
    <n v="18999.91"/>
    <n v="18999.91"/>
    <n v="12.541194719471948"/>
    <m/>
    <m/>
    <s v="28"/>
    <s v="OPN-12255"/>
    <x v="0"/>
  </r>
  <r>
    <x v="69"/>
    <x v="160"/>
    <s v="Embases "/>
    <s v="Total"/>
    <x v="0"/>
    <x v="0"/>
    <x v="1"/>
    <s v="$"/>
    <n v="119755.15"/>
    <n v="119755.15"/>
    <n v="79.046303630363028"/>
    <s v="Retenciones"/>
    <m/>
    <s v="29"/>
    <s v="OPN-12181"/>
    <x v="0"/>
  </r>
  <r>
    <x v="70"/>
    <x v="433"/>
    <s v="Rele trifsico - Pedido campo"/>
    <s v="Total"/>
    <x v="2"/>
    <x v="0"/>
    <x v="2"/>
    <s v="$"/>
    <n v="158565"/>
    <n v="158565"/>
    <n v="104.66336633663366"/>
    <m/>
    <m/>
    <s v="31"/>
    <s v="OPN-12283"/>
    <x v="0"/>
  </r>
  <r>
    <x v="56"/>
    <x v="91"/>
    <s v="Honorarios"/>
    <s v="Total"/>
    <x v="3"/>
    <x v="0"/>
    <x v="0"/>
    <s v="$"/>
    <n v="228237.97"/>
    <n v="228237.97"/>
    <n v="150.65212541254127"/>
    <m/>
    <m/>
    <s v="32"/>
    <m/>
    <x v="2"/>
  </r>
  <r>
    <x v="65"/>
    <x v="242"/>
    <s v="Trabajos realizados de elecricidad"/>
    <s v="Total"/>
    <x v="2"/>
    <x v="1"/>
    <x v="2"/>
    <s v="$"/>
    <n v="500000"/>
    <n v="500000"/>
    <n v="330.03300330033005"/>
    <m/>
    <m/>
    <s v="27"/>
    <s v="OPN-7402"/>
    <x v="0"/>
  </r>
  <r>
    <x v="56"/>
    <x v="522"/>
    <s v="Servicio - INV: P70003 "/>
    <s v="Total"/>
    <x v="3"/>
    <x v="0"/>
    <x v="0"/>
    <s v="$"/>
    <n v="228237.97"/>
    <n v="228237.97"/>
    <n v="150.65212541254127"/>
    <m/>
    <m/>
    <s v="32"/>
    <m/>
    <x v="1"/>
  </r>
  <r>
    <x v="65"/>
    <x v="257"/>
    <s v="Reposición de chueque sin fondos"/>
    <s v="Total"/>
    <x v="1"/>
    <x v="0"/>
    <x v="0"/>
    <s v="$"/>
    <n v="14643168"/>
    <n v="14643168"/>
    <n v="9665.4574257425738"/>
    <m/>
    <m/>
    <s v="27"/>
    <s v="OPN-12085"/>
    <x v="0"/>
  </r>
  <r>
    <x v="56"/>
    <x v="523"/>
    <s v="Reparación de bomba de profundidad Grundfos"/>
    <s v="Total"/>
    <x v="1"/>
    <x v="0"/>
    <x v="1"/>
    <s v="U$D"/>
    <n v="8743.4599999999991"/>
    <n v="13246341.899999999"/>
    <n v="8743.4599999999991"/>
    <m/>
    <m/>
    <s v="32"/>
    <m/>
    <x v="1"/>
  </r>
  <r>
    <x v="65"/>
    <x v="524"/>
    <s v="Reposición de chueque sin fondos"/>
    <s v="Total"/>
    <x v="1"/>
    <x v="0"/>
    <x v="0"/>
    <s v="$"/>
    <n v="1335700"/>
    <n v="1335700"/>
    <n v="881.65016501650166"/>
    <m/>
    <m/>
    <s v="27"/>
    <s v="OPN-12077"/>
    <x v="0"/>
  </r>
  <r>
    <x v="56"/>
    <x v="515"/>
    <s v="Ruleman + retenes - Jeep Julio"/>
    <s v="Total"/>
    <x v="2"/>
    <x v="0"/>
    <x v="2"/>
    <s v="$"/>
    <n v="67001.820000000007"/>
    <n v="67001.820000000007"/>
    <n v="44.225623762376244"/>
    <m/>
    <m/>
    <s v="32"/>
    <m/>
    <x v="2"/>
  </r>
  <r>
    <x v="56"/>
    <x v="511"/>
    <s v="Insumos planta"/>
    <s v="Total"/>
    <x v="0"/>
    <x v="0"/>
    <x v="1"/>
    <s v="U$D"/>
    <n v="16302.83"/>
    <n v="24698787.449999999"/>
    <n v="16302.83"/>
    <m/>
    <m/>
    <s v="32"/>
    <m/>
    <x v="1"/>
  </r>
  <r>
    <x v="72"/>
    <x v="453"/>
    <s v="Combustible"/>
    <s v="Total"/>
    <x v="2"/>
    <x v="0"/>
    <x v="2"/>
    <s v="$"/>
    <n v="70000"/>
    <n v="70000"/>
    <n v="46.204620462046208"/>
    <m/>
    <m/>
    <s v="30"/>
    <s v="OPN-12245"/>
    <x v="0"/>
  </r>
  <r>
    <x v="68"/>
    <x v="449"/>
    <s v="Pedido Casa Doctor"/>
    <s v="Total"/>
    <x v="2"/>
    <x v="0"/>
    <x v="2"/>
    <s v="$"/>
    <n v="26300.02"/>
    <n v="26300.02"/>
    <n v="17.359749174917493"/>
    <m/>
    <m/>
    <s v="28"/>
    <s v="OPN-12154"/>
    <x v="0"/>
  </r>
  <r>
    <x v="68"/>
    <x v="449"/>
    <s v="Pedido Casa Doctor"/>
    <s v="Total"/>
    <x v="2"/>
    <x v="0"/>
    <x v="2"/>
    <s v="$"/>
    <n v="44100.02"/>
    <n v="44100.02"/>
    <n v="29.108924092409239"/>
    <m/>
    <m/>
    <s v="28"/>
    <s v="OPN-12159"/>
    <x v="0"/>
  </r>
  <r>
    <x v="65"/>
    <x v="447"/>
    <s v="Reposición de chueque sin fondos"/>
    <s v="Total"/>
    <x v="1"/>
    <x v="0"/>
    <x v="0"/>
    <s v="$"/>
    <n v="1432962.13"/>
    <n v="1432962.13"/>
    <n v="945.8495907590758"/>
    <m/>
    <m/>
    <s v="27"/>
    <s v="OPN-12084"/>
    <x v="0"/>
  </r>
  <r>
    <x v="65"/>
    <x v="478"/>
    <s v="Reposición de chueque sin fondos"/>
    <s v="Total"/>
    <x v="1"/>
    <x v="0"/>
    <x v="0"/>
    <s v="$"/>
    <n v="3296538"/>
    <n v="3296538"/>
    <n v="2175.9326732673267"/>
    <m/>
    <m/>
    <s v="27"/>
    <s v="OPN-12079"/>
    <x v="0"/>
  </r>
  <r>
    <x v="68"/>
    <x v="495"/>
    <s v="Combustible campo"/>
    <s v="Total"/>
    <x v="1"/>
    <x v="0"/>
    <x v="1"/>
    <s v="$"/>
    <n v="6973682.2699999996"/>
    <n v="6973682.2699999996"/>
    <n v="4603.0906072607258"/>
    <m/>
    <d v="2026-07-27T00:00:00"/>
    <n v="31"/>
    <s v="OPN-12129"/>
    <x v="0"/>
  </r>
  <r>
    <x v="68"/>
    <x v="495"/>
    <s v="Combustible campo"/>
    <s v="Total"/>
    <x v="1"/>
    <x v="0"/>
    <x v="1"/>
    <s v="$"/>
    <n v="139317.73000000001"/>
    <n v="139317.73000000001"/>
    <n v="91.958897689768989"/>
    <s v="Retenciones"/>
    <m/>
    <s v="28"/>
    <s v="OPN-12129"/>
    <x v="0"/>
  </r>
  <r>
    <x v="68"/>
    <x v="219"/>
    <s v="Combustible"/>
    <s v="Total"/>
    <x v="2"/>
    <x v="0"/>
    <x v="2"/>
    <s v="$"/>
    <n v="149509.01999999999"/>
    <n v="149509.01999999999"/>
    <n v="98.685821782178209"/>
    <m/>
    <m/>
    <s v="28"/>
    <s v="OPN-12119"/>
    <x v="0"/>
  </r>
  <r>
    <x v="65"/>
    <x v="288"/>
    <s v="Campaña 2026"/>
    <s v="Total"/>
    <x v="4"/>
    <x v="1"/>
    <x v="2"/>
    <s v="$"/>
    <n v="1000000"/>
    <n v="1000000"/>
    <n v="660.0660066006601"/>
    <m/>
    <m/>
    <s v="27"/>
    <s v="OPN-7358"/>
    <x v="0"/>
  </r>
  <r>
    <x v="68"/>
    <x v="219"/>
    <s v="Combustible"/>
    <s v="Total"/>
    <x v="2"/>
    <x v="0"/>
    <x v="2"/>
    <s v="$"/>
    <n v="49060"/>
    <n v="49060"/>
    <n v="32.382838283828384"/>
    <m/>
    <m/>
    <s v="28"/>
    <s v="OPN-12176"/>
    <x v="0"/>
  </r>
  <r>
    <x v="72"/>
    <x v="525"/>
    <s v="Pedido Planta -  Cava"/>
    <s v="Total"/>
    <x v="1"/>
    <x v="0"/>
    <x v="0"/>
    <s v="$"/>
    <n v="1165796.48"/>
    <n v="1165796.48"/>
    <n v="769.50262706270621"/>
    <m/>
    <m/>
    <s v="30"/>
    <s v="OPN-12224"/>
    <x v="0"/>
  </r>
  <r>
    <x v="68"/>
    <x v="437"/>
    <s v="Pedido Casa Doctor"/>
    <s v="Total"/>
    <x v="2"/>
    <x v="0"/>
    <x v="2"/>
    <s v="$"/>
    <n v="110828.25"/>
    <n v="110828.25"/>
    <n v="73.153960396039608"/>
    <m/>
    <m/>
    <s v="28"/>
    <s v="OPN-12256"/>
    <x v="0"/>
  </r>
  <r>
    <x v="65"/>
    <x v="295"/>
    <s v="Reposición de chueque sin fondos"/>
    <s v="Total"/>
    <x v="1"/>
    <x v="0"/>
    <x v="0"/>
    <s v="$"/>
    <n v="17626891.640000001"/>
    <n v="17626891.640000001"/>
    <n v="11634.91197359736"/>
    <m/>
    <m/>
    <s v="27"/>
    <s v="OPN-12086"/>
    <x v="0"/>
  </r>
  <r>
    <x v="68"/>
    <x v="437"/>
    <s v="Pedido Casa Doctor"/>
    <s v="Total"/>
    <x v="2"/>
    <x v="0"/>
    <x v="2"/>
    <s v="$"/>
    <n v="68779.5"/>
    <n v="68779.5"/>
    <n v="45.399009900990102"/>
    <m/>
    <m/>
    <s v="28"/>
    <s v="OPN-12233"/>
    <x v="0"/>
  </r>
  <r>
    <x v="68"/>
    <x v="437"/>
    <s v="Pedido Casa Doctor"/>
    <s v="Total"/>
    <x v="2"/>
    <x v="0"/>
    <x v="2"/>
    <s v="$"/>
    <n v="202313.75"/>
    <n v="202313.75"/>
    <n v="133.54042904290429"/>
    <m/>
    <m/>
    <s v="28"/>
    <s v="OPN-12161"/>
    <x v="0"/>
  </r>
  <r>
    <x v="72"/>
    <x v="525"/>
    <s v="Pedido Planta -  Cava"/>
    <s v="Total"/>
    <x v="1"/>
    <x v="0"/>
    <x v="0"/>
    <s v="$"/>
    <n v="15037.92"/>
    <n v="15037.92"/>
    <n v="9.926019801980198"/>
    <s v="Retenciones"/>
    <m/>
    <s v="30"/>
    <s v="OPN-12224"/>
    <x v="0"/>
  </r>
  <r>
    <x v="68"/>
    <x v="240"/>
    <s v="Combustible"/>
    <s v="Total"/>
    <x v="2"/>
    <x v="0"/>
    <x v="2"/>
    <s v="$"/>
    <n v="185012.93"/>
    <n v="185012.93"/>
    <n v="122.12074587458746"/>
    <m/>
    <m/>
    <s v="28"/>
    <s v="OPN-12175"/>
    <x v="0"/>
  </r>
  <r>
    <x v="68"/>
    <x v="242"/>
    <s v="Combustible"/>
    <s v="Total"/>
    <x v="2"/>
    <x v="0"/>
    <x v="2"/>
    <s v="$"/>
    <n v="195012.93"/>
    <n v="195012.93"/>
    <n v="128.72140594059405"/>
    <m/>
    <m/>
    <s v="28"/>
    <s v="OPN-12174"/>
    <x v="0"/>
  </r>
  <r>
    <x v="69"/>
    <x v="449"/>
    <s v="Pedido Administración"/>
    <s v="Total"/>
    <x v="2"/>
    <x v="0"/>
    <x v="2"/>
    <s v="$"/>
    <n v="49299.97"/>
    <n v="49299.97"/>
    <n v="32.541234323432342"/>
    <m/>
    <m/>
    <s v="29"/>
    <s v="OPN-12192"/>
    <x v="0"/>
  </r>
  <r>
    <x v="69"/>
    <x v="449"/>
    <s v="Pedido Casa Doctor"/>
    <s v="Total"/>
    <x v="2"/>
    <x v="0"/>
    <x v="2"/>
    <s v="$"/>
    <n v="14400"/>
    <n v="14400"/>
    <n v="9.5049504950495045"/>
    <m/>
    <m/>
    <s v="29"/>
    <s v="OPN-12191"/>
    <x v="0"/>
  </r>
  <r>
    <x v="65"/>
    <x v="454"/>
    <s v="Campaña 2026"/>
    <s v="Total"/>
    <x v="4"/>
    <x v="1"/>
    <x v="1"/>
    <s v="$"/>
    <n v="3212624.89"/>
    <n v="3212624.89"/>
    <n v="2120.5444818481851"/>
    <m/>
    <m/>
    <s v="27"/>
    <s v="OPN-7343"/>
    <x v="0"/>
  </r>
  <r>
    <x v="65"/>
    <x v="323"/>
    <s v="Reposición de chueque sin fondos"/>
    <s v="Total"/>
    <x v="1"/>
    <x v="0"/>
    <x v="0"/>
    <s v="$"/>
    <n v="1437716.75"/>
    <n v="1437716.75"/>
    <n v="948.98795379537955"/>
    <m/>
    <m/>
    <s v="27"/>
    <s v="OPN-12100"/>
    <x v="0"/>
  </r>
  <r>
    <x v="69"/>
    <x v="526"/>
    <s v="Pedido para Botquin Planta"/>
    <s v="Total"/>
    <x v="2"/>
    <x v="0"/>
    <x v="2"/>
    <s v="$"/>
    <n v="2800"/>
    <n v="2800"/>
    <n v="1.8481848184818481"/>
    <m/>
    <m/>
    <s v="29"/>
    <s v="OPN-12189"/>
    <x v="0"/>
  </r>
  <r>
    <x v="69"/>
    <x v="526"/>
    <s v="Pedido para Botquin Planta"/>
    <s v="Total"/>
    <x v="2"/>
    <x v="0"/>
    <x v="2"/>
    <s v="$"/>
    <n v="23800"/>
    <n v="23800"/>
    <n v="15.709570957095709"/>
    <m/>
    <m/>
    <s v="29"/>
    <s v="OPN-12187"/>
    <x v="0"/>
  </r>
  <r>
    <x v="56"/>
    <x v="508"/>
    <s v="Servicio de energia Periodo 6"/>
    <s v="Total"/>
    <x v="0"/>
    <x v="0"/>
    <x v="1"/>
    <s v="$"/>
    <n v="57927000"/>
    <n v="57927000"/>
    <n v="38235.643564356433"/>
    <m/>
    <m/>
    <s v="32"/>
    <m/>
    <x v="2"/>
  </r>
  <r>
    <x v="69"/>
    <x v="437"/>
    <s v="Pedido Administración - Almuerzo"/>
    <s v="Total"/>
    <x v="2"/>
    <x v="0"/>
    <x v="2"/>
    <s v="$"/>
    <n v="3700"/>
    <n v="3700"/>
    <n v="2.442244224422442"/>
    <m/>
    <m/>
    <s v="29"/>
    <s v="OPN-12178"/>
    <x v="0"/>
  </r>
  <r>
    <x v="68"/>
    <x v="442"/>
    <s v="Servicio"/>
    <s v="Total"/>
    <x v="2"/>
    <x v="1"/>
    <x v="2"/>
    <s v="$"/>
    <n v="553806.71"/>
    <n v="553806.71"/>
    <n v="365.5489834983498"/>
    <m/>
    <m/>
    <s v="28"/>
    <s v="OPN-7411"/>
    <x v="0"/>
  </r>
  <r>
    <x v="69"/>
    <x v="437"/>
    <s v="Pedido Casa Doctor"/>
    <s v="Total"/>
    <x v="2"/>
    <x v="0"/>
    <x v="2"/>
    <s v="$"/>
    <n v="124120"/>
    <n v="124120"/>
    <n v="81.927392739273927"/>
    <m/>
    <m/>
    <s v="29"/>
    <s v="OPN-12194"/>
    <x v="0"/>
  </r>
  <r>
    <x v="69"/>
    <x v="451"/>
    <s v="Pedido Administración - Almuerzo"/>
    <s v="Total"/>
    <x v="2"/>
    <x v="0"/>
    <x v="2"/>
    <s v="$"/>
    <n v="100375"/>
    <n v="100375"/>
    <n v="66.254125412541256"/>
    <m/>
    <m/>
    <s v="29"/>
    <s v="OPN-12179"/>
    <x v="0"/>
  </r>
  <r>
    <x v="56"/>
    <x v="508"/>
    <s v="Servicio de energia"/>
    <s v="Total"/>
    <x v="3"/>
    <x v="0"/>
    <x v="1"/>
    <s v="$"/>
    <n v="0"/>
    <n v="0"/>
    <n v="0"/>
    <m/>
    <m/>
    <s v="32"/>
    <m/>
    <x v="1"/>
  </r>
  <r>
    <x v="56"/>
    <x v="527"/>
    <s v="Servicio de energia"/>
    <s v="Total"/>
    <x v="3"/>
    <x v="0"/>
    <x v="1"/>
    <s v="$"/>
    <n v="0"/>
    <n v="0"/>
    <n v="0"/>
    <m/>
    <m/>
    <s v="32"/>
    <m/>
    <x v="1"/>
  </r>
  <r>
    <x v="56"/>
    <x v="115"/>
    <s v="Servicio de envios"/>
    <s v="Total"/>
    <x v="0"/>
    <x v="0"/>
    <x v="1"/>
    <s v="$"/>
    <n v="0"/>
    <n v="0"/>
    <n v="0"/>
    <s v="Saldo a favor"/>
    <m/>
    <s v="32"/>
    <m/>
    <x v="1"/>
  </r>
  <r>
    <x v="56"/>
    <x v="126"/>
    <s v="Marzo"/>
    <s v="Total"/>
    <x v="3"/>
    <x v="0"/>
    <x v="0"/>
    <s v="$"/>
    <n v="1500000"/>
    <n v="1500000"/>
    <n v="990.09900990099015"/>
    <m/>
    <m/>
    <s v="32"/>
    <m/>
    <x v="1"/>
  </r>
  <r>
    <x v="65"/>
    <x v="349"/>
    <s v="Trabajos de torneria"/>
    <s v="Total"/>
    <x v="1"/>
    <x v="0"/>
    <x v="0"/>
    <s v="$"/>
    <n v="337680"/>
    <n v="337680"/>
    <n v="222.8910891089109"/>
    <m/>
    <m/>
    <s v="27"/>
    <s v="OPN-12098"/>
    <x v="0"/>
  </r>
  <r>
    <x v="65"/>
    <x v="349"/>
    <s v="Trabajos de torneria"/>
    <s v="Total"/>
    <x v="1"/>
    <x v="0"/>
    <x v="0"/>
    <s v="$"/>
    <n v="1120"/>
    <n v="1120"/>
    <n v="0.73927392739273923"/>
    <s v="Retenciones"/>
    <m/>
    <s v="27"/>
    <s v="OPN-12098"/>
    <x v="0"/>
  </r>
  <r>
    <x v="65"/>
    <x v="362"/>
    <s v="Reposición de chueque sin fondos"/>
    <s v="Total"/>
    <x v="1"/>
    <x v="0"/>
    <x v="0"/>
    <s v="$"/>
    <n v="1072272"/>
    <n v="1072272"/>
    <n v="707.77029702970299"/>
    <m/>
    <m/>
    <s v="27"/>
    <s v="OPN-12087"/>
    <x v="0"/>
  </r>
  <r>
    <x v="68"/>
    <x v="288"/>
    <s v="Campaña 2026"/>
    <s v="Total"/>
    <x v="4"/>
    <x v="1"/>
    <x v="1"/>
    <s v="$"/>
    <n v="2500000"/>
    <n v="2500000"/>
    <n v="1650.1650165016501"/>
    <m/>
    <d v="2026-07-30T00:00:00"/>
    <n v="31"/>
    <s v="OPN-7405"/>
    <x v="0"/>
  </r>
  <r>
    <x v="68"/>
    <x v="288"/>
    <s v="Campaña 2026"/>
    <s v="Total"/>
    <x v="4"/>
    <x v="1"/>
    <x v="1"/>
    <s v="$"/>
    <n v="2500000"/>
    <n v="2500000"/>
    <n v="1650.1650165016501"/>
    <m/>
    <d v="2026-08-04T00:00:00"/>
    <n v="32"/>
    <s v="OPN-7405"/>
    <x v="0"/>
  </r>
  <r>
    <x v="68"/>
    <x v="288"/>
    <s v="Campaña 2026"/>
    <s v="Total"/>
    <x v="4"/>
    <x v="1"/>
    <x v="1"/>
    <s v="$"/>
    <n v="2726733"/>
    <n v="2726733"/>
    <n v="1799.8237623762377"/>
    <m/>
    <d v="2026-09-03T00:00:00"/>
    <n v="36"/>
    <s v="OPN-7405"/>
    <x v="0"/>
  </r>
  <r>
    <x v="69"/>
    <x v="261"/>
    <s v="Sellos cjas de pasas"/>
    <s v="Total"/>
    <x v="2"/>
    <x v="0"/>
    <x v="2"/>
    <s v="$"/>
    <n v="160000"/>
    <n v="160000"/>
    <n v="105.61056105610561"/>
    <m/>
    <m/>
    <s v="29"/>
    <s v="OPN-12206"/>
    <x v="0"/>
  </r>
  <r>
    <x v="69"/>
    <x v="406"/>
    <s v="Alambrado"/>
    <s v="Total"/>
    <x v="2"/>
    <x v="1"/>
    <x v="2"/>
    <s v="$"/>
    <n v="500000"/>
    <n v="500000"/>
    <n v="330.03300330033005"/>
    <m/>
    <m/>
    <s v="29"/>
    <s v="OPN-7517"/>
    <x v="0"/>
  </r>
  <r>
    <x v="56"/>
    <x v="128"/>
    <s v="Honorarios asesoría"/>
    <s v="Total"/>
    <x v="3"/>
    <x v="0"/>
    <x v="0"/>
    <s v="$"/>
    <n v="2200000"/>
    <n v="2200000"/>
    <n v="1452.1452145214521"/>
    <m/>
    <m/>
    <s v="32"/>
    <m/>
    <x v="2"/>
  </r>
  <r>
    <x v="70"/>
    <x v="507"/>
    <s v="Fletes campaña 2026"/>
    <s v="Total"/>
    <x v="0"/>
    <x v="1"/>
    <x v="2"/>
    <s v="$"/>
    <n v="656200"/>
    <n v="656200"/>
    <n v="433.13531353135312"/>
    <m/>
    <m/>
    <s v="31"/>
    <s v="OPN-7604"/>
    <x v="0"/>
  </r>
  <r>
    <x v="72"/>
    <x v="449"/>
    <s v="Pedido Casa Doctor"/>
    <s v="Total"/>
    <x v="2"/>
    <x v="0"/>
    <x v="2"/>
    <s v="$"/>
    <n v="26499.99"/>
    <n v="26499.99"/>
    <n v="17.491742574257426"/>
    <m/>
    <m/>
    <s v="30"/>
    <s v="OPN-12229"/>
    <x v="0"/>
  </r>
  <r>
    <x v="72"/>
    <x v="219"/>
    <s v="Combustible"/>
    <s v="Total"/>
    <x v="2"/>
    <x v="0"/>
    <x v="2"/>
    <s v="$"/>
    <n v="98520"/>
    <n v="98520"/>
    <n v="65.029702970297024"/>
    <m/>
    <m/>
    <s v="30"/>
    <s v="OPN-12239"/>
    <x v="0"/>
  </r>
  <r>
    <x v="56"/>
    <x v="129"/>
    <s v="Campaña 2025"/>
    <s v="Total"/>
    <x v="7"/>
    <x v="1"/>
    <x v="1"/>
    <s v="U$D"/>
    <n v="57969.24"/>
    <n v="87823398.599999994"/>
    <n v="57969.24"/>
    <m/>
    <m/>
    <s v="32"/>
    <m/>
    <x v="1"/>
  </r>
  <r>
    <x v="72"/>
    <x v="498"/>
    <s v="Glorificador con cenefa"/>
    <s v="Total"/>
    <x v="1"/>
    <x v="0"/>
    <x v="0"/>
    <s v="$"/>
    <n v="742083.31"/>
    <n v="742083.31"/>
    <n v="489.82396699669971"/>
    <m/>
    <m/>
    <s v="30"/>
    <s v="OPN-12222"/>
    <x v="0"/>
  </r>
  <r>
    <x v="72"/>
    <x v="498"/>
    <s v="Glorificador con cenefa"/>
    <s v="Total"/>
    <x v="1"/>
    <x v="0"/>
    <x v="0"/>
    <s v="$"/>
    <n v="7916.69"/>
    <n v="7916.69"/>
    <n v="5.2255379537953797"/>
    <s v="Retenciones"/>
    <m/>
    <s v="30"/>
    <s v="OPN-12222"/>
    <x v="0"/>
  </r>
  <r>
    <x v="56"/>
    <x v="132"/>
    <s v="Campaña 2025"/>
    <s v="Total"/>
    <x v="7"/>
    <x v="1"/>
    <x v="1"/>
    <s v="U$D"/>
    <n v="634"/>
    <n v="960510"/>
    <n v="634"/>
    <m/>
    <m/>
    <s v="32"/>
    <m/>
    <x v="1"/>
  </r>
  <r>
    <x v="68"/>
    <x v="499"/>
    <s v="Pedido Casa Doctor"/>
    <s v="Total"/>
    <x v="2"/>
    <x v="0"/>
    <x v="2"/>
    <s v="$"/>
    <n v="12900"/>
    <n v="12900"/>
    <n v="8.5148514851485153"/>
    <m/>
    <m/>
    <s v="28"/>
    <s v="OPN-12253"/>
    <x v="0"/>
  </r>
  <r>
    <x v="70"/>
    <x v="147"/>
    <s v="Pedido de limpieza "/>
    <s v="Total"/>
    <x v="2"/>
    <x v="0"/>
    <x v="2"/>
    <s v="$"/>
    <n v="162760"/>
    <n v="162760"/>
    <n v="107.43234323432343"/>
    <m/>
    <m/>
    <s v="31"/>
    <s v="OPN-12292"/>
    <x v="0"/>
  </r>
  <r>
    <x v="72"/>
    <x v="240"/>
    <s v="Combustible"/>
    <s v="Total"/>
    <x v="2"/>
    <x v="0"/>
    <x v="2"/>
    <s v="$"/>
    <n v="191006.89"/>
    <n v="191006.89"/>
    <n v="126.07715511551156"/>
    <m/>
    <m/>
    <s v="30"/>
    <s v="OPN-12252"/>
    <x v="0"/>
  </r>
  <r>
    <x v="56"/>
    <x v="528"/>
    <s v="Campaña 2026"/>
    <s v="Total"/>
    <x v="6"/>
    <x v="1"/>
    <x v="1"/>
    <s v="U$D"/>
    <n v="162"/>
    <n v="245430"/>
    <n v="162"/>
    <m/>
    <m/>
    <s v="32"/>
    <m/>
    <x v="1"/>
  </r>
  <r>
    <x v="56"/>
    <x v="146"/>
    <s v="Honorarios"/>
    <s v="Total"/>
    <x v="3"/>
    <x v="0"/>
    <x v="0"/>
    <s v="$"/>
    <n v="646653.1"/>
    <n v="646653.1"/>
    <n v="426.83372937293728"/>
    <m/>
    <m/>
    <s v="32"/>
    <m/>
    <x v="2"/>
  </r>
  <r>
    <x v="68"/>
    <x v="454"/>
    <s v="Campaña 2026"/>
    <s v="Total"/>
    <x v="4"/>
    <x v="1"/>
    <x v="1"/>
    <s v="$"/>
    <n v="2500000"/>
    <n v="2500000"/>
    <n v="1650.1650165016501"/>
    <m/>
    <d v="2026-07-28T00:00:00"/>
    <n v="31"/>
    <s v="OPN-7403"/>
    <x v="0"/>
  </r>
  <r>
    <x v="68"/>
    <x v="454"/>
    <s v="Campaña 2026"/>
    <s v="Total"/>
    <x v="4"/>
    <x v="1"/>
    <x v="1"/>
    <s v="$"/>
    <n v="2726733"/>
    <n v="2726733"/>
    <n v="1799.8237623762377"/>
    <m/>
    <d v="2026-08-31T00:00:00"/>
    <n v="36"/>
    <s v="OPN-7403"/>
    <x v="0"/>
  </r>
  <r>
    <x v="68"/>
    <x v="529"/>
    <s v="Campaña 2026"/>
    <s v="Total"/>
    <x v="4"/>
    <x v="1"/>
    <x v="1"/>
    <s v="$"/>
    <n v="2726733"/>
    <n v="2726733"/>
    <n v="1799.8237623762377"/>
    <m/>
    <d v="2026-09-02T00:00:00"/>
    <n v="36"/>
    <s v="OPN-7404"/>
    <x v="0"/>
  </r>
  <r>
    <x v="68"/>
    <x v="529"/>
    <s v="Campaña 2026"/>
    <s v="Total"/>
    <x v="4"/>
    <x v="1"/>
    <x v="1"/>
    <s v="$"/>
    <n v="2726733"/>
    <n v="2726733"/>
    <n v="1799.8237623762377"/>
    <m/>
    <d v="2026-08-25T00:00:00"/>
    <n v="35"/>
    <s v="OPN-7404"/>
    <x v="0"/>
  </r>
  <r>
    <x v="69"/>
    <x v="288"/>
    <s v="Campaña 2026"/>
    <s v="Total"/>
    <x v="4"/>
    <x v="1"/>
    <x v="1"/>
    <s v="$"/>
    <n v="144520"/>
    <n v="144520"/>
    <n v="95.39273927392739"/>
    <m/>
    <d v="2026-07-14T00:00:00"/>
    <n v="29"/>
    <s v="OPN-7473"/>
    <x v="0"/>
  </r>
  <r>
    <x v="69"/>
    <x v="288"/>
    <s v="Campaña 2026"/>
    <s v="Total"/>
    <x v="4"/>
    <x v="1"/>
    <x v="1"/>
    <s v="$"/>
    <n v="877697.8"/>
    <n v="877697.8"/>
    <n v="579.33848184818487"/>
    <m/>
    <d v="2026-07-04T00:00:00"/>
    <n v="27"/>
    <s v="OPN-7473"/>
    <x v="0"/>
  </r>
  <r>
    <x v="69"/>
    <x v="288"/>
    <s v="Campaña 2026"/>
    <s v="Total"/>
    <x v="4"/>
    <x v="1"/>
    <x v="1"/>
    <s v="$"/>
    <n v="930000"/>
    <n v="930000"/>
    <n v="613.86138613861385"/>
    <m/>
    <d v="2026-08-10T00:00:00"/>
    <n v="33"/>
    <s v="OPN-7473"/>
    <x v="0"/>
  </r>
  <r>
    <x v="69"/>
    <x v="288"/>
    <s v="Campaña 2026"/>
    <s v="Total"/>
    <x v="4"/>
    <x v="1"/>
    <x v="1"/>
    <s v="$"/>
    <n v="3400000"/>
    <n v="3400000"/>
    <n v="2244.2244224422443"/>
    <m/>
    <d v="2026-08-30T00:00:00"/>
    <n v="36"/>
    <s v="OPN-7473"/>
    <x v="0"/>
  </r>
  <r>
    <x v="69"/>
    <x v="288"/>
    <s v="Campaña 2026"/>
    <s v="Total"/>
    <x v="2"/>
    <x v="1"/>
    <x v="2"/>
    <s v="$"/>
    <n v="1000000"/>
    <n v="1000000"/>
    <n v="660.0660066006601"/>
    <m/>
    <m/>
    <s v="29"/>
    <s v="OPN-7515"/>
    <x v="0"/>
  </r>
  <r>
    <x v="65"/>
    <x v="414"/>
    <s v="Reposición de chueque sin fondos"/>
    <s v="Total"/>
    <x v="1"/>
    <x v="0"/>
    <x v="0"/>
    <s v="$"/>
    <n v="622566.77"/>
    <n v="622566.77"/>
    <n v="410.93516171617165"/>
    <m/>
    <m/>
    <s v="27"/>
    <s v="OPN-12088"/>
    <x v="0"/>
  </r>
  <r>
    <x v="65"/>
    <x v="393"/>
    <s v="Reposición de chueque sin fondos"/>
    <s v="Total"/>
    <x v="1"/>
    <x v="0"/>
    <x v="0"/>
    <s v="$"/>
    <n v="1223150"/>
    <n v="1223150"/>
    <n v="807.35973597359737"/>
    <m/>
    <m/>
    <s v="27"/>
    <s v="OPN-12089"/>
    <x v="0"/>
  </r>
  <r>
    <x v="65"/>
    <x v="398"/>
    <s v="Reposición de chueque sin fondos"/>
    <s v="Total"/>
    <x v="1"/>
    <x v="0"/>
    <x v="0"/>
    <s v="$"/>
    <n v="568023.04000000004"/>
    <n v="568023.04000000004"/>
    <n v="374.93269966996701"/>
    <m/>
    <m/>
    <s v="27"/>
    <s v="OPN-12090"/>
    <x v="0"/>
  </r>
  <r>
    <x v="65"/>
    <x v="400"/>
    <s v="Pedido Casa Doctor"/>
    <s v="Total"/>
    <x v="2"/>
    <x v="0"/>
    <x v="2"/>
    <s v="$"/>
    <n v="55400"/>
    <n v="55400"/>
    <n v="36.567656765676567"/>
    <m/>
    <m/>
    <s v="27"/>
    <s v="OPN-12059"/>
    <x v="0"/>
  </r>
  <r>
    <x v="65"/>
    <x v="530"/>
    <m/>
    <s v="Total"/>
    <x v="1"/>
    <x v="0"/>
    <x v="0"/>
    <s v="$"/>
    <n v="140000"/>
    <n v="140000"/>
    <n v="92.409240924092416"/>
    <m/>
    <m/>
    <s v="27"/>
    <s v="OPN-12114"/>
    <x v="0"/>
  </r>
  <r>
    <x v="65"/>
    <x v="531"/>
    <s v="Capaciotacion manupulación de alimentos"/>
    <s v="Total"/>
    <x v="1"/>
    <x v="0"/>
    <x v="0"/>
    <s v="$"/>
    <n v="180000"/>
    <n v="180000"/>
    <n v="118.81188118811882"/>
    <m/>
    <m/>
    <s v="27"/>
    <s v="OPN-12117"/>
    <x v="0"/>
  </r>
  <r>
    <x v="56"/>
    <x v="532"/>
    <s v="Varios - fletes - Urgencias"/>
    <s v="Total"/>
    <x v="2"/>
    <x v="0"/>
    <x v="2"/>
    <s v="$"/>
    <n v="250000"/>
    <n v="250000"/>
    <n v="165.01650165016503"/>
    <m/>
    <m/>
    <s v="32"/>
    <m/>
    <x v="2"/>
  </r>
  <r>
    <x v="72"/>
    <x v="242"/>
    <s v="Trabajo realizado"/>
    <s v="Total"/>
    <x v="2"/>
    <x v="1"/>
    <x v="2"/>
    <s v="$"/>
    <n v="500000"/>
    <n v="500000"/>
    <n v="330.03300330033005"/>
    <m/>
    <m/>
    <s v="30"/>
    <s v="OPN-7559"/>
    <x v="0"/>
  </r>
  <r>
    <x v="69"/>
    <x v="301"/>
    <s v="Anticipo flete campaña 2026"/>
    <s v="Total"/>
    <x v="2"/>
    <x v="1"/>
    <x v="1"/>
    <s v="$"/>
    <n v="802684"/>
    <n v="802684"/>
    <n v="529.82442244224421"/>
    <m/>
    <d v="2026-08-08T00:00:00"/>
    <n v="32"/>
    <s v="OPN-7480"/>
    <x v="0"/>
  </r>
  <r>
    <x v="69"/>
    <x v="301"/>
    <s v="Anticipo flete campaña 2026"/>
    <s v="Total"/>
    <x v="2"/>
    <x v="1"/>
    <x v="1"/>
    <s v="$"/>
    <n v="1200000"/>
    <n v="1200000"/>
    <n v="792.0792079207921"/>
    <m/>
    <d v="2026-08-12T00:00:00"/>
    <n v="33"/>
    <s v="OPN-7480"/>
    <x v="0"/>
  </r>
  <r>
    <x v="69"/>
    <x v="301"/>
    <s v="Anticipo flete campaña 2026"/>
    <s v="Total"/>
    <x v="2"/>
    <x v="1"/>
    <x v="1"/>
    <s v="$"/>
    <n v="2000000"/>
    <n v="2000000"/>
    <n v="1320.1320132013202"/>
    <m/>
    <d v="2026-08-11T00:00:00"/>
    <n v="33"/>
    <s v="OPN-7480"/>
    <x v="0"/>
  </r>
  <r>
    <x v="68"/>
    <x v="333"/>
    <s v="Combustible"/>
    <s v="Total"/>
    <x v="2"/>
    <x v="0"/>
    <x v="2"/>
    <s v="$"/>
    <n v="50000"/>
    <n v="50000"/>
    <n v="33.003300330033007"/>
    <m/>
    <m/>
    <s v="28"/>
    <s v="OPN-12121"/>
    <x v="0"/>
  </r>
  <r>
    <x v="70"/>
    <x v="533"/>
    <s v="Trabajo Casa L Herrera"/>
    <s v="Total"/>
    <x v="2"/>
    <x v="1"/>
    <x v="2"/>
    <s v="$"/>
    <n v="85000"/>
    <n v="85000"/>
    <n v="56.105610561056103"/>
    <m/>
    <m/>
    <s v="31"/>
    <s v="OPN-7569"/>
    <x v="0"/>
  </r>
  <r>
    <x v="56"/>
    <x v="154"/>
    <s v="Embalaje - Baldes "/>
    <s v="Total"/>
    <x v="0"/>
    <x v="0"/>
    <x v="1"/>
    <s v="$"/>
    <n v="0"/>
    <n v="0"/>
    <n v="0"/>
    <m/>
    <m/>
    <s v="32"/>
    <m/>
    <x v="1"/>
  </r>
  <r>
    <x v="68"/>
    <x v="333"/>
    <s v="Combustible"/>
    <s v="Total"/>
    <x v="2"/>
    <x v="0"/>
    <x v="2"/>
    <s v="$"/>
    <n v="80000"/>
    <n v="80000"/>
    <n v="52.805280528052805"/>
    <m/>
    <m/>
    <s v="28"/>
    <s v="OPN-12139"/>
    <x v="0"/>
  </r>
  <r>
    <x v="70"/>
    <x v="534"/>
    <s v="Compras casa Doctor"/>
    <s v="Total"/>
    <x v="2"/>
    <x v="0"/>
    <x v="2"/>
    <s v="$"/>
    <n v="45592"/>
    <n v="45592"/>
    <n v="30.093729372937293"/>
    <m/>
    <m/>
    <s v="31"/>
    <s v="OPN-12296"/>
    <x v="0"/>
  </r>
  <r>
    <x v="72"/>
    <x v="257"/>
    <s v="Compra de fertilizantes "/>
    <s v="Total"/>
    <x v="0"/>
    <x v="0"/>
    <x v="1"/>
    <s v="$"/>
    <n v="2618474.5299999998"/>
    <n v="2618474.5299999998"/>
    <n v="1728.36602640264"/>
    <m/>
    <d v="2026-09-08T00:00:00"/>
    <n v="37"/>
    <s v="OPN-12234"/>
    <x v="0"/>
  </r>
  <r>
    <x v="72"/>
    <x v="257"/>
    <s v="Compra de fertilizantes "/>
    <s v="Total"/>
    <x v="0"/>
    <x v="0"/>
    <x v="1"/>
    <s v="$"/>
    <n v="42913.2"/>
    <n v="42913.2"/>
    <n v="28.325544554455444"/>
    <s v="Retenciones"/>
    <m/>
    <s v="30"/>
    <s v="OPN-12234"/>
    <x v="0"/>
  </r>
  <r>
    <x v="56"/>
    <x v="535"/>
    <s v="Extension de filtros pozo nuevo"/>
    <s v="Total"/>
    <x v="0"/>
    <x v="0"/>
    <x v="1"/>
    <s v="$"/>
    <n v="9741680"/>
    <n v="9741680"/>
    <n v="6430.151815181518"/>
    <m/>
    <m/>
    <s v="32"/>
    <m/>
    <x v="1"/>
  </r>
  <r>
    <x v="72"/>
    <x v="406"/>
    <s v="Alambrado"/>
    <s v="Total"/>
    <x v="2"/>
    <x v="1"/>
    <x v="2"/>
    <s v="$"/>
    <n v="500000"/>
    <n v="500000"/>
    <n v="330.03300330033005"/>
    <m/>
    <m/>
    <s v="30"/>
    <s v="OPN-7558"/>
    <x v="0"/>
  </r>
  <r>
    <x v="68"/>
    <x v="340"/>
    <s v="Pimenton"/>
    <s v="Total"/>
    <x v="1"/>
    <x v="1"/>
    <x v="1"/>
    <s v="$"/>
    <n v="2726733"/>
    <n v="2726733"/>
    <n v="1799.8237623762377"/>
    <m/>
    <d v="2026-08-24T00:00:00"/>
    <n v="35"/>
    <s v="OPN-7409"/>
    <x v="0"/>
  </r>
  <r>
    <x v="68"/>
    <x v="340"/>
    <s v="Pimenton"/>
    <s v="Total"/>
    <x v="2"/>
    <x v="1"/>
    <x v="2"/>
    <s v="$"/>
    <n v="249167"/>
    <n v="249167"/>
    <n v="164.46666666666667"/>
    <m/>
    <m/>
    <s v="28"/>
    <s v="OPN-7409"/>
    <x v="0"/>
  </r>
  <r>
    <x v="69"/>
    <x v="454"/>
    <s v="Campaña 2026"/>
    <s v="Total"/>
    <x v="4"/>
    <x v="1"/>
    <x v="1"/>
    <s v="$"/>
    <n v="335749"/>
    <n v="335749"/>
    <n v="221.61650165016502"/>
    <m/>
    <d v="2026-06-25T00:00:00"/>
    <n v="26"/>
    <s v="OPN-7472"/>
    <x v="0"/>
  </r>
  <r>
    <x v="69"/>
    <x v="454"/>
    <s v="Campaña 2026"/>
    <s v="Total"/>
    <x v="4"/>
    <x v="1"/>
    <x v="1"/>
    <s v="$"/>
    <n v="1000000"/>
    <n v="1000000"/>
    <n v="660.0660066006601"/>
    <m/>
    <d v="2026-08-10T00:00:00"/>
    <n v="33"/>
    <s v="OPN-7472"/>
    <x v="0"/>
  </r>
  <r>
    <x v="68"/>
    <x v="355"/>
    <s v="Importación  "/>
    <s v="Total"/>
    <x v="0"/>
    <x v="0"/>
    <x v="1"/>
    <s v="$"/>
    <n v="2618473"/>
    <n v="2618473"/>
    <n v="1728.3650165016502"/>
    <m/>
    <d v="2026-08-03T00:00:00"/>
    <n v="32"/>
    <s v="OPN-12136"/>
    <x v="0"/>
  </r>
  <r>
    <x v="68"/>
    <x v="355"/>
    <s v="Importación  "/>
    <s v="Total"/>
    <x v="0"/>
    <x v="0"/>
    <x v="1"/>
    <s v="$"/>
    <n v="2618473"/>
    <n v="2618473"/>
    <n v="1728.3650165016502"/>
    <m/>
    <d v="2026-07-31T00:00:00"/>
    <n v="31"/>
    <s v="OPN-12136"/>
    <x v="0"/>
  </r>
  <r>
    <x v="68"/>
    <x v="355"/>
    <s v="Importación  "/>
    <s v="Total"/>
    <x v="0"/>
    <x v="0"/>
    <x v="1"/>
    <s v="$"/>
    <n v="85217.69"/>
    <n v="85217.69"/>
    <n v="56.249300330033002"/>
    <s v="Retenciones"/>
    <m/>
    <s v="28"/>
    <s v="OPN-12136"/>
    <x v="0"/>
  </r>
  <r>
    <x v="68"/>
    <x v="362"/>
    <s v="Sistema Synagro"/>
    <s v="Total"/>
    <x v="3"/>
    <x v="0"/>
    <x v="1"/>
    <s v="$"/>
    <n v="2218884.6"/>
    <n v="2218884.6"/>
    <n v="1464.6102970297031"/>
    <m/>
    <d v="2026-08-07T00:00:00"/>
    <n v="32"/>
    <s v="OPN-12131"/>
    <x v="0"/>
  </r>
  <r>
    <x v="68"/>
    <x v="362"/>
    <s v="Sistema Synagro"/>
    <s v="Total"/>
    <x v="3"/>
    <x v="0"/>
    <x v="1"/>
    <s v="$"/>
    <n v="35926.199999999997"/>
    <n v="35926.199999999997"/>
    <n v="23.713663366336633"/>
    <s v="Retenciones"/>
    <m/>
    <s v="28"/>
    <s v="OPN-12131"/>
    <x v="0"/>
  </r>
  <r>
    <x v="69"/>
    <x v="454"/>
    <s v="Campaña 2026"/>
    <s v="Total"/>
    <x v="4"/>
    <x v="1"/>
    <x v="1"/>
    <s v="$"/>
    <n v="550000"/>
    <n v="550000"/>
    <n v="363.03630363036302"/>
    <m/>
    <d v="2026-06-20T00:00:00"/>
    <n v="25"/>
    <s v="OPN-7472"/>
    <x v="0"/>
  </r>
  <r>
    <x v="56"/>
    <x v="157"/>
    <s v="Analisis - planta"/>
    <s v="Total"/>
    <x v="0"/>
    <x v="0"/>
    <x v="1"/>
    <s v="$"/>
    <n v="512979.5"/>
    <n v="512979.5"/>
    <n v="338.60033003300327"/>
    <m/>
    <m/>
    <s v="32"/>
    <m/>
    <x v="1"/>
  </r>
  <r>
    <x v="56"/>
    <x v="160"/>
    <s v="Embases "/>
    <s v="Total"/>
    <x v="0"/>
    <x v="0"/>
    <x v="1"/>
    <s v="$"/>
    <n v="0"/>
    <n v="0"/>
    <n v="0"/>
    <m/>
    <m/>
    <s v="32"/>
    <m/>
    <x v="1"/>
  </r>
  <r>
    <x v="69"/>
    <x v="454"/>
    <s v="Campaña 2026"/>
    <s v="Total"/>
    <x v="2"/>
    <x v="1"/>
    <x v="2"/>
    <s v="U$D"/>
    <n v="800"/>
    <n v="1212000"/>
    <n v="800"/>
    <m/>
    <m/>
    <s v="29"/>
    <s v="OPN-7510"/>
    <x v="0"/>
  </r>
  <r>
    <x v="69"/>
    <x v="536"/>
    <s v="Recapado 2 cubiertas - Campo"/>
    <s v="Total"/>
    <x v="1"/>
    <x v="1"/>
    <x v="1"/>
    <s v="$"/>
    <n v="600000"/>
    <n v="600000"/>
    <n v="396.03960396039605"/>
    <m/>
    <d v="2026-07-27T00:00:00"/>
    <n v="31"/>
    <s v="OPN-7279"/>
    <x v="0"/>
  </r>
  <r>
    <x v="69"/>
    <x v="536"/>
    <s v="Recapado 2 cubiertas - Campo"/>
    <s v="Total"/>
    <x v="2"/>
    <x v="1"/>
    <x v="2"/>
    <s v="$"/>
    <n v="60000"/>
    <n v="60000"/>
    <n v="39.603960396039604"/>
    <m/>
    <m/>
    <s v="29"/>
    <s v="OPN-7279"/>
    <x v="0"/>
  </r>
  <r>
    <x v="56"/>
    <x v="166"/>
    <s v="Fabricacion de tolvas"/>
    <s v="Total"/>
    <x v="0"/>
    <x v="1"/>
    <x v="1"/>
    <s v="$"/>
    <n v="162040"/>
    <n v="162040"/>
    <n v="106.95709570957095"/>
    <m/>
    <m/>
    <s v="32"/>
    <m/>
    <x v="1"/>
  </r>
  <r>
    <x v="69"/>
    <x v="529"/>
    <s v="Campaña 2026"/>
    <s v="Total"/>
    <x v="2"/>
    <x v="1"/>
    <x v="2"/>
    <s v="$"/>
    <n v="1000000"/>
    <n v="1000000"/>
    <n v="660.0660066006601"/>
    <m/>
    <m/>
    <s v="29"/>
    <s v="OPN-7513"/>
    <x v="0"/>
  </r>
  <r>
    <x v="69"/>
    <x v="529"/>
    <s v="Campaña 2026"/>
    <s v="Total"/>
    <x v="4"/>
    <x v="1"/>
    <x v="2"/>
    <s v="$"/>
    <n v="1500000"/>
    <n v="1500000"/>
    <n v="990.09900990099015"/>
    <m/>
    <d v="2026-08-05T00:00:00"/>
    <n v="32"/>
    <s v="OPN-7477"/>
    <x v="0"/>
  </r>
  <r>
    <x v="68"/>
    <x v="386"/>
    <s v="Cuenta corriente "/>
    <s v="Total"/>
    <x v="0"/>
    <x v="0"/>
    <x v="1"/>
    <s v="$"/>
    <n v="2618473"/>
    <n v="2618473"/>
    <n v="1728.3650165016502"/>
    <m/>
    <d v="2026-07-29T00:00:00"/>
    <n v="31"/>
    <s v="OPN-12135"/>
    <x v="0"/>
  </r>
  <r>
    <x v="68"/>
    <x v="386"/>
    <s v="Cuenta corriente "/>
    <s v="Total"/>
    <x v="0"/>
    <x v="0"/>
    <x v="1"/>
    <s v="$"/>
    <n v="47889.46"/>
    <n v="47889.46"/>
    <n v="31.610204620462046"/>
    <s v="Retenciones"/>
    <m/>
    <s v="28"/>
    <s v="OPN-12135"/>
    <x v="0"/>
  </r>
  <r>
    <x v="69"/>
    <x v="529"/>
    <s v="Campaña 2026"/>
    <s v="Total"/>
    <x v="4"/>
    <x v="1"/>
    <x v="2"/>
    <s v="$"/>
    <n v="2416500"/>
    <n v="2416500"/>
    <n v="1595.049504950495"/>
    <m/>
    <d v="2026-08-08T00:00:00"/>
    <n v="32"/>
    <s v="OPN-7477"/>
    <x v="0"/>
  </r>
  <r>
    <x v="70"/>
    <x v="172"/>
    <m/>
    <s v="Total"/>
    <x v="2"/>
    <x v="1"/>
    <x v="2"/>
    <s v="$"/>
    <n v="250000"/>
    <n v="250000"/>
    <n v="165.01650165016503"/>
    <m/>
    <m/>
    <s v="31"/>
    <s v="OPN-7584"/>
    <x v="0"/>
  </r>
  <r>
    <x v="70"/>
    <x v="537"/>
    <s v="Manguera sanitaria 1&quot;"/>
    <s v="Total"/>
    <x v="1"/>
    <x v="0"/>
    <x v="1"/>
    <s v="$"/>
    <n v="647508.4"/>
    <n v="647508.4"/>
    <n v="427.39828382838283"/>
    <m/>
    <d v="2026-08-12T00:00:00"/>
    <n v="33"/>
    <s v="OPN-12277"/>
    <x v="0"/>
  </r>
  <r>
    <x v="70"/>
    <x v="537"/>
    <s v="Manguera sanitaria 1&quot;"/>
    <s v="Total"/>
    <x v="1"/>
    <x v="0"/>
    <x v="1"/>
    <s v="$"/>
    <n v="6327.3"/>
    <n v="6327.3"/>
    <n v="4.1764356435643561"/>
    <s v="Retenciones"/>
    <m/>
    <s v="31"/>
    <s v="OPN-12277"/>
    <x v="0"/>
  </r>
  <r>
    <x v="68"/>
    <x v="390"/>
    <s v="Etiquetas aceitunas"/>
    <s v="Total"/>
    <x v="0"/>
    <x v="0"/>
    <x v="1"/>
    <s v="$"/>
    <n v="2618473"/>
    <n v="2618473"/>
    <n v="1728.3650165016502"/>
    <m/>
    <d v="2026-08-25T00:00:00"/>
    <n v="35"/>
    <s v="OPN-12138"/>
    <x v="0"/>
  </r>
  <r>
    <x v="68"/>
    <x v="390"/>
    <s v="Etiquetas aceitunas"/>
    <s v="Total"/>
    <x v="0"/>
    <x v="0"/>
    <x v="1"/>
    <s v="$"/>
    <n v="38800.550000000003"/>
    <n v="38800.550000000003"/>
    <n v="25.610924092409242"/>
    <s v="Retenciones"/>
    <m/>
    <s v="28"/>
    <s v="OPN-12138"/>
    <x v="0"/>
  </r>
  <r>
    <x v="68"/>
    <x v="538"/>
    <s v="Pedido Casa Doctor"/>
    <s v="Total"/>
    <x v="2"/>
    <x v="0"/>
    <x v="2"/>
    <s v="$"/>
    <n v="4800"/>
    <n v="4800"/>
    <n v="3.1683168316831685"/>
    <m/>
    <m/>
    <s v="28"/>
    <s v="OPN-12160"/>
    <x v="0"/>
  </r>
  <r>
    <x v="68"/>
    <x v="367"/>
    <s v="Repuestos de maquina"/>
    <s v="Total"/>
    <x v="0"/>
    <x v="0"/>
    <x v="1"/>
    <s v="$"/>
    <n v="2618473"/>
    <n v="2618473"/>
    <n v="1728.3650165016502"/>
    <m/>
    <d v="2026-07-27T00:00:00"/>
    <n v="31"/>
    <s v="OPN-12171"/>
    <x v="0"/>
  </r>
  <r>
    <x v="68"/>
    <x v="367"/>
    <s v="Repuestos de maquina"/>
    <s v="Total"/>
    <x v="0"/>
    <x v="0"/>
    <x v="1"/>
    <s v="$"/>
    <n v="1148379.3999999999"/>
    <n v="1148379.3999999999"/>
    <n v="758.00620462046197"/>
    <m/>
    <d v="2026-07-28T00:00:00"/>
    <n v="31"/>
    <s v="OPN-12171"/>
    <x v="0"/>
  </r>
  <r>
    <x v="68"/>
    <x v="367"/>
    <s v="Repuestos de maquina"/>
    <s v="Total"/>
    <x v="0"/>
    <x v="0"/>
    <x v="1"/>
    <s v="$"/>
    <n v="57782.02"/>
    <n v="57782.02"/>
    <n v="38.139947194719468"/>
    <s v="Retenciones"/>
    <m/>
    <s v="28"/>
    <s v="OPN-12171"/>
    <x v="0"/>
  </r>
  <r>
    <x v="68"/>
    <x v="295"/>
    <s v="Bidones TAU 240"/>
    <s v="Total"/>
    <x v="0"/>
    <x v="0"/>
    <x v="1"/>
    <s v="$"/>
    <n v="8918001.4299999997"/>
    <n v="8918001.4299999997"/>
    <n v="5886.4695907590758"/>
    <m/>
    <d v="2026-09-30T00:00:00"/>
    <n v="40"/>
    <s v="OPN-12169"/>
    <x v="0"/>
  </r>
  <r>
    <x v="68"/>
    <x v="295"/>
    <s v="Bidones TAU 240"/>
    <s v="Total"/>
    <x v="0"/>
    <x v="0"/>
    <x v="1"/>
    <s v="$"/>
    <n v="8918001.4399999995"/>
    <n v="8918001.4399999995"/>
    <n v="5886.4695973597354"/>
    <m/>
    <d v="2026-10-14T00:00:00"/>
    <n v="42"/>
    <s v="OPN-12169"/>
    <x v="0"/>
  </r>
  <r>
    <x v="68"/>
    <x v="295"/>
    <s v="Bidones TAU 240"/>
    <s v="Total"/>
    <x v="0"/>
    <x v="0"/>
    <x v="1"/>
    <s v="$"/>
    <n v="8918001.4299999997"/>
    <n v="8918001.4299999997"/>
    <n v="5886.4695907590758"/>
    <m/>
    <d v="2026-10-07T00:00:00"/>
    <n v="41"/>
    <s v="OPN-12169"/>
    <x v="0"/>
  </r>
  <r>
    <x v="68"/>
    <x v="295"/>
    <s v="Bidones TAU 240"/>
    <s v="Total"/>
    <x v="0"/>
    <x v="0"/>
    <x v="1"/>
    <s v="$"/>
    <n v="8918001.4299999997"/>
    <n v="8918001.4299999997"/>
    <n v="5886.4695907590758"/>
    <m/>
    <d v="2026-09-21T00:00:00"/>
    <n v="39"/>
    <s v="OPN-12169"/>
    <x v="0"/>
  </r>
  <r>
    <x v="68"/>
    <x v="295"/>
    <s v="Bidones TAU 240"/>
    <s v="Total"/>
    <x v="0"/>
    <x v="0"/>
    <x v="1"/>
    <s v="$"/>
    <n v="8918001.4299999997"/>
    <n v="8918001.4299999997"/>
    <n v="5886.4695907590758"/>
    <m/>
    <d v="2026-09-14T00:00:00"/>
    <n v="38"/>
    <s v="OPN-12169"/>
    <x v="0"/>
  </r>
  <r>
    <x v="68"/>
    <x v="295"/>
    <s v="Bidones TAU 240"/>
    <s v="Total"/>
    <x v="0"/>
    <x v="0"/>
    <x v="1"/>
    <s v="$"/>
    <n v="744604.49"/>
    <n v="744604.49"/>
    <n v="491.48811221122111"/>
    <s v="Retenciones"/>
    <m/>
    <s v="28"/>
    <s v="OPN-12169"/>
    <x v="0"/>
  </r>
  <r>
    <x v="68"/>
    <x v="269"/>
    <s v="Insumos embalaje"/>
    <s v="Total"/>
    <x v="1"/>
    <x v="0"/>
    <x v="1"/>
    <s v="$"/>
    <n v="230214.6"/>
    <n v="230214.6"/>
    <n v="151.95683168316833"/>
    <m/>
    <d v="2026-08-10T00:00:00"/>
    <n v="33"/>
    <s v="OPN-12172"/>
    <x v="0"/>
  </r>
  <r>
    <x v="69"/>
    <x v="333"/>
    <s v="Combustible"/>
    <s v="Total"/>
    <x v="2"/>
    <x v="0"/>
    <x v="2"/>
    <s v="$"/>
    <n v="161000.06"/>
    <n v="161000.06"/>
    <n v="106.27066666666667"/>
    <m/>
    <m/>
    <s v="29"/>
    <s v="OPN-12193"/>
    <x v="0"/>
  </r>
  <r>
    <x v="56"/>
    <x v="453"/>
    <s v="Combustible"/>
    <s v="Total"/>
    <x v="2"/>
    <x v="0"/>
    <x v="2"/>
    <s v="$"/>
    <n v="0"/>
    <n v="0"/>
    <n v="0"/>
    <m/>
    <m/>
    <s v="32"/>
    <m/>
    <x v="1"/>
  </r>
  <r>
    <x v="56"/>
    <x v="539"/>
    <s v="Exploración Pozo"/>
    <s v="Total"/>
    <x v="1"/>
    <x v="0"/>
    <x v="1"/>
    <s v="$"/>
    <n v="24175800"/>
    <n v="24175800"/>
    <n v="15957.623762376237"/>
    <m/>
    <m/>
    <s v="32"/>
    <m/>
    <x v="1"/>
  </r>
  <r>
    <x v="70"/>
    <x v="194"/>
    <s v="Analisis Ocratoxina - Pasas de Uva"/>
    <s v="Total"/>
    <x v="1"/>
    <x v="0"/>
    <x v="0"/>
    <s v="$"/>
    <n v="249734.48"/>
    <n v="249734.48"/>
    <n v="164.8412409240924"/>
    <m/>
    <m/>
    <s v="31"/>
    <s v="OPN-12273"/>
    <x v="0"/>
  </r>
  <r>
    <x v="72"/>
    <x v="288"/>
    <s v="Reposición de cheque rechazado"/>
    <s v="Total"/>
    <x v="2"/>
    <x v="1"/>
    <x v="2"/>
    <s v="$"/>
    <n v="2000000"/>
    <n v="2000000"/>
    <n v="1320.1320132013202"/>
    <m/>
    <m/>
    <s v="30"/>
    <s v="OPN-7528"/>
    <x v="0"/>
  </r>
  <r>
    <x v="72"/>
    <x v="288"/>
    <s v="Campaña 2026"/>
    <s v="Total"/>
    <x v="4"/>
    <x v="1"/>
    <x v="1"/>
    <s v="$"/>
    <n v="1349735"/>
    <n v="1349735"/>
    <n v="890.91419141914196"/>
    <m/>
    <d v="2026-08-12T00:00:00"/>
    <n v="33"/>
    <s v="OPN-7561"/>
    <x v="0"/>
  </r>
  <r>
    <x v="72"/>
    <x v="288"/>
    <s v="Reposición de cheque rechazado (Dev. Luciano H.)"/>
    <s v="Total"/>
    <x v="2"/>
    <x v="1"/>
    <x v="2"/>
    <s v="$"/>
    <n v="2000000"/>
    <n v="2000000"/>
    <n v="1320.1320132013202"/>
    <m/>
    <m/>
    <s v="30"/>
    <s v="OPN-7553"/>
    <x v="0"/>
  </r>
  <r>
    <x v="72"/>
    <x v="288"/>
    <s v="Reposición de cheque rechazado"/>
    <s v="Total"/>
    <x v="2"/>
    <x v="1"/>
    <x v="2"/>
    <s v="$"/>
    <n v="526500"/>
    <n v="526500"/>
    <n v="347.52475247524751"/>
    <m/>
    <m/>
    <s v="30"/>
    <s v="OPN-7554"/>
    <x v="0"/>
  </r>
  <r>
    <x v="70"/>
    <x v="194"/>
    <s v="Analisis Ocratoxina - Pasas de Uva"/>
    <s v="Total"/>
    <x v="1"/>
    <x v="0"/>
    <x v="0"/>
    <s v="$"/>
    <n v="2831.24"/>
    <n v="2831.24"/>
    <n v="1.8688052805280526"/>
    <s v="Retenciones"/>
    <m/>
    <s v="31"/>
    <s v="OPN-12273"/>
    <x v="0"/>
  </r>
  <r>
    <x v="56"/>
    <x v="184"/>
    <s v="Campaña 2025"/>
    <s v="Total"/>
    <x v="7"/>
    <x v="0"/>
    <x v="1"/>
    <s v="U$D"/>
    <n v="0"/>
    <n v="0"/>
    <n v="0"/>
    <m/>
    <m/>
    <s v="32"/>
    <m/>
    <x v="1"/>
  </r>
  <r>
    <x v="72"/>
    <x v="303"/>
    <s v="Tarimas usadas + Flete"/>
    <s v="Total"/>
    <x v="0"/>
    <x v="0"/>
    <x v="1"/>
    <s v="$"/>
    <n v="778583.39"/>
    <n v="778583.39"/>
    <n v="513.91642904290427"/>
    <m/>
    <d v="2026-08-28T00:00:00"/>
    <n v="35"/>
    <s v="OPN-12237"/>
    <x v="0"/>
  </r>
  <r>
    <x v="72"/>
    <x v="303"/>
    <s v="Tarimas usadas + Flete"/>
    <s v="Total"/>
    <x v="2"/>
    <x v="0"/>
    <x v="2"/>
    <s v="$"/>
    <n v="157243.72"/>
    <n v="157243.72"/>
    <n v="103.79123432343235"/>
    <m/>
    <m/>
    <s v="30"/>
    <s v="OPN-12237"/>
    <x v="0"/>
  </r>
  <r>
    <x v="72"/>
    <x v="303"/>
    <s v="Tarimas usadas + Flete"/>
    <s v="Total"/>
    <x v="0"/>
    <x v="0"/>
    <x v="1"/>
    <s v="$"/>
    <n v="11172.89"/>
    <n v="11172.89"/>
    <n v="7.3748448844884482"/>
    <m/>
    <m/>
    <s v="30"/>
    <s v="OPN-12237"/>
    <x v="0"/>
  </r>
  <r>
    <x v="56"/>
    <x v="190"/>
    <s v="Pozo finca 6"/>
    <s v="Total"/>
    <x v="0"/>
    <x v="0"/>
    <x v="1"/>
    <s v="U$D"/>
    <n v="67738.342610000007"/>
    <n v="102623589.05415002"/>
    <n v="67738.342610000007"/>
    <n v="67738.342606149337"/>
    <m/>
    <s v="32"/>
    <m/>
    <x v="2"/>
  </r>
  <r>
    <x v="69"/>
    <x v="503"/>
    <s v="Pedido Casa Doctor"/>
    <s v="Total"/>
    <x v="2"/>
    <x v="0"/>
    <x v="2"/>
    <s v="$"/>
    <n v="20000"/>
    <n v="20000"/>
    <n v="13.201320132013201"/>
    <m/>
    <m/>
    <s v="29"/>
    <s v="OPN-12190"/>
    <x v="0"/>
  </r>
  <r>
    <x v="56"/>
    <x v="198"/>
    <s v="Campaña 2025"/>
    <s v="Total"/>
    <x v="7"/>
    <x v="0"/>
    <x v="1"/>
    <s v="U$D"/>
    <n v="25354"/>
    <n v="38411310"/>
    <n v="25354"/>
    <m/>
    <m/>
    <s v="32"/>
    <m/>
    <x v="1"/>
  </r>
  <r>
    <x v="72"/>
    <x v="305"/>
    <s v="Compras campo"/>
    <s v="Total"/>
    <x v="0"/>
    <x v="0"/>
    <x v="1"/>
    <s v="$"/>
    <n v="987419.2"/>
    <n v="987419.2"/>
    <n v="651.7618481848184"/>
    <m/>
    <m/>
    <s v="30"/>
    <s v="OPN-12232"/>
    <x v="0"/>
  </r>
  <r>
    <x v="72"/>
    <x v="312"/>
    <s v="Insumos Campaña 2026"/>
    <s v="Total"/>
    <x v="0"/>
    <x v="0"/>
    <x v="1"/>
    <s v="$"/>
    <n v="5112965.3600000003"/>
    <n v="5112965.3600000003"/>
    <n v="3374.8946270627066"/>
    <m/>
    <d v="2026-08-29T00:00:00"/>
    <n v="35"/>
    <s v="OPN-12233"/>
    <x v="0"/>
  </r>
  <r>
    <x v="72"/>
    <x v="312"/>
    <s v="Insumos Campaña 2026"/>
    <s v="Total"/>
    <x v="0"/>
    <x v="0"/>
    <x v="1"/>
    <s v="$"/>
    <n v="97779.31"/>
    <n v="97779.31"/>
    <n v="64.54079867986799"/>
    <s v="Retenciones"/>
    <m/>
    <s v="30"/>
    <s v="OPN-12233"/>
    <x v="0"/>
  </r>
  <r>
    <x v="56"/>
    <x v="200"/>
    <s v="Equipos de sal"/>
    <s v="Total"/>
    <x v="0"/>
    <x v="0"/>
    <x v="1"/>
    <s v="$"/>
    <n v="21055900.829999998"/>
    <n v="21055900.829999998"/>
    <n v="13898.284376237623"/>
    <m/>
    <m/>
    <s v="32"/>
    <m/>
    <x v="1"/>
  </r>
  <r>
    <x v="56"/>
    <x v="201"/>
    <s v="Abril"/>
    <s v="Total"/>
    <x v="3"/>
    <x v="0"/>
    <x v="0"/>
    <s v="$"/>
    <n v="44019"/>
    <n v="44019"/>
    <n v="29.055445544554455"/>
    <m/>
    <m/>
    <s v="32"/>
    <m/>
    <x v="2"/>
  </r>
  <r>
    <x v="56"/>
    <x v="203"/>
    <s v="Etiquetas Vino"/>
    <s v="Total"/>
    <x v="0"/>
    <x v="0"/>
    <x v="1"/>
    <s v="$"/>
    <n v="3507894.19"/>
    <n v="3507894.19"/>
    <n v="2315.4417095709568"/>
    <m/>
    <m/>
    <s v="32"/>
    <m/>
    <x v="1"/>
  </r>
  <r>
    <x v="69"/>
    <x v="466"/>
    <s v="Trabajos según facturas 180/181/182"/>
    <s v="Total"/>
    <x v="2"/>
    <x v="0"/>
    <x v="2"/>
    <s v="$"/>
    <n v="335000"/>
    <n v="335000"/>
    <n v="221.12211221122112"/>
    <m/>
    <m/>
    <s v="29"/>
    <s v="OPN-12220"/>
    <x v="0"/>
  </r>
  <r>
    <x v="72"/>
    <x v="454"/>
    <s v="Campaña 2026"/>
    <s v="Total"/>
    <x v="2"/>
    <x v="1"/>
    <x v="2"/>
    <s v="$"/>
    <n v="500000"/>
    <n v="500000"/>
    <n v="330.03300330033005"/>
    <m/>
    <m/>
    <s v="30"/>
    <s v="OPN-7555"/>
    <x v="0"/>
  </r>
  <r>
    <x v="70"/>
    <x v="495"/>
    <s v="Combustible campo"/>
    <s v="Total"/>
    <x v="2"/>
    <x v="0"/>
    <x v="2"/>
    <s v="$"/>
    <n v="500000"/>
    <n v="500000"/>
    <n v="330.03300330033005"/>
    <m/>
    <m/>
    <s v="31"/>
    <s v="OPN-12279"/>
    <x v="0"/>
  </r>
  <r>
    <x v="72"/>
    <x v="529"/>
    <s v="Campaña 2026"/>
    <s v="Total"/>
    <x v="4"/>
    <x v="1"/>
    <x v="1"/>
    <s v="$"/>
    <n v="500000"/>
    <n v="500000"/>
    <n v="330.03300330033005"/>
    <m/>
    <m/>
    <s v="30"/>
    <s v="OPN-7556"/>
    <x v="0"/>
  </r>
  <r>
    <x v="70"/>
    <x v="495"/>
    <s v="Combustible campo"/>
    <s v="Total"/>
    <x v="2"/>
    <x v="0"/>
    <x v="2"/>
    <s v="$"/>
    <n v="11670.24"/>
    <n v="11670.24"/>
    <n v="7.7031287128712869"/>
    <s v="Retenciones"/>
    <m/>
    <s v="31"/>
    <s v="OPN-12279"/>
    <x v="0"/>
  </r>
  <r>
    <x v="69"/>
    <x v="445"/>
    <s v="Servicio de paqueteria Bs As Chilecito - De la cruz"/>
    <s v="Total"/>
    <x v="2"/>
    <x v="0"/>
    <x v="2"/>
    <s v="$"/>
    <n v="22000"/>
    <n v="22000"/>
    <n v="14.521452145214521"/>
    <m/>
    <m/>
    <s v="29"/>
    <s v="OPN-12195"/>
    <x v="0"/>
  </r>
  <r>
    <x v="56"/>
    <x v="464"/>
    <s v="Insumos campaña 2026"/>
    <s v="Total"/>
    <x v="0"/>
    <x v="0"/>
    <x v="1"/>
    <s v="U$D"/>
    <n v="3615.48"/>
    <n v="5477452.2000000002"/>
    <n v="3615.48"/>
    <s v="30/45/60 días"/>
    <m/>
    <s v="32"/>
    <m/>
    <x v="1"/>
  </r>
  <r>
    <x v="56"/>
    <x v="540"/>
    <s v="3 Motos Keller 150 Miracle"/>
    <s v="Total"/>
    <x v="1"/>
    <x v="0"/>
    <x v="1"/>
    <s v="$"/>
    <n v="8500000"/>
    <n v="8500000"/>
    <n v="5610.561056105611"/>
    <m/>
    <m/>
    <s v="32"/>
    <m/>
    <x v="2"/>
  </r>
  <r>
    <x v="70"/>
    <x v="437"/>
    <s v="Pedido Casa Doctor"/>
    <s v="Total"/>
    <x v="2"/>
    <x v="0"/>
    <x v="2"/>
    <s v="$"/>
    <n v="159844"/>
    <n v="159844"/>
    <n v="105.50759075907591"/>
    <m/>
    <m/>
    <s v="31"/>
    <s v="OPN-12265"/>
    <x v="0"/>
  </r>
  <r>
    <x v="70"/>
    <x v="451"/>
    <s v="Compras casa Doctor"/>
    <s v="Total"/>
    <x v="2"/>
    <x v="0"/>
    <x v="2"/>
    <s v="$"/>
    <n v="79135"/>
    <n v="79135"/>
    <n v="52.234323432343231"/>
    <m/>
    <m/>
    <s v="31"/>
    <s v="OPN-12300"/>
    <x v="0"/>
  </r>
  <r>
    <x v="70"/>
    <x v="498"/>
    <s v="Glorificador con cenefa"/>
    <s v="Total"/>
    <x v="1"/>
    <x v="0"/>
    <x v="0"/>
    <s v="$"/>
    <n v="775481.69"/>
    <n v="775481.69"/>
    <n v="511.86910231023097"/>
    <m/>
    <m/>
    <s v="31"/>
    <s v="OPN-12287"/>
    <x v="0"/>
  </r>
  <r>
    <x v="70"/>
    <x v="498"/>
    <s v="Glorificador con cenefa"/>
    <s v="Total"/>
    <x v="1"/>
    <x v="0"/>
    <x v="0"/>
    <s v="$"/>
    <n v="13033.31"/>
    <n v="13033.31"/>
    <n v="8.602844884488448"/>
    <s v="Retenciones"/>
    <m/>
    <s v="31"/>
    <s v="OPN-12287"/>
    <x v="0"/>
  </r>
  <r>
    <x v="56"/>
    <x v="449"/>
    <s v="Pedido Casa Doctor"/>
    <s v="Total"/>
    <x v="2"/>
    <x v="0"/>
    <x v="2"/>
    <s v="$"/>
    <n v="38800.01"/>
    <n v="38800.01"/>
    <n v="25.610567656765678"/>
    <m/>
    <m/>
    <s v="32"/>
    <s v="OPN-12307"/>
    <x v="0"/>
  </r>
  <r>
    <x v="69"/>
    <x v="541"/>
    <s v="Servicio de Hosting"/>
    <s v="Total"/>
    <x v="3"/>
    <x v="0"/>
    <x v="0"/>
    <s v="$"/>
    <n v="262437"/>
    <n v="262437"/>
    <n v="173.22574257425742"/>
    <m/>
    <m/>
    <s v="29"/>
    <s v="OPN-12183"/>
    <x v="0"/>
  </r>
  <r>
    <x v="69"/>
    <x v="400"/>
    <s v="Pedido Casa Doctor"/>
    <s v="Total"/>
    <x v="2"/>
    <x v="0"/>
    <x v="2"/>
    <s v="$"/>
    <n v="96100"/>
    <n v="96100"/>
    <n v="63.432343234323433"/>
    <m/>
    <m/>
    <s v="29"/>
    <s v="OPN-12198"/>
    <x v="0"/>
  </r>
  <r>
    <x v="69"/>
    <x v="542"/>
    <s v="Fletes"/>
    <s v="Total"/>
    <x v="1"/>
    <x v="0"/>
    <x v="1"/>
    <s v="$"/>
    <n v="1230000"/>
    <n v="1230000"/>
    <n v="811.88118811881191"/>
    <m/>
    <d v="2026-08-05T00:00:00"/>
    <n v="32"/>
    <s v="OPN-12217"/>
    <x v="0"/>
  </r>
  <r>
    <x v="69"/>
    <x v="542"/>
    <s v="Fletes"/>
    <s v="Total"/>
    <x v="2"/>
    <x v="0"/>
    <x v="1"/>
    <s v="$"/>
    <n v="202480"/>
    <n v="202480"/>
    <n v="133.65016501650166"/>
    <m/>
    <m/>
    <s v="29"/>
    <s v="OPN-12217"/>
    <x v="0"/>
  </r>
  <r>
    <x v="69"/>
    <x v="542"/>
    <s v="Fletes"/>
    <s v="Total"/>
    <x v="1"/>
    <x v="0"/>
    <x v="1"/>
    <s v="$"/>
    <n v="19520"/>
    <n v="19520"/>
    <n v="12.884488448844884"/>
    <s v="Retenciones"/>
    <m/>
    <s v="29"/>
    <s v="OPN-12217"/>
    <x v="0"/>
  </r>
  <r>
    <x v="69"/>
    <x v="86"/>
    <s v="Lubricantes"/>
    <s v="Total"/>
    <x v="1"/>
    <x v="0"/>
    <x v="1"/>
    <s v="$"/>
    <n v="1562981.2"/>
    <n v="1562981.2"/>
    <n v="1031.6707590759077"/>
    <m/>
    <d v="2026-09-01T00:00:00"/>
    <n v="36"/>
    <s v="OPN-12219"/>
    <x v="0"/>
  </r>
  <r>
    <x v="69"/>
    <x v="86"/>
    <s v="Lubricantes"/>
    <s v="Total"/>
    <x v="2"/>
    <x v="0"/>
    <x v="2"/>
    <s v="$"/>
    <n v="53626.3"/>
    <n v="53626.3"/>
    <n v="35.396897689768977"/>
    <m/>
    <m/>
    <s v="29"/>
    <s v="OPN-12219"/>
    <x v="0"/>
  </r>
  <r>
    <x v="69"/>
    <x v="86"/>
    <s v="Lubricantes"/>
    <s v="Total"/>
    <x v="1"/>
    <x v="0"/>
    <x v="1"/>
    <s v="$"/>
    <n v="23392.5"/>
    <n v="23392.5"/>
    <n v="15.440594059405941"/>
    <s v="Retenciones"/>
    <m/>
    <s v="29"/>
    <s v="OPN-12219"/>
    <x v="0"/>
  </r>
  <r>
    <x v="69"/>
    <x v="261"/>
    <s v="Talonarios R - Planta"/>
    <s v="Total"/>
    <x v="2"/>
    <x v="0"/>
    <x v="2"/>
    <s v="$"/>
    <n v="160000"/>
    <n v="160000"/>
    <n v="105.61056105610561"/>
    <m/>
    <m/>
    <s v="29"/>
    <s v="OPN-12206"/>
    <x v="0"/>
  </r>
  <r>
    <x v="69"/>
    <x v="148"/>
    <s v="Comida perros casa doctor"/>
    <s v="Total"/>
    <x v="2"/>
    <x v="0"/>
    <x v="2"/>
    <s v="$"/>
    <n v="565058.54"/>
    <n v="565058.54"/>
    <n v="372.97593399339934"/>
    <m/>
    <m/>
    <s v="29"/>
    <s v="OPN-12214"/>
    <x v="0"/>
  </r>
  <r>
    <x v="69"/>
    <x v="148"/>
    <s v="Comida perros casa doctor"/>
    <s v="Total"/>
    <x v="2"/>
    <x v="0"/>
    <x v="2"/>
    <s v="$"/>
    <n v="4941.49"/>
    <n v="4941.49"/>
    <n v="3.2617095709570956"/>
    <s v="Retenciones"/>
    <m/>
    <s v="29"/>
    <s v="OPN-12214"/>
    <x v="0"/>
  </r>
  <r>
    <x v="69"/>
    <x v="543"/>
    <s v="Flete Aceituna 2026 "/>
    <s v="Total"/>
    <x v="1"/>
    <x v="1"/>
    <x v="1"/>
    <s v="$"/>
    <n v="1200000"/>
    <n v="1200000"/>
    <n v="792.0792079207921"/>
    <m/>
    <m/>
    <s v="29"/>
    <s v="OPN-7519"/>
    <x v="0"/>
  </r>
  <r>
    <x v="69"/>
    <x v="543"/>
    <s v="Flete Aceituna 2026 "/>
    <s v="Total"/>
    <x v="1"/>
    <x v="1"/>
    <x v="1"/>
    <s v="$"/>
    <n v="2000000"/>
    <n v="2000000"/>
    <n v="1320.1320132013202"/>
    <m/>
    <m/>
    <s v="29"/>
    <s v="OPN-7519"/>
    <x v="0"/>
  </r>
  <r>
    <x v="56"/>
    <x v="449"/>
    <s v="Pedido Casa Doctor"/>
    <s v="Total"/>
    <x v="2"/>
    <x v="0"/>
    <x v="2"/>
    <s v="$"/>
    <n v="11600"/>
    <n v="11600"/>
    <n v="7.6567656765676571"/>
    <m/>
    <m/>
    <s v="32"/>
    <s v="OPN-12316"/>
    <x v="0"/>
  </r>
  <r>
    <x v="72"/>
    <x v="337"/>
    <s v="Insumos planta"/>
    <s v="Parcial"/>
    <x v="0"/>
    <x v="0"/>
    <x v="1"/>
    <s v="$"/>
    <n v="2618473"/>
    <n v="2618473"/>
    <n v="1728.3650165016502"/>
    <m/>
    <d v="2026-09-02T00:00:00"/>
    <n v="36"/>
    <s v="OPN-12235"/>
    <x v="0"/>
  </r>
  <r>
    <x v="72"/>
    <x v="337"/>
    <s v="Insumos planta"/>
    <s v="Parcial"/>
    <x v="0"/>
    <x v="0"/>
    <x v="1"/>
    <s v="$"/>
    <n v="47889.46"/>
    <n v="47889.46"/>
    <n v="31.610204620462046"/>
    <s v="Retenciones"/>
    <m/>
    <s v="30"/>
    <s v="OPN-12235"/>
    <x v="0"/>
  </r>
  <r>
    <x v="56"/>
    <x v="449"/>
    <s v="Pedido Casa Doctor"/>
    <s v="Total"/>
    <x v="2"/>
    <x v="0"/>
    <x v="2"/>
    <s v="$"/>
    <n v="6700"/>
    <n v="6700"/>
    <n v="4.4224422442244222"/>
    <m/>
    <m/>
    <s v="32"/>
    <s v="OPN-12315"/>
    <x v="0"/>
  </r>
  <r>
    <x v="70"/>
    <x v="242"/>
    <s v="Repacaiones varias bodega"/>
    <s v="Total"/>
    <x v="0"/>
    <x v="1"/>
    <x v="2"/>
    <s v="$"/>
    <n v="500000"/>
    <n v="500000"/>
    <n v="330.03300330033005"/>
    <m/>
    <m/>
    <s v="31"/>
    <s v="OPN-7607"/>
    <x v="0"/>
  </r>
  <r>
    <x v="56"/>
    <x v="219"/>
    <s v="Honorarios"/>
    <s v="Total"/>
    <x v="3"/>
    <x v="0"/>
    <x v="0"/>
    <s v="$"/>
    <n v="2597906.6"/>
    <n v="2597906.6"/>
    <n v="1714.7898349834984"/>
    <m/>
    <m/>
    <s v="32"/>
    <m/>
    <x v="2"/>
  </r>
  <r>
    <x v="56"/>
    <x v="544"/>
    <s v="Pago Selectora"/>
    <s v="Total"/>
    <x v="0"/>
    <x v="1"/>
    <x v="1"/>
    <s v="EUR"/>
    <n v="110845.98"/>
    <n v="196197384.59999999"/>
    <n v="129503.22415841583"/>
    <n v="110845.98"/>
    <m/>
    <s v="32"/>
    <m/>
    <x v="1"/>
  </r>
  <r>
    <x v="56"/>
    <x v="437"/>
    <s v="Pedido Casa Doctor"/>
    <s v="Total"/>
    <x v="2"/>
    <x v="0"/>
    <x v="2"/>
    <s v="$"/>
    <n v="142657"/>
    <n v="142657"/>
    <n v="94.163036303630363"/>
    <m/>
    <m/>
    <s v="32"/>
    <s v="OPN-12308"/>
    <x v="0"/>
  </r>
  <r>
    <x v="56"/>
    <x v="437"/>
    <s v="Pedido Casa Doctor"/>
    <s v="Total"/>
    <x v="2"/>
    <x v="0"/>
    <x v="2"/>
    <s v="$"/>
    <n v="143108"/>
    <n v="143108"/>
    <n v="94.460726072607258"/>
    <m/>
    <m/>
    <s v="32"/>
    <s v="OPN-12314"/>
    <x v="0"/>
  </r>
  <r>
    <x v="56"/>
    <x v="232"/>
    <s v="Honorarios profesionales"/>
    <s v="Total"/>
    <x v="3"/>
    <x v="0"/>
    <x v="0"/>
    <s v="$"/>
    <n v="796101"/>
    <n v="796101"/>
    <n v="525.47920792079208"/>
    <m/>
    <m/>
    <s v="32"/>
    <m/>
    <x v="2"/>
  </r>
  <r>
    <x v="72"/>
    <x v="387"/>
    <s v="Servicio de envios"/>
    <s v="Total"/>
    <x v="2"/>
    <x v="0"/>
    <x v="2"/>
    <s v="$"/>
    <n v="147462.04"/>
    <n v="147462.04"/>
    <n v="97.334679867986807"/>
    <m/>
    <m/>
    <s v="30"/>
    <s v="OPN-12238"/>
    <x v="0"/>
  </r>
  <r>
    <x v="56"/>
    <x v="232"/>
    <s v="Honorarios"/>
    <s v="Total"/>
    <x v="3"/>
    <x v="0"/>
    <x v="0"/>
    <s v="$"/>
    <n v="1041101"/>
    <n v="1041101"/>
    <n v="687.19537953795384"/>
    <m/>
    <m/>
    <s v="32"/>
    <m/>
    <x v="2"/>
  </r>
  <r>
    <x v="72"/>
    <x v="387"/>
    <s v="Servicio de envios"/>
    <s v="Total"/>
    <x v="0"/>
    <x v="0"/>
    <x v="1"/>
    <s v="$"/>
    <n v="2115786.48"/>
    <n v="2115786.48"/>
    <n v="1396.5587326732673"/>
    <m/>
    <d v="2026-08-29T00:00:00"/>
    <n v="35"/>
    <s v="OPN-12238"/>
    <x v="0"/>
  </r>
  <r>
    <x v="72"/>
    <x v="387"/>
    <s v="Servicio de envios"/>
    <s v="Total"/>
    <x v="0"/>
    <x v="0"/>
    <x v="1"/>
    <s v="$"/>
    <n v="36671.81"/>
    <n v="36671.81"/>
    <n v="24.205815181518151"/>
    <s v="Retenciones"/>
    <m/>
    <s v="30"/>
    <s v="OPN-12238"/>
    <x v="0"/>
  </r>
  <r>
    <x v="70"/>
    <x v="406"/>
    <s v="Alambrado"/>
    <s v="Total"/>
    <x v="0"/>
    <x v="1"/>
    <x v="2"/>
    <s v="$"/>
    <n v="500000"/>
    <n v="500000"/>
    <n v="330.03300330033005"/>
    <m/>
    <m/>
    <s v="31"/>
    <s v="OPN-7608"/>
    <x v="0"/>
  </r>
  <r>
    <x v="56"/>
    <x v="240"/>
    <s v="Combustible"/>
    <s v="Total"/>
    <x v="2"/>
    <x v="0"/>
    <x v="2"/>
    <s v="$"/>
    <n v="0"/>
    <n v="0"/>
    <n v="0"/>
    <m/>
    <m/>
    <s v="32"/>
    <m/>
    <x v="1"/>
  </r>
  <r>
    <x v="56"/>
    <x v="242"/>
    <s v="Service compresor Chino"/>
    <s v="Total"/>
    <x v="0"/>
    <x v="0"/>
    <x v="1"/>
    <s v="$"/>
    <n v="2300000"/>
    <n v="2300000"/>
    <n v="1518.1518151815183"/>
    <m/>
    <m/>
    <s v="32"/>
    <m/>
    <x v="1"/>
  </r>
  <r>
    <x v="72"/>
    <x v="545"/>
    <s v="Plantas de Nogal"/>
    <s v="Total"/>
    <x v="1"/>
    <x v="1"/>
    <x v="1"/>
    <s v="$"/>
    <n v="2500000"/>
    <n v="2500000"/>
    <n v="1650.1650165016501"/>
    <m/>
    <d v="2026-08-18T00:00:00"/>
    <n v="34"/>
    <s v="OPN-7526"/>
    <x v="0"/>
  </r>
  <r>
    <x v="72"/>
    <x v="545"/>
    <s v="Plantas de Nogal"/>
    <s v="Total"/>
    <x v="1"/>
    <x v="1"/>
    <x v="1"/>
    <s v="$"/>
    <n v="2726733"/>
    <n v="2726733"/>
    <n v="1799.8237623762377"/>
    <m/>
    <d v="2026-08-28T00:00:00"/>
    <n v="35"/>
    <s v="OPN-7526"/>
    <x v="0"/>
  </r>
  <r>
    <x v="72"/>
    <x v="400"/>
    <s v="Pedido Casa Doctor"/>
    <s v="Total"/>
    <x v="2"/>
    <x v="0"/>
    <x v="2"/>
    <s v="$"/>
    <n v="144000"/>
    <n v="144000"/>
    <n v="95.049504950495049"/>
    <m/>
    <m/>
    <s v="30"/>
    <s v="OPN-12230"/>
    <x v="0"/>
  </r>
  <r>
    <x v="72"/>
    <x v="400"/>
    <s v="Pedido Casa Doctor"/>
    <s v="Total"/>
    <x v="2"/>
    <x v="0"/>
    <x v="2"/>
    <s v="$"/>
    <n v="72600"/>
    <n v="72600"/>
    <n v="47.920792079207921"/>
    <m/>
    <m/>
    <s v="30"/>
    <s v="OPN-12240"/>
    <x v="0"/>
  </r>
  <r>
    <x v="72"/>
    <x v="40"/>
    <s v="Reparacion de Alternador - los Cerrillos"/>
    <s v="Total"/>
    <x v="1"/>
    <x v="0"/>
    <x v="1"/>
    <s v="$"/>
    <n v="153000"/>
    <n v="153000"/>
    <n v="100.99009900990099"/>
    <m/>
    <m/>
    <s v="30"/>
    <s v="OPN-12243"/>
    <x v="0"/>
  </r>
  <r>
    <x v="56"/>
    <x v="242"/>
    <s v="Reparación Tanque inox planta de aceite"/>
    <s v="Total"/>
    <x v="0"/>
    <x v="0"/>
    <x v="1"/>
    <s v="$"/>
    <n v="1700000"/>
    <n v="1700000"/>
    <n v="1122.1122112211222"/>
    <m/>
    <m/>
    <s v="32"/>
    <m/>
    <x v="1"/>
  </r>
  <r>
    <x v="70"/>
    <x v="273"/>
    <s v="Reparación Tractor  John Deere (caja) - Saldo"/>
    <s v="Total"/>
    <x v="0"/>
    <x v="1"/>
    <x v="2"/>
    <s v="$"/>
    <n v="924739"/>
    <n v="924739"/>
    <n v="610.38877887788783"/>
    <m/>
    <m/>
    <s v="31"/>
    <s v="OPN-7601"/>
    <x v="0"/>
  </r>
  <r>
    <x v="56"/>
    <x v="546"/>
    <s v="Saldo venta camioneta"/>
    <s v="Total"/>
    <x v="0"/>
    <x v="0"/>
    <x v="1"/>
    <s v="$"/>
    <n v="4528680.96"/>
    <n v="4528680.96"/>
    <n v="2989.2283564356435"/>
    <m/>
    <m/>
    <s v="32"/>
    <m/>
    <x v="1"/>
  </r>
  <r>
    <x v="56"/>
    <x v="405"/>
    <s v="Productos quimicos - pedido de campo"/>
    <s v="Total"/>
    <x v="0"/>
    <x v="0"/>
    <x v="1"/>
    <s v="$"/>
    <n v="1233360.3700000001"/>
    <n v="1233360.3700000001"/>
    <n v="814.09925412541259"/>
    <m/>
    <m/>
    <s v="32"/>
    <m/>
    <x v="1"/>
  </r>
  <r>
    <x v="72"/>
    <x v="543"/>
    <s v="Flete Fruta campaña 2026"/>
    <s v="Total"/>
    <x v="8"/>
    <x v="0"/>
    <x v="1"/>
    <s v="$"/>
    <n v="1328280"/>
    <n v="1328280"/>
    <n v="876.75247524752479"/>
    <m/>
    <d v="2026-08-12T00:00:00"/>
    <n v="33"/>
    <s v="OPN-7562"/>
    <x v="0"/>
  </r>
  <r>
    <x v="72"/>
    <x v="543"/>
    <s v="Flete Fruta campaña 2026"/>
    <s v="Total"/>
    <x v="2"/>
    <x v="0"/>
    <x v="2"/>
    <s v="$"/>
    <n v="171720"/>
    <n v="171720"/>
    <n v="113.34653465346534"/>
    <m/>
    <d v="2026-08-12T00:00:00"/>
    <n v="33"/>
    <s v="OPN-7562"/>
    <x v="0"/>
  </r>
  <r>
    <x v="72"/>
    <x v="483"/>
    <s v="Flete arbequina plana de aceite 2026"/>
    <s v="Total"/>
    <x v="2"/>
    <x v="1"/>
    <x v="2"/>
    <s v="$"/>
    <n v="380000"/>
    <n v="380000"/>
    <n v="250.82508250825083"/>
    <m/>
    <m/>
    <s v="30"/>
    <s v="OPN-7564"/>
    <x v="0"/>
  </r>
  <r>
    <x v="70"/>
    <x v="273"/>
    <s v="Reparación Tractor  John Deere (caja)"/>
    <s v="Total"/>
    <x v="0"/>
    <x v="1"/>
    <x v="1"/>
    <s v="$"/>
    <n v="631970"/>
    <n v="631970"/>
    <n v="417.14191419141912"/>
    <m/>
    <d v="2026-08-10T00:00:00"/>
    <n v="33"/>
    <s v="OPN-7566"/>
    <x v="0"/>
  </r>
  <r>
    <x v="70"/>
    <x v="273"/>
    <s v="Reparación Tractor  John Deere (caja)"/>
    <s v="Total"/>
    <x v="0"/>
    <x v="1"/>
    <x v="1"/>
    <s v="$"/>
    <n v="1081844"/>
    <n v="1081844"/>
    <n v="714.08844884488451"/>
    <m/>
    <d v="2026-08-16T00:00:00"/>
    <n v="34"/>
    <s v="OPN-7566"/>
    <x v="0"/>
  </r>
  <r>
    <x v="70"/>
    <x v="273"/>
    <s v="Reparación Tractor  John Deere (caja)"/>
    <s v="Total"/>
    <x v="0"/>
    <x v="1"/>
    <x v="1"/>
    <s v="$"/>
    <n v="1200000"/>
    <n v="1200000"/>
    <n v="792.0792079207921"/>
    <m/>
    <d v="2026-08-16T00:00:00"/>
    <n v="34"/>
    <s v="OPN-7566"/>
    <x v="0"/>
  </r>
  <r>
    <x v="70"/>
    <x v="273"/>
    <s v="Reparación Tractor  John Deere (caja)"/>
    <s v="Total"/>
    <x v="0"/>
    <x v="1"/>
    <x v="1"/>
    <s v="$"/>
    <n v="2500000"/>
    <n v="2500000"/>
    <n v="1650.1650165016501"/>
    <m/>
    <d v="2026-08-20T00:00:00"/>
    <n v="34"/>
    <s v="OPN-7566"/>
    <x v="0"/>
  </r>
  <r>
    <x v="70"/>
    <x v="273"/>
    <s v="Reparación Tractor  John Deere (caja)"/>
    <s v="Total"/>
    <x v="0"/>
    <x v="1"/>
    <x v="1"/>
    <s v="$"/>
    <n v="400997"/>
    <n v="400997"/>
    <n v="264.68448844884489"/>
    <m/>
    <d v="2026-09-30T00:00:00"/>
    <n v="40"/>
    <s v="OPN-7566"/>
    <x v="0"/>
  </r>
  <r>
    <x v="70"/>
    <x v="273"/>
    <s v="Reparación Tractor  John Deere (caja)"/>
    <s v="Total"/>
    <x v="0"/>
    <x v="1"/>
    <x v="1"/>
    <s v="$"/>
    <n v="2511450"/>
    <n v="2511450"/>
    <n v="1657.7227722772277"/>
    <m/>
    <d v="2026-08-27T00:00:00"/>
    <n v="35"/>
    <s v="OPN-7566"/>
    <x v="0"/>
  </r>
  <r>
    <x v="56"/>
    <x v="257"/>
    <s v="Compra de fertilizantes "/>
    <s v="Total"/>
    <x v="0"/>
    <x v="0"/>
    <x v="1"/>
    <s v="$"/>
    <n v="11694951.380000001"/>
    <n v="11694951.380000001"/>
    <n v="7719.4398547854789"/>
    <m/>
    <m/>
    <s v="32"/>
    <m/>
    <x v="1"/>
  </r>
  <r>
    <x v="56"/>
    <x v="406"/>
    <s v="Alambrado"/>
    <s v="Total"/>
    <x v="0"/>
    <x v="1"/>
    <x v="2"/>
    <s v="$"/>
    <n v="144000"/>
    <n v="144000"/>
    <n v="95.049504950495049"/>
    <m/>
    <m/>
    <s v="32"/>
    <m/>
    <x v="1"/>
  </r>
  <r>
    <x v="56"/>
    <x v="406"/>
    <s v="Alambrado"/>
    <s v="Total"/>
    <x v="0"/>
    <x v="1"/>
    <x v="2"/>
    <s v="$"/>
    <n v="500000"/>
    <n v="500000"/>
    <n v="330.03300330033005"/>
    <m/>
    <m/>
    <s v="32"/>
    <m/>
    <x v="2"/>
  </r>
  <r>
    <x v="56"/>
    <x v="542"/>
    <s v="Honorarios"/>
    <s v="Total"/>
    <x v="3"/>
    <x v="0"/>
    <x v="0"/>
    <s v="$"/>
    <n v="536000"/>
    <n v="536000"/>
    <n v="353.79537953795381"/>
    <m/>
    <m/>
    <s v="32"/>
    <m/>
    <x v="2"/>
  </r>
  <r>
    <x v="70"/>
    <x v="288"/>
    <s v="Campaña 2026"/>
    <s v="Total"/>
    <x v="6"/>
    <x v="1"/>
    <x v="2"/>
    <s v="$"/>
    <n v="2000000"/>
    <n v="2000000"/>
    <n v="1320.1320132013202"/>
    <m/>
    <m/>
    <s v="31"/>
    <s v="OPN-7603"/>
    <x v="0"/>
  </r>
  <r>
    <x v="56"/>
    <x v="273"/>
    <s v="Reparacion tractor NH"/>
    <s v="Total"/>
    <x v="0"/>
    <x v="1"/>
    <x v="1"/>
    <s v="$"/>
    <n v="4480000"/>
    <n v="4480000"/>
    <n v="2957.0957095709573"/>
    <m/>
    <m/>
    <s v="32"/>
    <m/>
    <x v="1"/>
  </r>
  <r>
    <x v="72"/>
    <x v="466"/>
    <s v="Trabajos según facturas 180/181/182"/>
    <s v="Total"/>
    <x v="2"/>
    <x v="0"/>
    <x v="2"/>
    <s v="$"/>
    <n v="300000"/>
    <n v="300000"/>
    <n v="198.01980198019803"/>
    <m/>
    <m/>
    <s v="30"/>
    <s v="OPN-12251"/>
    <x v="0"/>
  </r>
  <r>
    <x v="56"/>
    <x v="273"/>
    <s v="Coe"/>
    <s v="Total"/>
    <x v="0"/>
    <x v="1"/>
    <x v="1"/>
    <s v="$"/>
    <n v="380000"/>
    <n v="380000"/>
    <n v="250.82508250825083"/>
    <m/>
    <m/>
    <s v="32"/>
    <m/>
    <x v="1"/>
  </r>
  <r>
    <x v="70"/>
    <x v="462"/>
    <s v="Bobina para sobres - Saldo"/>
    <s v="Total"/>
    <x v="0"/>
    <x v="0"/>
    <x v="1"/>
    <s v="$"/>
    <n v="930079"/>
    <n v="930079"/>
    <n v="613.91353135313534"/>
    <m/>
    <d v="2026-08-28T00:00:00"/>
    <n v="35"/>
    <s v="OPN-12281"/>
    <x v="0"/>
  </r>
  <r>
    <x v="70"/>
    <x v="462"/>
    <s v="Bobina para sobres - Saldo"/>
    <s v="Total"/>
    <x v="0"/>
    <x v="0"/>
    <x v="0"/>
    <s v="$"/>
    <n v="81858.45"/>
    <n v="81858.45"/>
    <n v="54.031980198019802"/>
    <m/>
    <m/>
    <s v="31"/>
    <s v="OPN-12270"/>
    <x v="0"/>
  </r>
  <r>
    <x v="70"/>
    <x v="462"/>
    <s v="Bobina para sobres - Saldo"/>
    <s v="Total"/>
    <x v="0"/>
    <x v="0"/>
    <x v="1"/>
    <s v="$"/>
    <n v="12452.06"/>
    <n v="12452.06"/>
    <n v="8.2191815181518155"/>
    <s v="Retenciones"/>
    <m/>
    <s v="31"/>
    <s v="OPN-12281"/>
    <x v="0"/>
  </r>
  <r>
    <x v="56"/>
    <x v="273"/>
    <s v="Toyota blanca 2.8"/>
    <s v="Total"/>
    <x v="0"/>
    <x v="1"/>
    <x v="1"/>
    <s v="$"/>
    <n v="150000"/>
    <n v="150000"/>
    <n v="99.009900990099013"/>
    <m/>
    <m/>
    <s v="32"/>
    <m/>
    <x v="2"/>
  </r>
  <r>
    <x v="70"/>
    <x v="499"/>
    <s v="Compras casa Doctor"/>
    <s v="Total"/>
    <x v="2"/>
    <x v="0"/>
    <x v="2"/>
    <s v="$"/>
    <n v="28100"/>
    <n v="28100"/>
    <n v="18.547854785478549"/>
    <m/>
    <m/>
    <s v="31"/>
    <s v="OPN-12298"/>
    <x v="0"/>
  </r>
  <r>
    <x v="56"/>
    <x v="273"/>
    <s v="Toyota blanca 2.8"/>
    <s v="Total"/>
    <x v="0"/>
    <x v="1"/>
    <x v="1"/>
    <s v="$"/>
    <n v="280000"/>
    <n v="280000"/>
    <n v="184.81848184818483"/>
    <m/>
    <m/>
    <s v="32"/>
    <m/>
    <x v="1"/>
  </r>
  <r>
    <x v="56"/>
    <x v="278"/>
    <s v="Junta prensa EVONETA"/>
    <s v="Total"/>
    <x v="0"/>
    <x v="0"/>
    <x v="1"/>
    <s v="U$D"/>
    <n v="528.97"/>
    <n v="801389.55"/>
    <n v="528.97"/>
    <m/>
    <m/>
    <s v="32"/>
    <m/>
    <x v="1"/>
  </r>
  <r>
    <x v="56"/>
    <x v="279"/>
    <s v="Honorarios"/>
    <s v="Total"/>
    <x v="3"/>
    <x v="0"/>
    <x v="0"/>
    <s v="$"/>
    <n v="830000"/>
    <n v="830000"/>
    <n v="547.85478547854791"/>
    <m/>
    <m/>
    <s v="32"/>
    <m/>
    <x v="2"/>
  </r>
  <r>
    <x v="56"/>
    <x v="288"/>
    <s v="Campaña 2026"/>
    <s v="Total"/>
    <x v="6"/>
    <x v="1"/>
    <x v="1"/>
    <s v="U$D"/>
    <n v="259001.21052631579"/>
    <n v="392386833.94736844"/>
    <n v="259001.21052631582"/>
    <m/>
    <m/>
    <s v="32"/>
    <m/>
    <x v="1"/>
  </r>
  <r>
    <x v="70"/>
    <x v="454"/>
    <s v="Campaña 2026"/>
    <s v="Total"/>
    <x v="6"/>
    <x v="1"/>
    <x v="2"/>
    <s v="$"/>
    <n v="500000"/>
    <n v="500000"/>
    <n v="330.03300330033005"/>
    <m/>
    <m/>
    <s v="31"/>
    <s v="OPN-7606"/>
    <x v="0"/>
  </r>
  <r>
    <x v="70"/>
    <x v="547"/>
    <s v="Campaña 2026"/>
    <s v="Total"/>
    <x v="6"/>
    <x v="1"/>
    <x v="1"/>
    <s v="U$D"/>
    <n v="589"/>
    <n v="892335"/>
    <n v="589"/>
    <m/>
    <m/>
    <s v="31"/>
    <s v="OPN-7605"/>
    <x v="0"/>
  </r>
  <r>
    <x v="56"/>
    <x v="288"/>
    <s v="Campaña 2026"/>
    <s v="Total"/>
    <x v="6"/>
    <x v="1"/>
    <x v="2"/>
    <s v="$"/>
    <n v="3000000"/>
    <n v="3000000"/>
    <n v="1980.1980198019803"/>
    <m/>
    <m/>
    <s v="32"/>
    <m/>
    <x v="2"/>
  </r>
  <r>
    <x v="56"/>
    <x v="548"/>
    <s v="Servicio de ventas"/>
    <s v="Total"/>
    <x v="0"/>
    <x v="0"/>
    <x v="1"/>
    <s v="U$D"/>
    <n v="94719.85"/>
    <n v="143500572.75"/>
    <n v="94719.85"/>
    <m/>
    <m/>
    <s v="32"/>
    <m/>
    <x v="1"/>
  </r>
  <r>
    <x v="70"/>
    <x v="529"/>
    <s v="Campaña 2026"/>
    <s v="Total"/>
    <x v="6"/>
    <x v="1"/>
    <x v="2"/>
    <s v="$"/>
    <n v="500000"/>
    <n v="500000"/>
    <n v="330.03300330033005"/>
    <m/>
    <m/>
    <s v="31"/>
    <s v="OPN-7602"/>
    <x v="0"/>
  </r>
  <r>
    <x v="56"/>
    <x v="462"/>
    <s v="Pedido Ventas "/>
    <s v="Total"/>
    <x v="0"/>
    <x v="0"/>
    <x v="1"/>
    <s v="$"/>
    <n v="0"/>
    <n v="0"/>
    <n v="0"/>
    <m/>
    <m/>
    <s v="32"/>
    <m/>
    <x v="2"/>
  </r>
  <r>
    <x v="56"/>
    <x v="295"/>
    <s v="Bidones TAU 240"/>
    <s v="Parcial"/>
    <x v="0"/>
    <x v="0"/>
    <x v="1"/>
    <s v="U$D"/>
    <n v="219402.06"/>
    <n v="332394120.89999998"/>
    <n v="219402.06"/>
    <m/>
    <m/>
    <s v="32"/>
    <m/>
    <x v="1"/>
  </r>
  <r>
    <x v="56"/>
    <x v="303"/>
    <s v="Tarimas usadas + Flete"/>
    <s v="Total"/>
    <x v="0"/>
    <x v="0"/>
    <x v="1"/>
    <s v="$"/>
    <n v="67760"/>
    <n v="67760"/>
    <n v="44.726072607260726"/>
    <m/>
    <m/>
    <s v="32"/>
    <m/>
    <x v="2"/>
  </r>
  <r>
    <x v="56"/>
    <x v="304"/>
    <s v="Combustible"/>
    <s v="Total"/>
    <x v="2"/>
    <x v="0"/>
    <x v="2"/>
    <s v="$"/>
    <n v="90000"/>
    <n v="90000"/>
    <n v="59.405940594059409"/>
    <m/>
    <m/>
    <s v="32"/>
    <m/>
    <x v="1"/>
  </r>
  <r>
    <x v="56"/>
    <x v="312"/>
    <s v="Insumos Campaña 2026"/>
    <s v="Total"/>
    <x v="0"/>
    <x v="0"/>
    <x v="1"/>
    <s v="$"/>
    <n v="28485048.759999998"/>
    <n v="28485048.759999998"/>
    <n v="18802.012382838282"/>
    <m/>
    <m/>
    <s v="32"/>
    <m/>
    <x v="1"/>
  </r>
  <r>
    <x v="70"/>
    <x v="130"/>
    <s v=" Honorarios 6-2026"/>
    <s v="Total"/>
    <x v="3"/>
    <x v="0"/>
    <x v="0"/>
    <s v="$"/>
    <n v="170000"/>
    <n v="170000"/>
    <n v="112.21122112211221"/>
    <m/>
    <m/>
    <s v="31"/>
    <s v="OPN-12275"/>
    <x v="0"/>
  </r>
  <r>
    <x v="70"/>
    <x v="347"/>
    <s v="Alojamiento Coita Luis"/>
    <s v="Total"/>
    <x v="2"/>
    <x v="0"/>
    <x v="2"/>
    <s v="$"/>
    <n v="237376.46"/>
    <n v="237376.46"/>
    <n v="156.68413201320132"/>
    <m/>
    <m/>
    <s v="31"/>
    <s v="OPN-12294"/>
    <x v="0"/>
  </r>
  <r>
    <x v="70"/>
    <x v="347"/>
    <s v="Alojamiento Coita Luis"/>
    <s v="Total"/>
    <x v="2"/>
    <x v="0"/>
    <x v="2"/>
    <s v="$"/>
    <n v="2623.54"/>
    <n v="2623.54"/>
    <n v="1.7317095709570958"/>
    <s v="Retenciones"/>
    <m/>
    <s v="31"/>
    <s v="OPN-12294"/>
    <x v="0"/>
  </r>
  <r>
    <x v="56"/>
    <x v="454"/>
    <s v="Campaña 2026"/>
    <s v="Total"/>
    <x v="6"/>
    <x v="1"/>
    <x v="1"/>
    <s v="U$D"/>
    <n v="29384.052631578947"/>
    <n v="44516839.736842103"/>
    <n v="29384.052631578947"/>
    <m/>
    <m/>
    <s v="32"/>
    <m/>
    <x v="1"/>
  </r>
  <r>
    <x v="56"/>
    <x v="454"/>
    <s v="Campaña 2026"/>
    <s v="Total"/>
    <x v="6"/>
    <x v="1"/>
    <x v="2"/>
    <s v="$"/>
    <n v="1000000"/>
    <n v="1000000"/>
    <n v="660.0660066006601"/>
    <m/>
    <m/>
    <s v="32"/>
    <m/>
    <x v="2"/>
  </r>
  <r>
    <x v="56"/>
    <x v="529"/>
    <s v="Campaña 2026"/>
    <s v="Total"/>
    <x v="6"/>
    <x v="1"/>
    <x v="1"/>
    <s v="U$D"/>
    <n v="50481.052631578947"/>
    <n v="76478794.736842111"/>
    <n v="50481.052631578954"/>
    <m/>
    <m/>
    <s v="32"/>
    <m/>
    <x v="1"/>
  </r>
  <r>
    <x v="56"/>
    <x v="323"/>
    <s v="Pedido materiales montacarga Cava"/>
    <s v="Total"/>
    <x v="1"/>
    <x v="0"/>
    <x v="1"/>
    <s v="$"/>
    <n v="328883.05"/>
    <n v="328883.05"/>
    <n v="217.0845214521452"/>
    <m/>
    <d v="2026-09-03T00:00:00"/>
    <n v="36"/>
    <s v="OPN-12313"/>
    <x v="2"/>
  </r>
  <r>
    <x v="56"/>
    <x v="323"/>
    <s v="Pedido materiales montacarga Cava"/>
    <s v="Total"/>
    <x v="1"/>
    <x v="0"/>
    <x v="1"/>
    <s v="$"/>
    <n v="979.16"/>
    <n v="979.16"/>
    <n v="0.64631023102310226"/>
    <s v="Retenciones"/>
    <m/>
    <s v="32"/>
    <s v="OPN-12313"/>
    <x v="2"/>
  </r>
  <r>
    <x v="70"/>
    <x v="353"/>
    <s v="Honorarios"/>
    <s v="Total"/>
    <x v="3"/>
    <x v="0"/>
    <x v="0"/>
    <s v="$"/>
    <n v="1736307"/>
    <n v="1736307"/>
    <n v="1146.0772277227722"/>
    <m/>
    <m/>
    <s v="31"/>
    <s v="OPN-12286"/>
    <x v="0"/>
  </r>
  <r>
    <x v="70"/>
    <x v="503"/>
    <s v="Compras casa Doctor"/>
    <s v="Total"/>
    <x v="2"/>
    <x v="0"/>
    <x v="2"/>
    <s v="$"/>
    <n v="11300"/>
    <n v="11300"/>
    <n v="7.4587458745874589"/>
    <m/>
    <m/>
    <s v="31"/>
    <s v="OPN-12299"/>
    <x v="0"/>
  </r>
  <r>
    <x v="56"/>
    <x v="331"/>
    <s v="Pedido de Planta - E100"/>
    <s v="Total"/>
    <x v="0"/>
    <x v="0"/>
    <x v="1"/>
    <s v="$"/>
    <n v="607807.19999999995"/>
    <n v="607807.19999999995"/>
    <n v="401.1928712871287"/>
    <m/>
    <m/>
    <s v="32"/>
    <m/>
    <x v="2"/>
  </r>
  <r>
    <x v="56"/>
    <x v="333"/>
    <s v="Combustible"/>
    <s v="Total"/>
    <x v="2"/>
    <x v="0"/>
    <x v="2"/>
    <s v="$"/>
    <n v="50005"/>
    <n v="50005"/>
    <n v="33.006600660066006"/>
    <m/>
    <m/>
    <s v="32"/>
    <m/>
    <x v="2"/>
  </r>
  <r>
    <x v="56"/>
    <x v="337"/>
    <s v="Insumos planta"/>
    <s v="Parcial"/>
    <x v="0"/>
    <x v="0"/>
    <x v="1"/>
    <s v="$"/>
    <n v="23177334.449999999"/>
    <n v="23177334.449999999"/>
    <n v="15298.570594059405"/>
    <m/>
    <m/>
    <s v="32"/>
    <m/>
    <x v="1"/>
  </r>
  <r>
    <x v="56"/>
    <x v="340"/>
    <s v="Pimiento - insumos pasta"/>
    <s v="Total"/>
    <x v="0"/>
    <x v="1"/>
    <x v="1"/>
    <s v="$"/>
    <n v="5100000"/>
    <n v="5100000"/>
    <n v="3366.3366336633662"/>
    <m/>
    <m/>
    <s v="32"/>
    <m/>
    <x v="1"/>
  </r>
  <r>
    <x v="56"/>
    <x v="344"/>
    <m/>
    <s v="Total"/>
    <x v="3"/>
    <x v="0"/>
    <x v="0"/>
    <s v="$"/>
    <n v="0"/>
    <n v="0"/>
    <n v="0"/>
    <m/>
    <m/>
    <s v="32"/>
    <m/>
    <x v="2"/>
  </r>
  <r>
    <x v="56"/>
    <x v="349"/>
    <s v="Trabajos torneria"/>
    <s v="Total"/>
    <x v="1"/>
    <x v="0"/>
    <x v="1"/>
    <s v="$"/>
    <n v="5732316.5199999996"/>
    <n v="5732316.5199999996"/>
    <n v="3783.7072739273926"/>
    <m/>
    <d v="2026-09-17T00:00:00"/>
    <n v="38"/>
    <s v="OPN-12306"/>
    <x v="2"/>
  </r>
  <r>
    <x v="56"/>
    <x v="349"/>
    <s v="Trabajos torneria"/>
    <s v="Total"/>
    <x v="1"/>
    <x v="0"/>
    <x v="1"/>
    <s v="$"/>
    <n v="91786.16"/>
    <n v="91786.16"/>
    <n v="60.584924092409246"/>
    <s v="Retenciones"/>
    <m/>
    <s v="32"/>
    <s v="OPN-12306"/>
    <x v="2"/>
  </r>
  <r>
    <x v="56"/>
    <x v="349"/>
    <s v="Trabajos torneria"/>
    <s v="Total"/>
    <x v="0"/>
    <x v="0"/>
    <x v="0"/>
    <s v="$"/>
    <n v="671550"/>
    <n v="671550"/>
    <n v="443.26732673267327"/>
    <m/>
    <m/>
    <s v="32"/>
    <m/>
    <x v="2"/>
  </r>
  <r>
    <x v="56"/>
    <x v="353"/>
    <s v="Honorarios"/>
    <s v="Total"/>
    <x v="3"/>
    <x v="0"/>
    <x v="0"/>
    <s v="$"/>
    <n v="659148.5"/>
    <n v="659148.5"/>
    <n v="435.0815181518152"/>
    <m/>
    <m/>
    <s v="32"/>
    <m/>
    <x v="2"/>
  </r>
  <r>
    <x v="56"/>
    <x v="355"/>
    <s v="Importación  "/>
    <s v="Total"/>
    <x v="0"/>
    <x v="0"/>
    <x v="0"/>
    <s v="$"/>
    <n v="7180883.1900000004"/>
    <n v="7180883.1900000004"/>
    <n v="4739.856891089109"/>
    <m/>
    <m/>
    <s v="32"/>
    <m/>
    <x v="1"/>
  </r>
  <r>
    <x v="56"/>
    <x v="549"/>
    <s v="Servicion Medicos}"/>
    <s v="Total"/>
    <x v="3"/>
    <x v="0"/>
    <x v="0"/>
    <s v="$"/>
    <n v="235000"/>
    <n v="235000"/>
    <n v="155.11551155115512"/>
    <m/>
    <m/>
    <s v="32"/>
    <m/>
    <x v="2"/>
  </r>
  <r>
    <x v="70"/>
    <x v="477"/>
    <s v="Etiquetas para frascos 350gr"/>
    <s v="Total"/>
    <x v="1"/>
    <x v="0"/>
    <x v="0"/>
    <s v="$"/>
    <n v="1000000"/>
    <n v="1000000"/>
    <n v="660.0660066006601"/>
    <m/>
    <m/>
    <s v="31"/>
    <s v="OPN-12269"/>
    <x v="0"/>
  </r>
  <r>
    <x v="70"/>
    <x v="543"/>
    <s v="Fletes campaña 2026"/>
    <s v="Total"/>
    <x v="0"/>
    <x v="1"/>
    <x v="2"/>
    <s v="$"/>
    <n v="500000"/>
    <n v="500000"/>
    <n v="330.03300330033005"/>
    <m/>
    <m/>
    <s v="31"/>
    <s v="OPN-7600"/>
    <x v="0"/>
  </r>
  <r>
    <x v="70"/>
    <x v="400"/>
    <s v="Compras casa Doctor"/>
    <s v="Total"/>
    <x v="2"/>
    <x v="0"/>
    <x v="2"/>
    <s v="$"/>
    <n v="79200"/>
    <n v="79200"/>
    <n v="52.277227722772274"/>
    <m/>
    <m/>
    <s v="31"/>
    <s v="OPN-12274"/>
    <x v="0"/>
  </r>
  <r>
    <x v="70"/>
    <x v="400"/>
    <s v="Compras casa Doctor"/>
    <s v="Total"/>
    <x v="2"/>
    <x v="0"/>
    <x v="2"/>
    <s v="$"/>
    <n v="154200"/>
    <n v="154200"/>
    <n v="101.78217821782178"/>
    <m/>
    <m/>
    <s v="31"/>
    <s v="OPN-12284"/>
    <x v="0"/>
  </r>
  <r>
    <x v="56"/>
    <x v="362"/>
    <s v="Honorarios"/>
    <s v="Total"/>
    <x v="3"/>
    <x v="0"/>
    <x v="0"/>
    <s v="$"/>
    <n v="0"/>
    <n v="0"/>
    <n v="0"/>
    <m/>
    <m/>
    <s v="32"/>
    <m/>
    <x v="1"/>
  </r>
  <r>
    <x v="56"/>
    <x v="366"/>
    <s v="Pedido agroquimicos campo"/>
    <s v="Total"/>
    <x v="0"/>
    <x v="0"/>
    <x v="1"/>
    <s v="$"/>
    <n v="14654607.16"/>
    <n v="14654607.16"/>
    <n v="9673.0080264026401"/>
    <m/>
    <m/>
    <s v="32"/>
    <m/>
    <x v="1"/>
  </r>
  <r>
    <x v="56"/>
    <x v="367"/>
    <s v="Deuda Tecnica de Samuel Carrasco SAS - Operativa"/>
    <s v="Total"/>
    <x v="0"/>
    <x v="0"/>
    <x v="1"/>
    <s v="$"/>
    <n v="5684571.7300000004"/>
    <n v="5684571.7300000004"/>
    <n v="3752.1925610561061"/>
    <m/>
    <m/>
    <s v="32"/>
    <m/>
    <x v="1"/>
  </r>
  <r>
    <x v="56"/>
    <x v="367"/>
    <s v="Deuda Carrasco Samuel Vicente - Inoperativa"/>
    <s v="Total"/>
    <x v="0"/>
    <x v="0"/>
    <x v="1"/>
    <s v="$"/>
    <n v="3975955.88"/>
    <n v="3975955.88"/>
    <n v="2624.3933201320133"/>
    <m/>
    <m/>
    <s v="32"/>
    <m/>
    <x v="1"/>
  </r>
  <r>
    <x v="56"/>
    <x v="367"/>
    <s v="Reposición de cheque rechasado -Carrasco Samuel Vicente"/>
    <s v="Total"/>
    <x v="0"/>
    <x v="0"/>
    <x v="1"/>
    <s v="$"/>
    <n v="1524000"/>
    <n v="1524000"/>
    <n v="1005.940594059406"/>
    <m/>
    <m/>
    <s v="32"/>
    <m/>
    <x v="1"/>
  </r>
  <r>
    <x v="56"/>
    <x v="379"/>
    <s v="Campaña 2025"/>
    <s v="Total"/>
    <x v="7"/>
    <x v="0"/>
    <x v="1"/>
    <s v="U$D"/>
    <n v="24742"/>
    <n v="37484130"/>
    <n v="24742"/>
    <m/>
    <m/>
    <s v="32"/>
    <m/>
    <x v="1"/>
  </r>
  <r>
    <x v="56"/>
    <x v="386"/>
    <s v="Cuenta corriente "/>
    <s v="Total"/>
    <x v="0"/>
    <x v="0"/>
    <x v="1"/>
    <s v="$"/>
    <n v="0"/>
    <n v="0"/>
    <n v="0"/>
    <m/>
    <m/>
    <s v="32"/>
    <m/>
    <x v="1"/>
  </r>
  <r>
    <x v="56"/>
    <x v="387"/>
    <s v="Servicio de envios"/>
    <s v="Total"/>
    <x v="0"/>
    <x v="0"/>
    <x v="1"/>
    <s v="$"/>
    <n v="0"/>
    <n v="0"/>
    <n v="0"/>
    <m/>
    <m/>
    <s v="32"/>
    <m/>
    <x v="2"/>
  </r>
  <r>
    <x v="56"/>
    <x v="390"/>
    <s v="Etiquetas aceitunas"/>
    <s v="Total"/>
    <x v="0"/>
    <x v="0"/>
    <x v="1"/>
    <s v="$"/>
    <n v="5273758.2699999996"/>
    <n v="5273758.2699999996"/>
    <n v="3481.0285610561054"/>
    <m/>
    <m/>
    <s v="32"/>
    <m/>
    <x v="2"/>
  </r>
  <r>
    <x v="56"/>
    <x v="550"/>
    <s v="Construcción pozo negro casa L herrera"/>
    <s v="Total"/>
    <x v="2"/>
    <x v="1"/>
    <x v="2"/>
    <s v="$"/>
    <n v="1000000"/>
    <n v="1000000"/>
    <n v="660.0660066006601"/>
    <m/>
    <m/>
    <s v="32"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29005-436B-493D-B1A2-9EE4A70343B6}" name="TablaDinámica2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S3:X8" firstHeaderRow="0" firstDataRow="1" firstDataCol="4"/>
  <pivotFields count="16">
    <pivotField axis="axisRow" compact="0" outline="0" showAll="0">
      <items count="97">
        <item h="1" m="1" x="92"/>
        <item h="1" x="54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42"/>
        <item h="1" x="28"/>
        <item h="1" x="9"/>
        <item h="1" x="33"/>
        <item h="1" x="11"/>
        <item h="1" x="25"/>
        <item h="1" x="31"/>
        <item h="1" x="47"/>
        <item h="1" m="1" x="77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h="1" x="70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6">
        <item h="1" x="0"/>
        <item h="1" x="1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95"/>
      <x v="14"/>
      <x/>
      <x v="1"/>
    </i>
    <i r="2">
      <x v="1"/>
      <x v="1"/>
    </i>
    <i t="default" r="1">
      <x v="14"/>
    </i>
    <i t="default">
      <x v="95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4" firstHeaderRow="0" firstDataRow="1" firstDataCol="4"/>
  <pivotFields count="16">
    <pivotField axis="axisRow" compact="0" outline="0" showAll="0">
      <items count="97">
        <item h="1" m="1" x="92"/>
        <item h="1" x="54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42"/>
        <item h="1" x="28"/>
        <item h="1" x="9"/>
        <item h="1" x="33"/>
        <item h="1" x="11"/>
        <item h="1" x="25"/>
        <item h="1" x="31"/>
        <item h="1" x="47"/>
        <item h="1" m="1" x="77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x="70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16">
        <item h="1" m="1" x="14"/>
        <item x="0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h="1" x="1"/>
        <item t="default"/>
      </items>
    </pivotField>
  </pivotFields>
  <rowFields count="4">
    <field x="0"/>
    <field x="15"/>
    <field x="5"/>
    <field x="6"/>
  </rowFields>
  <rowItems count="11">
    <i>
      <x v="94"/>
      <x v="1"/>
      <x/>
      <x/>
    </i>
    <i r="3">
      <x v="1"/>
    </i>
    <i r="3">
      <x v="2"/>
    </i>
    <i t="blank" r="2">
      <x/>
    </i>
    <i r="2">
      <x v="1"/>
      <x/>
    </i>
    <i r="3">
      <x v="1"/>
    </i>
    <i t="blank" r="2">
      <x v="1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Q8" firstHeaderRow="0" firstDataRow="1" firstDataCol="4"/>
  <pivotFields count="16">
    <pivotField axis="axisRow" compact="0" outline="0" showAll="0">
      <items count="97">
        <item h="1" m="1" x="92"/>
        <item h="1" x="54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42"/>
        <item h="1" x="28"/>
        <item h="1" x="9"/>
        <item h="1" x="33"/>
        <item h="1" x="11"/>
        <item h="1" x="25"/>
        <item h="1" x="31"/>
        <item h="1" x="47"/>
        <item h="1" m="1" x="77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h="1" x="70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6">
        <item h="1" x="0"/>
        <item h="1" x="1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95"/>
      <x v="14"/>
      <x/>
      <x v="1"/>
    </i>
    <i r="2">
      <x v="1"/>
      <x v="1"/>
    </i>
    <i t="default" r="1">
      <x v="14"/>
    </i>
    <i t="default">
      <x v="95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10" firstHeaderRow="0" firstDataRow="1" firstDataCol="4"/>
  <pivotFields count="16">
    <pivotField axis="axisRow" compact="0" outline="0" showAll="0">
      <items count="97">
        <item h="1" m="1" x="92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7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x="70"/>
        <item h="1" x="56"/>
        <item t="default"/>
      </items>
    </pivotField>
    <pivotField axis="axisRow" compact="0" outline="0" showAll="0" sortType="descending">
      <items count="804">
        <item x="0"/>
        <item m="1" x="796"/>
        <item x="1"/>
        <item x="2"/>
        <item m="1" x="748"/>
        <item x="4"/>
        <item m="1" x="615"/>
        <item x="5"/>
        <item m="1" x="616"/>
        <item m="1" x="617"/>
        <item x="7"/>
        <item x="8"/>
        <item m="1" x="618"/>
        <item x="9"/>
        <item m="1" x="619"/>
        <item m="1" x="720"/>
        <item x="10"/>
        <item m="1" x="761"/>
        <item x="11"/>
        <item x="12"/>
        <item m="1" x="770"/>
        <item x="3"/>
        <item x="14"/>
        <item x="15"/>
        <item x="16"/>
        <item m="1" x="620"/>
        <item m="1" x="556"/>
        <item x="17"/>
        <item x="18"/>
        <item x="19"/>
        <item x="20"/>
        <item x="470"/>
        <item x="21"/>
        <item x="22"/>
        <item x="23"/>
        <item m="1" x="621"/>
        <item x="24"/>
        <item x="25"/>
        <item x="26"/>
        <item x="27"/>
        <item m="1" x="762"/>
        <item x="33"/>
        <item x="28"/>
        <item m="1" x="622"/>
        <item m="1" x="623"/>
        <item x="29"/>
        <item m="1" x="557"/>
        <item m="1" x="624"/>
        <item m="1" x="763"/>
        <item x="31"/>
        <item m="1" x="629"/>
        <item x="112"/>
        <item x="13"/>
        <item x="52"/>
        <item m="1" x="625"/>
        <item x="32"/>
        <item x="83"/>
        <item m="1" x="764"/>
        <item m="1" x="626"/>
        <item m="1" x="627"/>
        <item x="34"/>
        <item x="35"/>
        <item m="1" x="738"/>
        <item m="1" x="628"/>
        <item x="36"/>
        <item x="37"/>
        <item m="1" x="597"/>
        <item x="38"/>
        <item x="39"/>
        <item m="1" x="558"/>
        <item x="40"/>
        <item x="41"/>
        <item m="1" x="630"/>
        <item x="42"/>
        <item x="43"/>
        <item x="44"/>
        <item m="1" x="631"/>
        <item m="1" x="632"/>
        <item x="46"/>
        <item m="1" x="633"/>
        <item x="47"/>
        <item x="48"/>
        <item x="49"/>
        <item m="1" x="765"/>
        <item x="514"/>
        <item x="50"/>
        <item x="51"/>
        <item m="1" x="634"/>
        <item x="53"/>
        <item x="54"/>
        <item m="1" x="635"/>
        <item m="1" x="766"/>
        <item x="55"/>
        <item m="1" x="636"/>
        <item x="56"/>
        <item m="1" x="637"/>
        <item x="57"/>
        <item x="58"/>
        <item x="59"/>
        <item m="1" x="660"/>
        <item x="60"/>
        <item m="1" x="638"/>
        <item x="61"/>
        <item m="1" x="670"/>
        <item x="62"/>
        <item m="1" x="639"/>
        <item x="63"/>
        <item x="65"/>
        <item x="517"/>
        <item x="66"/>
        <item m="1" x="640"/>
        <item x="67"/>
        <item x="68"/>
        <item m="1" x="598"/>
        <item m="1" x="599"/>
        <item m="1" x="641"/>
        <item x="70"/>
        <item x="71"/>
        <item x="72"/>
        <item x="73"/>
        <item m="1" x="642"/>
        <item m="1" x="643"/>
        <item m="1" x="644"/>
        <item x="74"/>
        <item x="75"/>
        <item x="76"/>
        <item m="1" x="645"/>
        <item x="64"/>
        <item m="1" x="727"/>
        <item x="77"/>
        <item x="78"/>
        <item x="79"/>
        <item x="80"/>
        <item x="81"/>
        <item m="1" x="646"/>
        <item x="82"/>
        <item m="1" x="715"/>
        <item m="1" x="647"/>
        <item x="84"/>
        <item x="85"/>
        <item m="1" x="767"/>
        <item m="1" x="648"/>
        <item x="86"/>
        <item m="1" x="774"/>
        <item m="1" x="600"/>
        <item m="1" x="754"/>
        <item m="1" x="649"/>
        <item x="88"/>
        <item x="89"/>
        <item x="90"/>
        <item x="91"/>
        <item x="92"/>
        <item x="93"/>
        <item x="94"/>
        <item x="95"/>
        <item x="522"/>
        <item m="1" x="792"/>
        <item x="96"/>
        <item m="1" x="559"/>
        <item m="1" x="747"/>
        <item x="97"/>
        <item x="98"/>
        <item m="1" x="789"/>
        <item m="1" x="768"/>
        <item x="99"/>
        <item x="100"/>
        <item x="101"/>
        <item x="102"/>
        <item x="103"/>
        <item m="1" x="758"/>
        <item x="104"/>
        <item x="105"/>
        <item x="106"/>
        <item x="107"/>
        <item x="108"/>
        <item x="109"/>
        <item m="1" x="650"/>
        <item m="1" x="683"/>
        <item x="111"/>
        <item x="222"/>
        <item m="1" x="749"/>
        <item x="113"/>
        <item x="114"/>
        <item x="115"/>
        <item m="1" x="651"/>
        <item x="116"/>
        <item m="1" x="560"/>
        <item x="117"/>
        <item x="118"/>
        <item x="119"/>
        <item x="497"/>
        <item x="120"/>
        <item x="121"/>
        <item x="122"/>
        <item m="1" x="601"/>
        <item x="124"/>
        <item m="1" x="652"/>
        <item x="125"/>
        <item m="1" x="769"/>
        <item m="1" x="653"/>
        <item x="126"/>
        <item m="1" x="654"/>
        <item x="127"/>
        <item x="128"/>
        <item m="1" x="655"/>
        <item m="1" x="656"/>
        <item x="129"/>
        <item m="1" x="657"/>
        <item x="131"/>
        <item m="1" x="730"/>
        <item m="1" x="771"/>
        <item x="132"/>
        <item x="134"/>
        <item x="135"/>
        <item x="136"/>
        <item x="137"/>
        <item m="1" x="733"/>
        <item x="138"/>
        <item x="139"/>
        <item x="140"/>
        <item x="141"/>
        <item m="1" x="561"/>
        <item x="142"/>
        <item m="1" x="721"/>
        <item x="143"/>
        <item x="144"/>
        <item m="1" x="739"/>
        <item x="145"/>
        <item m="1" x="562"/>
        <item m="1" x="793"/>
        <item m="1" x="787"/>
        <item x="146"/>
        <item m="1" x="658"/>
        <item m="1" x="659"/>
        <item x="147"/>
        <item m="1" x="746"/>
        <item m="1" x="661"/>
        <item m="1" x="662"/>
        <item x="290"/>
        <item m="1" x="740"/>
        <item x="149"/>
        <item m="1" x="663"/>
        <item m="1" x="664"/>
        <item x="150"/>
        <item x="151"/>
        <item m="1" x="665"/>
        <item x="152"/>
        <item m="1" x="722"/>
        <item x="153"/>
        <item x="532"/>
        <item m="1" x="666"/>
        <item m="1" x="667"/>
        <item x="535"/>
        <item x="155"/>
        <item x="156"/>
        <item m="1" x="759"/>
        <item m="1" x="772"/>
        <item x="157"/>
        <item m="1" x="741"/>
        <item m="1" x="563"/>
        <item x="158"/>
        <item m="1" x="750"/>
        <item x="159"/>
        <item m="1" x="773"/>
        <item x="160"/>
        <item x="161"/>
        <item x="162"/>
        <item x="163"/>
        <item m="1" x="611"/>
        <item x="164"/>
        <item m="1" x="564"/>
        <item m="1" x="668"/>
        <item m="1" x="607"/>
        <item x="165"/>
        <item m="1" x="565"/>
        <item m="1" x="602"/>
        <item m="1" x="669"/>
        <item x="167"/>
        <item m="1" x="718"/>
        <item x="166"/>
        <item x="168"/>
        <item x="169"/>
        <item x="170"/>
        <item x="171"/>
        <item x="172"/>
        <item x="173"/>
        <item x="174"/>
        <item x="175"/>
        <item x="176"/>
        <item m="1" x="723"/>
        <item x="177"/>
        <item x="178"/>
        <item x="179"/>
        <item m="1" x="728"/>
        <item x="180"/>
        <item x="181"/>
        <item x="537"/>
        <item m="1" x="724"/>
        <item x="182"/>
        <item x="183"/>
        <item x="184"/>
        <item m="1" x="671"/>
        <item x="185"/>
        <item x="186"/>
        <item m="1" x="751"/>
        <item m="1" x="593"/>
        <item x="187"/>
        <item x="188"/>
        <item x="189"/>
        <item m="1" x="681"/>
        <item m="1" x="672"/>
        <item x="190"/>
        <item x="191"/>
        <item x="192"/>
        <item x="193"/>
        <item m="1" x="731"/>
        <item m="1" x="798"/>
        <item m="1" x="673"/>
        <item x="194"/>
        <item x="195"/>
        <item x="196"/>
        <item x="197"/>
        <item m="1" x="755"/>
        <item m="1" x="795"/>
        <item m="1" x="566"/>
        <item x="198"/>
        <item x="200"/>
        <item m="1" x="674"/>
        <item x="201"/>
        <item x="202"/>
        <item m="1" x="567"/>
        <item x="203"/>
        <item x="204"/>
        <item x="205"/>
        <item x="206"/>
        <item x="207"/>
        <item x="208"/>
        <item m="1" x="734"/>
        <item x="209"/>
        <item x="210"/>
        <item m="1" x="675"/>
        <item m="1" x="729"/>
        <item x="211"/>
        <item m="1" x="791"/>
        <item x="212"/>
        <item x="213"/>
        <item m="1" x="752"/>
        <item x="214"/>
        <item m="1" x="676"/>
        <item m="1" x="677"/>
        <item m="1" x="742"/>
        <item m="1" x="678"/>
        <item x="215"/>
        <item x="216"/>
        <item x="217"/>
        <item m="1" x="568"/>
        <item x="218"/>
        <item m="1" x="679"/>
        <item x="219"/>
        <item m="1" x="717"/>
        <item x="220"/>
        <item x="221"/>
        <item x="544"/>
        <item x="289"/>
        <item x="223"/>
        <item m="1" x="686"/>
        <item x="224"/>
        <item x="225"/>
        <item x="226"/>
        <item x="227"/>
        <item x="228"/>
        <item x="229"/>
        <item m="1" x="760"/>
        <item x="230"/>
        <item x="231"/>
        <item m="1" x="680"/>
        <item x="232"/>
        <item x="233"/>
        <item x="234"/>
        <item x="235"/>
        <item x="236"/>
        <item x="237"/>
        <item x="238"/>
        <item m="1" x="775"/>
        <item x="239"/>
        <item x="240"/>
        <item x="241"/>
        <item x="242"/>
        <item m="1" x="776"/>
        <item x="243"/>
        <item m="1" x="569"/>
        <item x="244"/>
        <item x="245"/>
        <item x="246"/>
        <item x="247"/>
        <item x="54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35"/>
        <item m="1" x="732"/>
        <item x="262"/>
        <item x="263"/>
        <item m="1" x="725"/>
        <item x="264"/>
        <item x="265"/>
        <item x="266"/>
        <item x="267"/>
        <item x="268"/>
        <item x="269"/>
        <item m="1" x="603"/>
        <item x="270"/>
        <item m="1" x="604"/>
        <item x="272"/>
        <item x="273"/>
        <item x="275"/>
        <item m="1" x="777"/>
        <item x="276"/>
        <item x="277"/>
        <item m="1" x="605"/>
        <item m="1" x="570"/>
        <item x="278"/>
        <item x="279"/>
        <item m="1" x="571"/>
        <item x="280"/>
        <item x="281"/>
        <item x="282"/>
        <item m="1" x="606"/>
        <item x="271"/>
        <item m="1" x="572"/>
        <item x="283"/>
        <item x="284"/>
        <item x="285"/>
        <item x="286"/>
        <item x="287"/>
        <item x="413"/>
        <item x="288"/>
        <item m="1" x="682"/>
        <item m="1" x="552"/>
        <item x="292"/>
        <item x="293"/>
        <item x="294"/>
        <item m="1" x="77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94"/>
        <item m="1" x="687"/>
        <item x="311"/>
        <item x="312"/>
        <item m="1" x="779"/>
        <item x="313"/>
        <item m="1" x="743"/>
        <item x="314"/>
        <item x="315"/>
        <item x="316"/>
        <item x="317"/>
        <item m="1" x="719"/>
        <item m="1" x="573"/>
        <item m="1" x="780"/>
        <item x="318"/>
        <item x="319"/>
        <item m="1" x="788"/>
        <item x="320"/>
        <item x="321"/>
        <item x="322"/>
        <item m="1" x="688"/>
        <item x="323"/>
        <item m="1" x="574"/>
        <item x="324"/>
        <item x="325"/>
        <item m="1" x="781"/>
        <item m="1" x="800"/>
        <item x="326"/>
        <item x="327"/>
        <item x="328"/>
        <item x="329"/>
        <item x="411"/>
        <item x="330"/>
        <item x="331"/>
        <item x="332"/>
        <item m="1" x="757"/>
        <item x="333"/>
        <item x="334"/>
        <item x="335"/>
        <item x="336"/>
        <item x="337"/>
        <item m="1" x="689"/>
        <item x="338"/>
        <item x="339"/>
        <item m="1" x="575"/>
        <item m="1" x="797"/>
        <item m="1" x="690"/>
        <item x="340"/>
        <item x="341"/>
        <item x="342"/>
        <item m="1" x="744"/>
        <item x="343"/>
        <item m="1" x="576"/>
        <item m="1" x="691"/>
        <item x="344"/>
        <item x="345"/>
        <item m="1" x="577"/>
        <item m="1" x="692"/>
        <item x="346"/>
        <item m="1" x="693"/>
        <item x="130"/>
        <item m="1" x="612"/>
        <item x="347"/>
        <item m="1" x="782"/>
        <item x="348"/>
        <item x="349"/>
        <item m="1" x="695"/>
        <item x="350"/>
        <item x="351"/>
        <item x="352"/>
        <item m="1" x="802"/>
        <item m="1" x="696"/>
        <item x="353"/>
        <item x="354"/>
        <item m="1" x="697"/>
        <item m="1" x="698"/>
        <item m="1" x="699"/>
        <item x="356"/>
        <item x="357"/>
        <item x="358"/>
        <item x="359"/>
        <item m="1" x="700"/>
        <item x="355"/>
        <item m="1" x="783"/>
        <item m="1" x="799"/>
        <item m="1" x="737"/>
        <item x="360"/>
        <item x="549"/>
        <item x="361"/>
        <item m="1" x="701"/>
        <item x="362"/>
        <item x="363"/>
        <item x="364"/>
        <item x="365"/>
        <item m="1" x="790"/>
        <item x="366"/>
        <item x="367"/>
        <item x="368"/>
        <item x="369"/>
        <item m="1" x="578"/>
        <item m="1" x="745"/>
        <item x="370"/>
        <item x="371"/>
        <item m="1" x="784"/>
        <item x="372"/>
        <item x="373"/>
        <item m="1" x="801"/>
        <item x="374"/>
        <item m="1" x="702"/>
        <item m="1" x="703"/>
        <item x="376"/>
        <item x="469"/>
        <item x="377"/>
        <item x="378"/>
        <item x="379"/>
        <item m="1" x="704"/>
        <item x="380"/>
        <item m="1" x="579"/>
        <item x="381"/>
        <item m="1" x="756"/>
        <item m="1" x="705"/>
        <item x="466"/>
        <item x="382"/>
        <item x="383"/>
        <item x="384"/>
        <item m="1" x="580"/>
        <item m="1" x="581"/>
        <item x="385"/>
        <item m="1" x="785"/>
        <item x="386"/>
        <item m="1" x="786"/>
        <item m="1" x="582"/>
        <item x="387"/>
        <item m="1" x="706"/>
        <item m="1" x="583"/>
        <item x="388"/>
        <item x="389"/>
        <item x="390"/>
        <item m="1" x="707"/>
        <item x="391"/>
        <item m="1" x="753"/>
        <item x="392"/>
        <item m="1" x="708"/>
        <item x="393"/>
        <item x="394"/>
        <item m="1" x="709"/>
        <item x="395"/>
        <item m="1" x="736"/>
        <item x="396"/>
        <item x="397"/>
        <item m="1" x="710"/>
        <item x="398"/>
        <item x="403"/>
        <item x="399"/>
        <item m="1" x="726"/>
        <item x="400"/>
        <item x="401"/>
        <item x="402"/>
        <item m="1" x="587"/>
        <item x="410"/>
        <item x="199"/>
        <item x="494"/>
        <item m="1" x="711"/>
        <item x="414"/>
        <item x="424"/>
        <item x="473"/>
        <item m="1" x="716"/>
        <item x="296"/>
        <item x="274"/>
        <item x="421"/>
        <item m="1" x="712"/>
        <item m="1" x="685"/>
        <item m="1" x="714"/>
        <item x="412"/>
        <item m="1" x="713"/>
        <item m="1" x="694"/>
        <item m="1" x="594"/>
        <item x="30"/>
        <item m="1" x="684"/>
        <item m="1" x="592"/>
        <item x="6"/>
        <item x="45"/>
        <item x="148"/>
        <item x="154"/>
        <item x="375"/>
        <item x="405"/>
        <item x="409"/>
        <item x="420"/>
        <item m="1" x="613"/>
        <item x="133"/>
        <item x="291"/>
        <item m="1" x="614"/>
        <item x="408"/>
        <item x="404"/>
        <item x="406"/>
        <item x="110"/>
        <item x="407"/>
        <item m="1" x="609"/>
        <item x="527"/>
        <item x="123"/>
        <item m="1" x="610"/>
        <item m="1" x="589"/>
        <item x="441"/>
        <item x="501"/>
        <item x="430"/>
        <item x="427"/>
        <item x="445"/>
        <item x="69"/>
        <item x="437"/>
        <item m="1" x="595"/>
        <item x="415"/>
        <item x="416"/>
        <item x="448"/>
        <item m="1" x="608"/>
        <item x="87"/>
        <item x="417"/>
        <item x="432"/>
        <item x="442"/>
        <item m="1" x="596"/>
        <item x="450"/>
        <item x="418"/>
        <item m="1" x="590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588"/>
        <item x="457"/>
        <item x="453"/>
        <item x="464"/>
        <item x="422"/>
        <item x="419"/>
        <item m="1" x="591"/>
        <item x="455"/>
        <item x="461"/>
        <item x="467"/>
        <item x="435"/>
        <item m="1" x="584"/>
        <item x="460"/>
        <item x="431"/>
        <item x="434"/>
        <item x="471"/>
        <item x="423"/>
        <item x="521"/>
        <item x="477"/>
        <item x="478"/>
        <item x="479"/>
        <item x="482"/>
        <item m="1" x="551"/>
        <item x="458"/>
        <item x="463"/>
        <item x="476"/>
        <item x="485"/>
        <item x="486"/>
        <item x="487"/>
        <item x="496"/>
        <item x="474"/>
        <item x="488"/>
        <item x="456"/>
        <item x="508"/>
        <item x="492"/>
        <item x="468"/>
        <item x="489"/>
        <item x="499"/>
        <item x="503"/>
        <item x="504"/>
        <item m="1" x="554"/>
        <item x="506"/>
        <item x="507"/>
        <item x="495"/>
        <item x="439"/>
        <item x="446"/>
        <item x="490"/>
        <item x="500"/>
        <item x="491"/>
        <item x="475"/>
        <item x="498"/>
        <item m="1" x="586"/>
        <item x="513"/>
        <item m="1" x="585"/>
        <item x="483"/>
        <item x="484"/>
        <item m="1" x="555"/>
        <item x="480"/>
        <item x="516"/>
        <item x="481"/>
        <item x="493"/>
        <item m="1" x="553"/>
        <item x="520"/>
        <item x="472"/>
        <item x="512"/>
        <item x="524"/>
        <item x="530"/>
        <item x="531"/>
        <item x="529"/>
        <item x="511"/>
        <item x="509"/>
        <item x="538"/>
        <item x="510"/>
        <item x="518"/>
        <item x="465"/>
        <item x="515"/>
        <item x="541"/>
        <item x="536"/>
        <item x="526"/>
        <item x="542"/>
        <item x="543"/>
        <item x="545"/>
        <item x="505"/>
        <item x="525"/>
        <item x="523"/>
        <item x="539"/>
        <item x="519"/>
        <item x="502"/>
        <item x="540"/>
        <item x="438"/>
        <item x="547"/>
        <item x="528"/>
        <item x="548"/>
        <item x="533"/>
        <item x="534"/>
        <item x="55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x="6"/>
        <item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4"/>
    <field x="5"/>
    <field x="1"/>
  </rowFields>
  <rowItems count="8">
    <i>
      <x v="94"/>
      <x v="18"/>
      <x v="1"/>
      <x v="447"/>
    </i>
    <i r="3">
      <x v="797"/>
    </i>
    <i r="3">
      <x v="775"/>
    </i>
    <i r="3">
      <x v="695"/>
    </i>
    <i t="default" r="2">
      <x v="1"/>
    </i>
    <i t="blank" r="2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5">
      <pivotArea outline="0" fieldPosition="0">
        <references count="1">
          <reference field="4294967294" count="1" selected="0">
            <x v="1"/>
          </reference>
        </references>
      </pivotArea>
    </format>
    <format dxfId="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6" firstHeaderRow="0" firstDataRow="1" firstDataCol="4"/>
  <pivotFields count="16">
    <pivotField axis="axisRow" compact="0" outline="0" showAll="0">
      <items count="97">
        <item h="1" m="1" x="92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7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x="70"/>
        <item h="1" x="56"/>
        <item t="default"/>
      </items>
    </pivotField>
    <pivotField axis="axisRow" compact="0" outline="0" showAll="0" sortType="descending">
      <items count="804">
        <item x="0"/>
        <item m="1" x="796"/>
        <item x="1"/>
        <item x="2"/>
        <item m="1" x="748"/>
        <item x="4"/>
        <item m="1" x="615"/>
        <item x="5"/>
        <item m="1" x="616"/>
        <item m="1" x="617"/>
        <item x="7"/>
        <item x="8"/>
        <item m="1" x="618"/>
        <item x="9"/>
        <item m="1" x="619"/>
        <item m="1" x="720"/>
        <item x="10"/>
        <item m="1" x="761"/>
        <item x="11"/>
        <item x="12"/>
        <item m="1" x="770"/>
        <item x="3"/>
        <item x="14"/>
        <item x="15"/>
        <item x="16"/>
        <item m="1" x="620"/>
        <item m="1" x="556"/>
        <item x="17"/>
        <item x="18"/>
        <item x="19"/>
        <item x="20"/>
        <item x="470"/>
        <item x="21"/>
        <item x="22"/>
        <item x="23"/>
        <item m="1" x="621"/>
        <item x="25"/>
        <item x="26"/>
        <item x="27"/>
        <item m="1" x="762"/>
        <item x="33"/>
        <item x="28"/>
        <item m="1" x="622"/>
        <item m="1" x="623"/>
        <item x="29"/>
        <item m="1" x="557"/>
        <item m="1" x="624"/>
        <item m="1" x="763"/>
        <item x="31"/>
        <item m="1" x="629"/>
        <item x="112"/>
        <item x="13"/>
        <item m="1" x="625"/>
        <item x="32"/>
        <item m="1" x="764"/>
        <item m="1" x="626"/>
        <item m="1" x="627"/>
        <item x="34"/>
        <item x="35"/>
        <item m="1" x="738"/>
        <item m="1" x="628"/>
        <item x="36"/>
        <item x="37"/>
        <item m="1" x="597"/>
        <item x="38"/>
        <item x="39"/>
        <item m="1" x="558"/>
        <item x="40"/>
        <item x="41"/>
        <item m="1" x="630"/>
        <item x="42"/>
        <item x="43"/>
        <item x="44"/>
        <item m="1" x="631"/>
        <item m="1" x="632"/>
        <item x="46"/>
        <item m="1" x="633"/>
        <item x="47"/>
        <item x="48"/>
        <item x="49"/>
        <item m="1" x="765"/>
        <item x="514"/>
        <item x="50"/>
        <item x="51"/>
        <item m="1" x="634"/>
        <item x="53"/>
        <item x="54"/>
        <item m="1" x="635"/>
        <item m="1" x="766"/>
        <item x="55"/>
        <item m="1" x="636"/>
        <item x="56"/>
        <item m="1" x="637"/>
        <item x="57"/>
        <item x="58"/>
        <item x="59"/>
        <item m="1" x="660"/>
        <item x="60"/>
        <item m="1" x="638"/>
        <item x="61"/>
        <item x="62"/>
        <item m="1" x="639"/>
        <item x="63"/>
        <item x="65"/>
        <item x="517"/>
        <item x="66"/>
        <item m="1" x="640"/>
        <item x="67"/>
        <item x="68"/>
        <item m="1" x="598"/>
        <item m="1" x="599"/>
        <item m="1" x="641"/>
        <item x="70"/>
        <item x="71"/>
        <item x="72"/>
        <item x="73"/>
        <item m="1" x="642"/>
        <item m="1" x="643"/>
        <item m="1" x="644"/>
        <item x="74"/>
        <item x="75"/>
        <item x="76"/>
        <item m="1" x="645"/>
        <item x="64"/>
        <item m="1" x="727"/>
        <item x="77"/>
        <item x="78"/>
        <item x="79"/>
        <item x="80"/>
        <item x="81"/>
        <item m="1" x="646"/>
        <item x="82"/>
        <item m="1" x="715"/>
        <item m="1" x="647"/>
        <item x="84"/>
        <item x="85"/>
        <item m="1" x="767"/>
        <item m="1" x="648"/>
        <item x="86"/>
        <item m="1" x="774"/>
        <item m="1" x="600"/>
        <item m="1" x="754"/>
        <item m="1" x="649"/>
        <item x="88"/>
        <item x="89"/>
        <item x="90"/>
        <item x="91"/>
        <item x="92"/>
        <item x="93"/>
        <item x="94"/>
        <item x="95"/>
        <item x="522"/>
        <item m="1" x="792"/>
        <item x="96"/>
        <item m="1" x="559"/>
        <item m="1" x="747"/>
        <item x="97"/>
        <item x="98"/>
        <item m="1" x="789"/>
        <item m="1" x="768"/>
        <item x="99"/>
        <item x="100"/>
        <item x="101"/>
        <item x="102"/>
        <item x="103"/>
        <item m="1" x="758"/>
        <item x="104"/>
        <item x="105"/>
        <item x="106"/>
        <item x="107"/>
        <item x="108"/>
        <item x="109"/>
        <item m="1" x="650"/>
        <item x="111"/>
        <item x="222"/>
        <item m="1" x="749"/>
        <item x="113"/>
        <item x="114"/>
        <item x="115"/>
        <item m="1" x="651"/>
        <item x="116"/>
        <item m="1" x="560"/>
        <item x="117"/>
        <item x="118"/>
        <item x="119"/>
        <item x="497"/>
        <item x="120"/>
        <item x="121"/>
        <item x="122"/>
        <item m="1" x="601"/>
        <item x="124"/>
        <item m="1" x="652"/>
        <item x="125"/>
        <item m="1" x="769"/>
        <item m="1" x="653"/>
        <item x="126"/>
        <item m="1" x="654"/>
        <item x="127"/>
        <item x="128"/>
        <item m="1" x="655"/>
        <item m="1" x="656"/>
        <item x="129"/>
        <item m="1" x="657"/>
        <item x="131"/>
        <item m="1" x="730"/>
        <item m="1" x="771"/>
        <item x="132"/>
        <item x="134"/>
        <item x="135"/>
        <item x="136"/>
        <item x="137"/>
        <item m="1" x="733"/>
        <item x="138"/>
        <item x="139"/>
        <item x="140"/>
        <item x="141"/>
        <item m="1" x="561"/>
        <item x="142"/>
        <item m="1" x="721"/>
        <item x="143"/>
        <item x="144"/>
        <item m="1" x="739"/>
        <item x="145"/>
        <item m="1" x="562"/>
        <item m="1" x="793"/>
        <item m="1" x="787"/>
        <item x="146"/>
        <item m="1" x="658"/>
        <item m="1" x="659"/>
        <item x="147"/>
        <item m="1" x="746"/>
        <item m="1" x="661"/>
        <item m="1" x="662"/>
        <item m="1" x="740"/>
        <item x="149"/>
        <item m="1" x="663"/>
        <item m="1" x="664"/>
        <item x="150"/>
        <item x="151"/>
        <item m="1" x="665"/>
        <item x="152"/>
        <item m="1" x="722"/>
        <item x="153"/>
        <item x="532"/>
        <item m="1" x="666"/>
        <item m="1" x="667"/>
        <item x="535"/>
        <item x="155"/>
        <item x="156"/>
        <item m="1" x="759"/>
        <item m="1" x="772"/>
        <item x="157"/>
        <item m="1" x="741"/>
        <item m="1" x="563"/>
        <item x="158"/>
        <item m="1" x="750"/>
        <item x="159"/>
        <item m="1" x="773"/>
        <item x="160"/>
        <item x="161"/>
        <item x="162"/>
        <item x="163"/>
        <item m="1" x="611"/>
        <item x="164"/>
        <item m="1" x="564"/>
        <item m="1" x="668"/>
        <item m="1" x="607"/>
        <item x="165"/>
        <item m="1" x="565"/>
        <item m="1" x="602"/>
        <item m="1" x="66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23"/>
        <item x="177"/>
        <item x="178"/>
        <item x="179"/>
        <item m="1" x="728"/>
        <item x="180"/>
        <item x="181"/>
        <item x="537"/>
        <item m="1" x="724"/>
        <item x="182"/>
        <item x="183"/>
        <item x="184"/>
        <item m="1" x="671"/>
        <item x="185"/>
        <item x="186"/>
        <item m="1" x="751"/>
        <item x="187"/>
        <item x="188"/>
        <item x="189"/>
        <item m="1" x="672"/>
        <item x="190"/>
        <item x="191"/>
        <item x="192"/>
        <item x="193"/>
        <item m="1" x="731"/>
        <item m="1" x="798"/>
        <item m="1" x="673"/>
        <item x="194"/>
        <item x="195"/>
        <item x="196"/>
        <item x="197"/>
        <item m="1" x="755"/>
        <item m="1" x="795"/>
        <item m="1" x="566"/>
        <item x="198"/>
        <item x="200"/>
        <item m="1" x="674"/>
        <item x="201"/>
        <item x="202"/>
        <item m="1" x="567"/>
        <item x="203"/>
        <item x="204"/>
        <item x="205"/>
        <item x="206"/>
        <item x="207"/>
        <item x="208"/>
        <item m="1" x="734"/>
        <item x="209"/>
        <item x="210"/>
        <item m="1" x="675"/>
        <item m="1" x="729"/>
        <item x="211"/>
        <item m="1" x="791"/>
        <item x="212"/>
        <item x="213"/>
        <item m="1" x="752"/>
        <item x="214"/>
        <item m="1" x="676"/>
        <item m="1" x="677"/>
        <item m="1" x="742"/>
        <item m="1" x="678"/>
        <item x="215"/>
        <item x="216"/>
        <item x="217"/>
        <item m="1" x="568"/>
        <item x="218"/>
        <item m="1" x="679"/>
        <item x="219"/>
        <item m="1" x="717"/>
        <item x="220"/>
        <item x="221"/>
        <item x="544"/>
        <item x="289"/>
        <item x="223"/>
        <item m="1" x="686"/>
        <item x="224"/>
        <item x="225"/>
        <item x="226"/>
        <item x="227"/>
        <item x="228"/>
        <item x="229"/>
        <item m="1" x="760"/>
        <item x="230"/>
        <item x="231"/>
        <item m="1" x="680"/>
        <item x="232"/>
        <item x="233"/>
        <item x="234"/>
        <item x="235"/>
        <item x="236"/>
        <item x="237"/>
        <item x="238"/>
        <item m="1" x="775"/>
        <item x="239"/>
        <item x="240"/>
        <item x="241"/>
        <item x="242"/>
        <item m="1" x="776"/>
        <item x="243"/>
        <item m="1" x="569"/>
        <item x="244"/>
        <item x="245"/>
        <item x="246"/>
        <item x="247"/>
        <item x="54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35"/>
        <item m="1" x="732"/>
        <item x="262"/>
        <item x="263"/>
        <item m="1" x="725"/>
        <item x="264"/>
        <item x="265"/>
        <item x="266"/>
        <item x="267"/>
        <item x="268"/>
        <item x="269"/>
        <item m="1" x="603"/>
        <item x="270"/>
        <item m="1" x="604"/>
        <item x="272"/>
        <item x="273"/>
        <item x="275"/>
        <item m="1" x="777"/>
        <item x="276"/>
        <item x="277"/>
        <item m="1" x="605"/>
        <item m="1" x="570"/>
        <item x="278"/>
        <item x="279"/>
        <item m="1" x="571"/>
        <item x="280"/>
        <item x="281"/>
        <item x="282"/>
        <item m="1" x="606"/>
        <item x="271"/>
        <item m="1" x="572"/>
        <item x="283"/>
        <item x="284"/>
        <item x="285"/>
        <item x="286"/>
        <item x="287"/>
        <item x="413"/>
        <item x="288"/>
        <item m="1" x="682"/>
        <item m="1" x="552"/>
        <item x="292"/>
        <item x="293"/>
        <item x="294"/>
        <item m="1" x="77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94"/>
        <item m="1" x="687"/>
        <item x="311"/>
        <item x="312"/>
        <item m="1" x="779"/>
        <item x="313"/>
        <item m="1" x="743"/>
        <item x="314"/>
        <item x="315"/>
        <item x="316"/>
        <item x="317"/>
        <item m="1" x="719"/>
        <item m="1" x="573"/>
        <item m="1" x="780"/>
        <item x="318"/>
        <item x="319"/>
        <item m="1" x="788"/>
        <item x="320"/>
        <item x="321"/>
        <item x="322"/>
        <item m="1" x="688"/>
        <item x="323"/>
        <item m="1" x="574"/>
        <item x="324"/>
        <item x="325"/>
        <item m="1" x="781"/>
        <item m="1" x="800"/>
        <item x="326"/>
        <item x="327"/>
        <item x="328"/>
        <item x="329"/>
        <item x="330"/>
        <item x="331"/>
        <item x="332"/>
        <item m="1" x="757"/>
        <item x="333"/>
        <item x="334"/>
        <item x="335"/>
        <item x="336"/>
        <item x="337"/>
        <item m="1" x="689"/>
        <item x="338"/>
        <item x="339"/>
        <item m="1" x="575"/>
        <item m="1" x="797"/>
        <item m="1" x="690"/>
        <item x="340"/>
        <item x="341"/>
        <item x="342"/>
        <item m="1" x="744"/>
        <item x="343"/>
        <item m="1" x="576"/>
        <item m="1" x="691"/>
        <item x="344"/>
        <item x="345"/>
        <item m="1" x="577"/>
        <item m="1" x="692"/>
        <item x="346"/>
        <item m="1" x="693"/>
        <item x="130"/>
        <item m="1" x="612"/>
        <item x="347"/>
        <item m="1" x="782"/>
        <item x="348"/>
        <item x="349"/>
        <item m="1" x="695"/>
        <item x="350"/>
        <item x="351"/>
        <item x="352"/>
        <item m="1" x="802"/>
        <item m="1" x="696"/>
        <item x="353"/>
        <item x="354"/>
        <item m="1" x="697"/>
        <item m="1" x="698"/>
        <item m="1" x="699"/>
        <item x="356"/>
        <item x="357"/>
        <item x="358"/>
        <item x="359"/>
        <item m="1" x="700"/>
        <item x="355"/>
        <item m="1" x="783"/>
        <item m="1" x="799"/>
        <item m="1" x="737"/>
        <item x="360"/>
        <item x="549"/>
        <item x="361"/>
        <item m="1" x="701"/>
        <item x="362"/>
        <item x="363"/>
        <item x="364"/>
        <item x="365"/>
        <item m="1" x="790"/>
        <item x="366"/>
        <item x="367"/>
        <item x="368"/>
        <item x="369"/>
        <item m="1" x="578"/>
        <item m="1" x="745"/>
        <item x="370"/>
        <item x="371"/>
        <item m="1" x="784"/>
        <item x="372"/>
        <item x="373"/>
        <item m="1" x="801"/>
        <item x="374"/>
        <item m="1" x="702"/>
        <item m="1" x="703"/>
        <item x="376"/>
        <item x="469"/>
        <item x="377"/>
        <item x="378"/>
        <item x="379"/>
        <item m="1" x="704"/>
        <item x="380"/>
        <item m="1" x="579"/>
        <item x="381"/>
        <item m="1" x="756"/>
        <item m="1" x="705"/>
        <item x="466"/>
        <item x="382"/>
        <item x="383"/>
        <item x="384"/>
        <item m="1" x="580"/>
        <item m="1" x="581"/>
        <item x="385"/>
        <item m="1" x="785"/>
        <item x="386"/>
        <item m="1" x="786"/>
        <item m="1" x="582"/>
        <item x="387"/>
        <item m="1" x="706"/>
        <item m="1" x="583"/>
        <item x="388"/>
        <item x="389"/>
        <item x="390"/>
        <item m="1" x="707"/>
        <item x="391"/>
        <item m="1" x="753"/>
        <item x="392"/>
        <item m="1" x="708"/>
        <item x="393"/>
        <item x="394"/>
        <item m="1" x="709"/>
        <item x="395"/>
        <item m="1" x="736"/>
        <item x="396"/>
        <item x="397"/>
        <item m="1" x="710"/>
        <item x="398"/>
        <item x="399"/>
        <item m="1" x="726"/>
        <item x="400"/>
        <item x="401"/>
        <item x="402"/>
        <item m="1" x="587"/>
        <item x="403"/>
        <item m="1" x="683"/>
        <item m="1" x="681"/>
        <item m="1" x="593"/>
        <item m="1" x="718"/>
        <item x="411"/>
        <item x="52"/>
        <item x="83"/>
        <item x="24"/>
        <item m="1" x="670"/>
        <item x="290"/>
        <item x="410"/>
        <item x="199"/>
        <item x="494"/>
        <item m="1" x="711"/>
        <item x="414"/>
        <item x="424"/>
        <item x="473"/>
        <item m="1" x="716"/>
        <item x="296"/>
        <item x="274"/>
        <item x="421"/>
        <item m="1" x="712"/>
        <item m="1" x="685"/>
        <item m="1" x="714"/>
        <item x="412"/>
        <item m="1" x="713"/>
        <item m="1" x="694"/>
        <item m="1" x="594"/>
        <item x="30"/>
        <item m="1" x="684"/>
        <item m="1" x="592"/>
        <item x="6"/>
        <item x="45"/>
        <item x="148"/>
        <item x="154"/>
        <item x="375"/>
        <item x="405"/>
        <item x="409"/>
        <item x="420"/>
        <item m="1" x="613"/>
        <item x="133"/>
        <item x="291"/>
        <item m="1" x="614"/>
        <item x="408"/>
        <item x="404"/>
        <item x="406"/>
        <item x="110"/>
        <item x="407"/>
        <item m="1" x="609"/>
        <item x="527"/>
        <item x="123"/>
        <item m="1" x="610"/>
        <item m="1" x="589"/>
        <item x="441"/>
        <item x="501"/>
        <item x="430"/>
        <item x="427"/>
        <item x="445"/>
        <item x="69"/>
        <item x="437"/>
        <item m="1" x="595"/>
        <item x="415"/>
        <item x="416"/>
        <item x="448"/>
        <item m="1" x="608"/>
        <item x="87"/>
        <item x="417"/>
        <item x="432"/>
        <item x="442"/>
        <item m="1" x="596"/>
        <item x="450"/>
        <item x="418"/>
        <item m="1" x="590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588"/>
        <item x="457"/>
        <item x="453"/>
        <item x="464"/>
        <item x="422"/>
        <item x="419"/>
        <item m="1" x="591"/>
        <item x="455"/>
        <item x="461"/>
        <item x="467"/>
        <item x="435"/>
        <item m="1" x="584"/>
        <item x="460"/>
        <item x="431"/>
        <item x="434"/>
        <item x="471"/>
        <item x="423"/>
        <item x="521"/>
        <item x="477"/>
        <item x="478"/>
        <item x="479"/>
        <item x="482"/>
        <item m="1" x="551"/>
        <item x="458"/>
        <item x="463"/>
        <item x="476"/>
        <item x="485"/>
        <item x="486"/>
        <item x="487"/>
        <item x="496"/>
        <item x="474"/>
        <item x="488"/>
        <item x="456"/>
        <item x="508"/>
        <item x="492"/>
        <item x="468"/>
        <item x="489"/>
        <item x="499"/>
        <item x="503"/>
        <item x="504"/>
        <item m="1" x="554"/>
        <item x="506"/>
        <item x="507"/>
        <item x="495"/>
        <item x="439"/>
        <item x="446"/>
        <item x="490"/>
        <item x="500"/>
        <item x="491"/>
        <item x="475"/>
        <item x="498"/>
        <item m="1" x="586"/>
        <item x="513"/>
        <item m="1" x="585"/>
        <item x="483"/>
        <item x="484"/>
        <item m="1" x="555"/>
        <item x="480"/>
        <item x="516"/>
        <item x="481"/>
        <item x="493"/>
        <item m="1" x="553"/>
        <item x="520"/>
        <item x="472"/>
        <item x="512"/>
        <item x="524"/>
        <item x="530"/>
        <item x="531"/>
        <item x="529"/>
        <item x="511"/>
        <item x="509"/>
        <item x="538"/>
        <item x="510"/>
        <item x="518"/>
        <item x="465"/>
        <item x="515"/>
        <item x="541"/>
        <item x="536"/>
        <item x="526"/>
        <item x="542"/>
        <item x="543"/>
        <item x="545"/>
        <item x="505"/>
        <item x="525"/>
        <item x="523"/>
        <item x="539"/>
        <item x="519"/>
        <item x="502"/>
        <item x="540"/>
        <item x="438"/>
        <item x="547"/>
        <item x="528"/>
        <item x="548"/>
        <item x="533"/>
        <item x="534"/>
        <item x="55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</pivotFields>
  <rowFields count="4">
    <field x="0"/>
    <field x="5"/>
    <field x="4"/>
    <field x="1"/>
  </rowFields>
  <rowItems count="13">
    <i>
      <x v="94"/>
      <x/>
      <x v="2"/>
      <x v="681"/>
    </i>
    <i r="3">
      <x v="705"/>
    </i>
    <i t="default" r="1">
      <x/>
    </i>
    <i t="blank" r="1">
      <x/>
    </i>
    <i r="1">
      <x v="1"/>
      <x v="2"/>
      <x v="416"/>
    </i>
    <i r="3">
      <x v="749"/>
    </i>
    <i r="3">
      <x v="787"/>
    </i>
    <i r="3">
      <x v="378"/>
    </i>
    <i r="3">
      <x v="663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97">
        <item h="1" m="1" x="92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7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h="1" x="70"/>
        <item h="1" x="56"/>
        <item t="default"/>
      </items>
    </pivotField>
    <pivotField axis="axisRow" compact="0" outline="0" showAll="0" sortType="descending">
      <items count="804">
        <item x="0"/>
        <item m="1" x="796"/>
        <item x="1"/>
        <item x="2"/>
        <item m="1" x="748"/>
        <item x="4"/>
        <item m="1" x="615"/>
        <item x="5"/>
        <item m="1" x="616"/>
        <item m="1" x="617"/>
        <item x="7"/>
        <item x="8"/>
        <item m="1" x="618"/>
        <item x="9"/>
        <item m="1" x="619"/>
        <item m="1" x="720"/>
        <item x="10"/>
        <item m="1" x="761"/>
        <item x="11"/>
        <item x="12"/>
        <item m="1" x="770"/>
        <item x="3"/>
        <item x="14"/>
        <item x="15"/>
        <item x="16"/>
        <item m="1" x="620"/>
        <item m="1" x="556"/>
        <item x="17"/>
        <item x="18"/>
        <item x="19"/>
        <item x="20"/>
        <item x="470"/>
        <item x="21"/>
        <item x="22"/>
        <item x="23"/>
        <item m="1" x="621"/>
        <item x="25"/>
        <item x="26"/>
        <item x="27"/>
        <item m="1" x="762"/>
        <item x="33"/>
        <item x="28"/>
        <item m="1" x="622"/>
        <item m="1" x="623"/>
        <item x="29"/>
        <item m="1" x="557"/>
        <item m="1" x="624"/>
        <item m="1" x="763"/>
        <item x="31"/>
        <item m="1" x="629"/>
        <item x="112"/>
        <item x="13"/>
        <item m="1" x="625"/>
        <item x="32"/>
        <item m="1" x="764"/>
        <item m="1" x="626"/>
        <item m="1" x="627"/>
        <item x="34"/>
        <item x="35"/>
        <item m="1" x="738"/>
        <item m="1" x="628"/>
        <item x="36"/>
        <item x="37"/>
        <item m="1" x="597"/>
        <item x="38"/>
        <item x="39"/>
        <item m="1" x="558"/>
        <item x="40"/>
        <item x="41"/>
        <item m="1" x="630"/>
        <item x="42"/>
        <item x="43"/>
        <item x="44"/>
        <item m="1" x="631"/>
        <item m="1" x="632"/>
        <item x="46"/>
        <item m="1" x="633"/>
        <item x="47"/>
        <item x="48"/>
        <item x="49"/>
        <item m="1" x="765"/>
        <item x="514"/>
        <item x="50"/>
        <item x="51"/>
        <item m="1" x="634"/>
        <item x="53"/>
        <item x="54"/>
        <item m="1" x="635"/>
        <item m="1" x="766"/>
        <item x="55"/>
        <item m="1" x="636"/>
        <item x="56"/>
        <item m="1" x="637"/>
        <item x="57"/>
        <item x="58"/>
        <item x="59"/>
        <item m="1" x="660"/>
        <item x="60"/>
        <item m="1" x="638"/>
        <item x="61"/>
        <item x="62"/>
        <item m="1" x="639"/>
        <item x="63"/>
        <item x="65"/>
        <item x="517"/>
        <item x="66"/>
        <item m="1" x="640"/>
        <item x="67"/>
        <item x="68"/>
        <item m="1" x="598"/>
        <item m="1" x="599"/>
        <item m="1" x="641"/>
        <item x="70"/>
        <item x="71"/>
        <item x="72"/>
        <item x="73"/>
        <item m="1" x="642"/>
        <item m="1" x="643"/>
        <item m="1" x="644"/>
        <item x="74"/>
        <item x="75"/>
        <item x="76"/>
        <item m="1" x="645"/>
        <item x="64"/>
        <item m="1" x="727"/>
        <item x="77"/>
        <item x="78"/>
        <item x="79"/>
        <item x="80"/>
        <item x="81"/>
        <item m="1" x="646"/>
        <item x="82"/>
        <item m="1" x="715"/>
        <item m="1" x="647"/>
        <item x="84"/>
        <item x="85"/>
        <item m="1" x="767"/>
        <item m="1" x="648"/>
        <item x="86"/>
        <item m="1" x="774"/>
        <item m="1" x="600"/>
        <item m="1" x="754"/>
        <item m="1" x="649"/>
        <item x="88"/>
        <item x="89"/>
        <item x="90"/>
        <item x="91"/>
        <item x="92"/>
        <item x="93"/>
        <item x="94"/>
        <item x="95"/>
        <item x="522"/>
        <item m="1" x="792"/>
        <item x="96"/>
        <item m="1" x="559"/>
        <item m="1" x="747"/>
        <item x="97"/>
        <item x="98"/>
        <item m="1" x="789"/>
        <item m="1" x="768"/>
        <item x="99"/>
        <item x="100"/>
        <item x="101"/>
        <item x="102"/>
        <item x="103"/>
        <item m="1" x="758"/>
        <item x="104"/>
        <item x="105"/>
        <item x="106"/>
        <item x="107"/>
        <item x="108"/>
        <item x="109"/>
        <item m="1" x="650"/>
        <item x="111"/>
        <item x="222"/>
        <item m="1" x="749"/>
        <item x="113"/>
        <item x="114"/>
        <item x="115"/>
        <item m="1" x="651"/>
        <item x="116"/>
        <item m="1" x="560"/>
        <item x="117"/>
        <item x="118"/>
        <item x="119"/>
        <item x="497"/>
        <item x="120"/>
        <item x="121"/>
        <item x="122"/>
        <item m="1" x="601"/>
        <item x="124"/>
        <item m="1" x="652"/>
        <item x="125"/>
        <item m="1" x="769"/>
        <item m="1" x="653"/>
        <item x="126"/>
        <item m="1" x="654"/>
        <item x="127"/>
        <item x="128"/>
        <item m="1" x="655"/>
        <item m="1" x="656"/>
        <item x="129"/>
        <item m="1" x="657"/>
        <item x="131"/>
        <item m="1" x="730"/>
        <item m="1" x="771"/>
        <item x="132"/>
        <item x="134"/>
        <item x="135"/>
        <item x="136"/>
        <item x="137"/>
        <item m="1" x="733"/>
        <item x="138"/>
        <item x="139"/>
        <item x="140"/>
        <item x="141"/>
        <item m="1" x="561"/>
        <item x="142"/>
        <item m="1" x="721"/>
        <item x="143"/>
        <item x="144"/>
        <item m="1" x="739"/>
        <item x="145"/>
        <item m="1" x="562"/>
        <item m="1" x="793"/>
        <item m="1" x="787"/>
        <item x="146"/>
        <item m="1" x="658"/>
        <item m="1" x="659"/>
        <item x="147"/>
        <item m="1" x="746"/>
        <item m="1" x="661"/>
        <item m="1" x="662"/>
        <item m="1" x="740"/>
        <item x="149"/>
        <item m="1" x="663"/>
        <item m="1" x="664"/>
        <item x="150"/>
        <item x="151"/>
        <item m="1" x="665"/>
        <item x="152"/>
        <item m="1" x="722"/>
        <item x="153"/>
        <item x="532"/>
        <item m="1" x="666"/>
        <item m="1" x="667"/>
        <item x="535"/>
        <item x="155"/>
        <item x="156"/>
        <item m="1" x="759"/>
        <item m="1" x="772"/>
        <item x="157"/>
        <item m="1" x="741"/>
        <item m="1" x="563"/>
        <item x="158"/>
        <item m="1" x="750"/>
        <item x="159"/>
        <item m="1" x="773"/>
        <item x="160"/>
        <item x="161"/>
        <item x="162"/>
        <item x="163"/>
        <item m="1" x="611"/>
        <item x="164"/>
        <item m="1" x="564"/>
        <item m="1" x="668"/>
        <item m="1" x="607"/>
        <item x="165"/>
        <item m="1" x="565"/>
        <item m="1" x="602"/>
        <item m="1" x="66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23"/>
        <item x="177"/>
        <item x="178"/>
        <item x="179"/>
        <item m="1" x="728"/>
        <item x="180"/>
        <item x="181"/>
        <item x="537"/>
        <item m="1" x="724"/>
        <item x="182"/>
        <item x="183"/>
        <item x="184"/>
        <item m="1" x="671"/>
        <item x="185"/>
        <item x="186"/>
        <item m="1" x="751"/>
        <item x="187"/>
        <item x="188"/>
        <item x="189"/>
        <item m="1" x="672"/>
        <item x="190"/>
        <item x="191"/>
        <item x="192"/>
        <item x="193"/>
        <item m="1" x="731"/>
        <item m="1" x="798"/>
        <item m="1" x="673"/>
        <item x="194"/>
        <item x="195"/>
        <item x="196"/>
        <item x="197"/>
        <item m="1" x="755"/>
        <item m="1" x="795"/>
        <item m="1" x="566"/>
        <item x="198"/>
        <item x="200"/>
        <item m="1" x="674"/>
        <item x="201"/>
        <item x="202"/>
        <item m="1" x="567"/>
        <item x="203"/>
        <item x="204"/>
        <item x="205"/>
        <item x="206"/>
        <item x="207"/>
        <item x="208"/>
        <item m="1" x="734"/>
        <item x="209"/>
        <item x="210"/>
        <item m="1" x="675"/>
        <item m="1" x="729"/>
        <item x="211"/>
        <item m="1" x="791"/>
        <item x="212"/>
        <item x="213"/>
        <item m="1" x="752"/>
        <item x="214"/>
        <item m="1" x="676"/>
        <item m="1" x="677"/>
        <item m="1" x="742"/>
        <item m="1" x="678"/>
        <item x="215"/>
        <item x="216"/>
        <item x="217"/>
        <item m="1" x="568"/>
        <item x="218"/>
        <item m="1" x="679"/>
        <item x="219"/>
        <item m="1" x="717"/>
        <item x="220"/>
        <item x="221"/>
        <item x="544"/>
        <item x="289"/>
        <item x="223"/>
        <item m="1" x="686"/>
        <item x="224"/>
        <item x="225"/>
        <item x="226"/>
        <item x="227"/>
        <item x="228"/>
        <item x="229"/>
        <item m="1" x="760"/>
        <item x="230"/>
        <item x="231"/>
        <item m="1" x="680"/>
        <item x="232"/>
        <item x="233"/>
        <item x="234"/>
        <item x="235"/>
        <item x="236"/>
        <item x="237"/>
        <item x="238"/>
        <item m="1" x="775"/>
        <item x="239"/>
        <item x="240"/>
        <item x="241"/>
        <item x="242"/>
        <item m="1" x="776"/>
        <item x="243"/>
        <item m="1" x="569"/>
        <item x="244"/>
        <item x="245"/>
        <item x="246"/>
        <item x="247"/>
        <item x="54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35"/>
        <item m="1" x="732"/>
        <item x="262"/>
        <item x="263"/>
        <item m="1" x="725"/>
        <item x="264"/>
        <item x="265"/>
        <item x="266"/>
        <item x="267"/>
        <item x="268"/>
        <item x="269"/>
        <item m="1" x="603"/>
        <item x="270"/>
        <item m="1" x="604"/>
        <item x="272"/>
        <item x="273"/>
        <item x="275"/>
        <item m="1" x="777"/>
        <item x="276"/>
        <item x="277"/>
        <item m="1" x="605"/>
        <item m="1" x="570"/>
        <item x="278"/>
        <item x="279"/>
        <item m="1" x="571"/>
        <item x="280"/>
        <item x="281"/>
        <item x="282"/>
        <item m="1" x="606"/>
        <item x="271"/>
        <item m="1" x="572"/>
        <item x="283"/>
        <item x="284"/>
        <item x="285"/>
        <item x="286"/>
        <item x="287"/>
        <item x="413"/>
        <item x="288"/>
        <item m="1" x="682"/>
        <item m="1" x="552"/>
        <item x="292"/>
        <item x="293"/>
        <item x="294"/>
        <item m="1" x="77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94"/>
        <item m="1" x="687"/>
        <item x="311"/>
        <item x="312"/>
        <item m="1" x="779"/>
        <item x="313"/>
        <item m="1" x="743"/>
        <item x="314"/>
        <item x="315"/>
        <item x="316"/>
        <item x="317"/>
        <item m="1" x="719"/>
        <item m="1" x="573"/>
        <item m="1" x="780"/>
        <item x="318"/>
        <item x="319"/>
        <item m="1" x="788"/>
        <item x="320"/>
        <item x="321"/>
        <item x="322"/>
        <item m="1" x="688"/>
        <item x="323"/>
        <item m="1" x="574"/>
        <item x="324"/>
        <item x="325"/>
        <item m="1" x="781"/>
        <item m="1" x="800"/>
        <item x="326"/>
        <item x="327"/>
        <item x="328"/>
        <item x="329"/>
        <item x="330"/>
        <item x="331"/>
        <item x="332"/>
        <item m="1" x="757"/>
        <item x="333"/>
        <item x="334"/>
        <item x="335"/>
        <item x="336"/>
        <item x="337"/>
        <item m="1" x="689"/>
        <item x="338"/>
        <item x="339"/>
        <item m="1" x="575"/>
        <item m="1" x="797"/>
        <item m="1" x="690"/>
        <item x="340"/>
        <item x="341"/>
        <item x="342"/>
        <item m="1" x="744"/>
        <item x="343"/>
        <item m="1" x="576"/>
        <item m="1" x="691"/>
        <item x="344"/>
        <item x="345"/>
        <item m="1" x="577"/>
        <item m="1" x="692"/>
        <item x="346"/>
        <item m="1" x="693"/>
        <item x="130"/>
        <item m="1" x="612"/>
        <item x="347"/>
        <item m="1" x="782"/>
        <item x="348"/>
        <item x="349"/>
        <item m="1" x="695"/>
        <item x="350"/>
        <item x="351"/>
        <item x="352"/>
        <item m="1" x="802"/>
        <item m="1" x="696"/>
        <item x="353"/>
        <item x="354"/>
        <item m="1" x="697"/>
        <item m="1" x="698"/>
        <item m="1" x="699"/>
        <item x="356"/>
        <item x="357"/>
        <item x="358"/>
        <item x="359"/>
        <item m="1" x="700"/>
        <item x="355"/>
        <item m="1" x="783"/>
        <item m="1" x="799"/>
        <item m="1" x="737"/>
        <item x="360"/>
        <item x="549"/>
        <item x="361"/>
        <item m="1" x="701"/>
        <item x="362"/>
        <item x="363"/>
        <item x="364"/>
        <item x="365"/>
        <item m="1" x="790"/>
        <item x="366"/>
        <item x="367"/>
        <item x="368"/>
        <item x="369"/>
        <item m="1" x="578"/>
        <item m="1" x="745"/>
        <item x="370"/>
        <item x="371"/>
        <item m="1" x="784"/>
        <item x="372"/>
        <item x="373"/>
        <item m="1" x="801"/>
        <item x="374"/>
        <item m="1" x="702"/>
        <item m="1" x="703"/>
        <item x="376"/>
        <item x="469"/>
        <item x="377"/>
        <item x="378"/>
        <item x="379"/>
        <item m="1" x="704"/>
        <item x="380"/>
        <item m="1" x="579"/>
        <item x="381"/>
        <item m="1" x="756"/>
        <item m="1" x="705"/>
        <item x="466"/>
        <item x="382"/>
        <item x="383"/>
        <item x="384"/>
        <item m="1" x="580"/>
        <item m="1" x="581"/>
        <item x="385"/>
        <item m="1" x="785"/>
        <item x="386"/>
        <item m="1" x="786"/>
        <item m="1" x="582"/>
        <item x="387"/>
        <item m="1" x="706"/>
        <item m="1" x="583"/>
        <item x="388"/>
        <item x="389"/>
        <item x="390"/>
        <item m="1" x="707"/>
        <item x="391"/>
        <item m="1" x="753"/>
        <item x="392"/>
        <item m="1" x="708"/>
        <item x="393"/>
        <item x="394"/>
        <item m="1" x="709"/>
        <item x="395"/>
        <item m="1" x="736"/>
        <item x="396"/>
        <item x="397"/>
        <item m="1" x="710"/>
        <item x="398"/>
        <item x="399"/>
        <item m="1" x="726"/>
        <item x="400"/>
        <item x="401"/>
        <item x="402"/>
        <item m="1" x="587"/>
        <item x="403"/>
        <item m="1" x="683"/>
        <item m="1" x="681"/>
        <item m="1" x="593"/>
        <item m="1" x="718"/>
        <item x="411"/>
        <item x="52"/>
        <item x="83"/>
        <item x="24"/>
        <item m="1" x="670"/>
        <item x="290"/>
        <item x="410"/>
        <item x="199"/>
        <item x="494"/>
        <item m="1" x="711"/>
        <item x="414"/>
        <item x="424"/>
        <item x="473"/>
        <item m="1" x="716"/>
        <item x="296"/>
        <item x="274"/>
        <item x="421"/>
        <item m="1" x="712"/>
        <item m="1" x="685"/>
        <item m="1" x="714"/>
        <item x="412"/>
        <item m="1" x="713"/>
        <item m="1" x="694"/>
        <item m="1" x="594"/>
        <item x="30"/>
        <item m="1" x="684"/>
        <item m="1" x="592"/>
        <item x="6"/>
        <item x="45"/>
        <item x="148"/>
        <item x="154"/>
        <item x="375"/>
        <item x="405"/>
        <item x="409"/>
        <item x="420"/>
        <item m="1" x="613"/>
        <item x="133"/>
        <item x="291"/>
        <item m="1" x="614"/>
        <item x="408"/>
        <item x="404"/>
        <item x="406"/>
        <item x="110"/>
        <item x="407"/>
        <item m="1" x="609"/>
        <item x="527"/>
        <item x="123"/>
        <item m="1" x="610"/>
        <item m="1" x="589"/>
        <item x="441"/>
        <item x="501"/>
        <item x="430"/>
        <item x="427"/>
        <item x="445"/>
        <item x="69"/>
        <item x="437"/>
        <item m="1" x="595"/>
        <item x="415"/>
        <item x="416"/>
        <item x="448"/>
        <item m="1" x="608"/>
        <item x="87"/>
        <item x="417"/>
        <item x="432"/>
        <item x="442"/>
        <item m="1" x="596"/>
        <item x="450"/>
        <item x="418"/>
        <item m="1" x="590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588"/>
        <item x="457"/>
        <item x="453"/>
        <item x="464"/>
        <item x="422"/>
        <item x="419"/>
        <item m="1" x="591"/>
        <item x="455"/>
        <item x="461"/>
        <item x="467"/>
        <item x="435"/>
        <item m="1" x="584"/>
        <item x="460"/>
        <item x="431"/>
        <item x="434"/>
        <item x="471"/>
        <item x="423"/>
        <item x="521"/>
        <item x="477"/>
        <item x="478"/>
        <item x="479"/>
        <item x="482"/>
        <item m="1" x="551"/>
        <item x="458"/>
        <item x="463"/>
        <item x="476"/>
        <item x="485"/>
        <item x="486"/>
        <item x="487"/>
        <item x="496"/>
        <item x="474"/>
        <item x="488"/>
        <item x="456"/>
        <item x="508"/>
        <item x="492"/>
        <item x="468"/>
        <item x="489"/>
        <item x="499"/>
        <item x="503"/>
        <item x="504"/>
        <item m="1" x="554"/>
        <item x="506"/>
        <item x="507"/>
        <item x="495"/>
        <item x="439"/>
        <item x="446"/>
        <item x="490"/>
        <item x="500"/>
        <item x="491"/>
        <item x="475"/>
        <item x="498"/>
        <item m="1" x="586"/>
        <item x="513"/>
        <item m="1" x="585"/>
        <item x="483"/>
        <item x="484"/>
        <item m="1" x="555"/>
        <item x="480"/>
        <item x="516"/>
        <item x="481"/>
        <item x="493"/>
        <item m="1" x="553"/>
        <item x="520"/>
        <item x="472"/>
        <item x="512"/>
        <item x="524"/>
        <item x="530"/>
        <item x="531"/>
        <item x="529"/>
        <item x="511"/>
        <item x="509"/>
        <item x="538"/>
        <item x="510"/>
        <item x="518"/>
        <item x="465"/>
        <item x="515"/>
        <item x="541"/>
        <item x="536"/>
        <item x="526"/>
        <item x="542"/>
        <item x="543"/>
        <item x="545"/>
        <item x="505"/>
        <item x="525"/>
        <item x="523"/>
        <item x="539"/>
        <item x="519"/>
        <item x="502"/>
        <item x="540"/>
        <item x="438"/>
        <item x="547"/>
        <item x="528"/>
        <item x="548"/>
        <item x="533"/>
        <item x="534"/>
        <item x="55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2">
      <pivotArea outline="0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97">
        <item h="1" m="1" x="92"/>
        <item h="1" x="45"/>
        <item h="1" x="46"/>
        <item h="1" x="52"/>
        <item h="1" x="51"/>
        <item h="1" x="26"/>
        <item h="1" m="1" x="76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5"/>
        <item h="1" x="18"/>
        <item h="1" m="1" x="93"/>
        <item h="1" m="1" x="94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5"/>
        <item h="1" x="13"/>
        <item h="1" m="1" x="84"/>
        <item h="1" x="16"/>
        <item h="1" x="4"/>
        <item h="1" x="44"/>
        <item h="1" m="1" x="88"/>
        <item h="1" m="1" x="74"/>
        <item h="1" m="1" x="91"/>
        <item h="1" x="67"/>
        <item h="1" m="1" x="83"/>
        <item h="1" m="1" x="90"/>
        <item h="1" m="1" x="81"/>
        <item h="1" m="1" x="89"/>
        <item h="1" m="1" x="78"/>
        <item h="1" m="1" x="82"/>
        <item h="1" m="1" x="79"/>
        <item h="1" m="1" x="80"/>
        <item h="1" m="1" x="86"/>
        <item h="1" m="1" x="85"/>
        <item h="1" m="1" x="87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7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3"/>
        <item h="1" x="71"/>
        <item h="1" x="65"/>
        <item h="1" x="68"/>
        <item h="1" x="69"/>
        <item h="1" x="72"/>
        <item x="70"/>
        <item h="1" x="56"/>
        <item t="default"/>
      </items>
    </pivotField>
    <pivotField axis="axisRow" compact="0" outline="0" showAll="0" sortType="descending">
      <items count="804">
        <item x="0"/>
        <item m="1" x="796"/>
        <item x="1"/>
        <item x="2"/>
        <item m="1" x="748"/>
        <item x="4"/>
        <item m="1" x="615"/>
        <item x="5"/>
        <item m="1" x="616"/>
        <item m="1" x="617"/>
        <item x="7"/>
        <item x="8"/>
        <item m="1" x="618"/>
        <item x="9"/>
        <item m="1" x="619"/>
        <item m="1" x="720"/>
        <item x="10"/>
        <item m="1" x="761"/>
        <item x="11"/>
        <item x="12"/>
        <item m="1" x="770"/>
        <item x="3"/>
        <item x="14"/>
        <item x="15"/>
        <item x="16"/>
        <item m="1" x="620"/>
        <item m="1" x="556"/>
        <item x="17"/>
        <item x="18"/>
        <item x="19"/>
        <item x="20"/>
        <item x="470"/>
        <item x="21"/>
        <item x="22"/>
        <item x="23"/>
        <item m="1" x="621"/>
        <item x="25"/>
        <item x="26"/>
        <item x="27"/>
        <item m="1" x="762"/>
        <item x="33"/>
        <item x="28"/>
        <item m="1" x="622"/>
        <item m="1" x="623"/>
        <item x="29"/>
        <item m="1" x="557"/>
        <item m="1" x="624"/>
        <item m="1" x="763"/>
        <item x="31"/>
        <item m="1" x="629"/>
        <item x="112"/>
        <item x="13"/>
        <item m="1" x="625"/>
        <item x="32"/>
        <item m="1" x="764"/>
        <item m="1" x="626"/>
        <item m="1" x="627"/>
        <item x="34"/>
        <item x="35"/>
        <item m="1" x="738"/>
        <item m="1" x="628"/>
        <item x="36"/>
        <item x="37"/>
        <item m="1" x="597"/>
        <item x="38"/>
        <item x="39"/>
        <item m="1" x="558"/>
        <item x="40"/>
        <item x="41"/>
        <item m="1" x="630"/>
        <item x="42"/>
        <item x="43"/>
        <item x="44"/>
        <item m="1" x="631"/>
        <item m="1" x="632"/>
        <item x="46"/>
        <item m="1" x="633"/>
        <item x="47"/>
        <item x="48"/>
        <item x="49"/>
        <item m="1" x="765"/>
        <item x="514"/>
        <item x="50"/>
        <item x="51"/>
        <item m="1" x="634"/>
        <item x="53"/>
        <item x="54"/>
        <item m="1" x="635"/>
        <item m="1" x="766"/>
        <item x="55"/>
        <item m="1" x="636"/>
        <item x="56"/>
        <item m="1" x="637"/>
        <item x="57"/>
        <item x="58"/>
        <item x="59"/>
        <item m="1" x="660"/>
        <item x="60"/>
        <item m="1" x="638"/>
        <item x="61"/>
        <item x="62"/>
        <item m="1" x="639"/>
        <item x="63"/>
        <item x="65"/>
        <item x="517"/>
        <item x="66"/>
        <item m="1" x="640"/>
        <item x="67"/>
        <item x="68"/>
        <item m="1" x="598"/>
        <item m="1" x="599"/>
        <item m="1" x="641"/>
        <item x="70"/>
        <item x="71"/>
        <item x="72"/>
        <item x="73"/>
        <item m="1" x="642"/>
        <item m="1" x="643"/>
        <item m="1" x="644"/>
        <item x="74"/>
        <item x="75"/>
        <item x="76"/>
        <item m="1" x="645"/>
        <item x="64"/>
        <item m="1" x="727"/>
        <item x="77"/>
        <item x="78"/>
        <item x="79"/>
        <item x="80"/>
        <item x="81"/>
        <item m="1" x="646"/>
        <item x="82"/>
        <item m="1" x="715"/>
        <item m="1" x="647"/>
        <item x="84"/>
        <item x="85"/>
        <item m="1" x="767"/>
        <item m="1" x="648"/>
        <item x="86"/>
        <item m="1" x="774"/>
        <item m="1" x="600"/>
        <item m="1" x="754"/>
        <item m="1" x="649"/>
        <item x="88"/>
        <item x="89"/>
        <item x="90"/>
        <item x="91"/>
        <item x="92"/>
        <item x="93"/>
        <item x="94"/>
        <item x="95"/>
        <item x="522"/>
        <item m="1" x="792"/>
        <item x="96"/>
        <item m="1" x="559"/>
        <item m="1" x="747"/>
        <item x="97"/>
        <item x="98"/>
        <item m="1" x="789"/>
        <item m="1" x="768"/>
        <item x="99"/>
        <item x="100"/>
        <item x="101"/>
        <item x="102"/>
        <item x="103"/>
        <item m="1" x="758"/>
        <item x="104"/>
        <item x="105"/>
        <item x="106"/>
        <item x="107"/>
        <item x="108"/>
        <item x="109"/>
        <item m="1" x="650"/>
        <item x="111"/>
        <item x="222"/>
        <item m="1" x="749"/>
        <item x="113"/>
        <item x="114"/>
        <item x="115"/>
        <item m="1" x="651"/>
        <item x="116"/>
        <item m="1" x="560"/>
        <item x="117"/>
        <item x="118"/>
        <item x="119"/>
        <item x="497"/>
        <item x="120"/>
        <item x="121"/>
        <item x="122"/>
        <item m="1" x="601"/>
        <item x="124"/>
        <item m="1" x="652"/>
        <item x="125"/>
        <item m="1" x="769"/>
        <item m="1" x="653"/>
        <item x="126"/>
        <item m="1" x="654"/>
        <item x="127"/>
        <item x="128"/>
        <item m="1" x="655"/>
        <item m="1" x="656"/>
        <item x="129"/>
        <item m="1" x="657"/>
        <item x="131"/>
        <item m="1" x="730"/>
        <item m="1" x="771"/>
        <item x="132"/>
        <item x="134"/>
        <item x="135"/>
        <item x="136"/>
        <item x="137"/>
        <item m="1" x="733"/>
        <item x="138"/>
        <item x="139"/>
        <item x="140"/>
        <item x="141"/>
        <item m="1" x="561"/>
        <item x="142"/>
        <item m="1" x="721"/>
        <item x="143"/>
        <item x="144"/>
        <item m="1" x="739"/>
        <item x="145"/>
        <item m="1" x="562"/>
        <item m="1" x="793"/>
        <item m="1" x="787"/>
        <item x="146"/>
        <item m="1" x="658"/>
        <item m="1" x="659"/>
        <item x="147"/>
        <item m="1" x="746"/>
        <item m="1" x="661"/>
        <item m="1" x="662"/>
        <item m="1" x="740"/>
        <item x="149"/>
        <item m="1" x="663"/>
        <item m="1" x="664"/>
        <item x="150"/>
        <item x="151"/>
        <item m="1" x="665"/>
        <item x="152"/>
        <item m="1" x="722"/>
        <item x="153"/>
        <item x="532"/>
        <item m="1" x="666"/>
        <item m="1" x="667"/>
        <item x="535"/>
        <item x="155"/>
        <item x="156"/>
        <item m="1" x="759"/>
        <item m="1" x="772"/>
        <item x="157"/>
        <item m="1" x="741"/>
        <item m="1" x="563"/>
        <item x="158"/>
        <item m="1" x="750"/>
        <item x="159"/>
        <item m="1" x="773"/>
        <item x="160"/>
        <item x="161"/>
        <item x="162"/>
        <item x="163"/>
        <item m="1" x="611"/>
        <item x="164"/>
        <item m="1" x="564"/>
        <item m="1" x="668"/>
        <item m="1" x="607"/>
        <item x="165"/>
        <item m="1" x="565"/>
        <item m="1" x="602"/>
        <item m="1" x="66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23"/>
        <item x="177"/>
        <item x="178"/>
        <item x="179"/>
        <item m="1" x="728"/>
        <item x="180"/>
        <item x="181"/>
        <item x="537"/>
        <item m="1" x="724"/>
        <item x="182"/>
        <item x="183"/>
        <item x="184"/>
        <item m="1" x="671"/>
        <item x="185"/>
        <item x="186"/>
        <item m="1" x="751"/>
        <item x="187"/>
        <item x="188"/>
        <item x="189"/>
        <item m="1" x="672"/>
        <item x="190"/>
        <item x="191"/>
        <item x="192"/>
        <item x="193"/>
        <item m="1" x="731"/>
        <item m="1" x="798"/>
        <item m="1" x="673"/>
        <item x="194"/>
        <item x="195"/>
        <item x="196"/>
        <item x="197"/>
        <item m="1" x="755"/>
        <item m="1" x="795"/>
        <item m="1" x="566"/>
        <item x="198"/>
        <item x="200"/>
        <item m="1" x="674"/>
        <item x="201"/>
        <item x="202"/>
        <item m="1" x="567"/>
        <item x="203"/>
        <item x="204"/>
        <item x="205"/>
        <item x="206"/>
        <item x="207"/>
        <item x="208"/>
        <item m="1" x="734"/>
        <item x="209"/>
        <item x="210"/>
        <item m="1" x="675"/>
        <item m="1" x="729"/>
        <item x="211"/>
        <item m="1" x="791"/>
        <item x="212"/>
        <item x="213"/>
        <item m="1" x="752"/>
        <item x="214"/>
        <item m="1" x="676"/>
        <item m="1" x="677"/>
        <item m="1" x="742"/>
        <item m="1" x="678"/>
        <item x="215"/>
        <item x="216"/>
        <item x="217"/>
        <item m="1" x="568"/>
        <item x="218"/>
        <item m="1" x="679"/>
        <item x="219"/>
        <item m="1" x="717"/>
        <item x="220"/>
        <item x="221"/>
        <item x="544"/>
        <item x="289"/>
        <item x="223"/>
        <item m="1" x="686"/>
        <item x="224"/>
        <item x="225"/>
        <item x="226"/>
        <item x="227"/>
        <item x="228"/>
        <item x="229"/>
        <item m="1" x="760"/>
        <item x="230"/>
        <item x="231"/>
        <item m="1" x="680"/>
        <item x="232"/>
        <item x="233"/>
        <item x="234"/>
        <item x="235"/>
        <item x="236"/>
        <item x="237"/>
        <item x="238"/>
        <item m="1" x="775"/>
        <item x="239"/>
        <item x="240"/>
        <item x="241"/>
        <item x="242"/>
        <item m="1" x="776"/>
        <item x="243"/>
        <item m="1" x="569"/>
        <item x="244"/>
        <item x="245"/>
        <item x="246"/>
        <item x="247"/>
        <item x="54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35"/>
        <item m="1" x="732"/>
        <item x="262"/>
        <item x="263"/>
        <item m="1" x="725"/>
        <item x="264"/>
        <item x="265"/>
        <item x="266"/>
        <item x="267"/>
        <item x="268"/>
        <item x="269"/>
        <item m="1" x="603"/>
        <item x="270"/>
        <item m="1" x="604"/>
        <item x="272"/>
        <item x="273"/>
        <item x="275"/>
        <item m="1" x="777"/>
        <item x="276"/>
        <item x="277"/>
        <item m="1" x="605"/>
        <item m="1" x="570"/>
        <item x="278"/>
        <item x="279"/>
        <item m="1" x="571"/>
        <item x="280"/>
        <item x="281"/>
        <item x="282"/>
        <item m="1" x="606"/>
        <item x="271"/>
        <item m="1" x="572"/>
        <item x="283"/>
        <item x="284"/>
        <item x="285"/>
        <item x="286"/>
        <item x="287"/>
        <item x="413"/>
        <item x="288"/>
        <item m="1" x="682"/>
        <item m="1" x="552"/>
        <item x="292"/>
        <item x="293"/>
        <item x="294"/>
        <item m="1" x="77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94"/>
        <item m="1" x="687"/>
        <item x="311"/>
        <item x="312"/>
        <item m="1" x="779"/>
        <item x="313"/>
        <item m="1" x="743"/>
        <item x="314"/>
        <item x="315"/>
        <item x="316"/>
        <item x="317"/>
        <item m="1" x="719"/>
        <item m="1" x="573"/>
        <item m="1" x="780"/>
        <item x="318"/>
        <item x="319"/>
        <item m="1" x="788"/>
        <item x="320"/>
        <item x="321"/>
        <item x="322"/>
        <item m="1" x="688"/>
        <item x="323"/>
        <item m="1" x="574"/>
        <item x="324"/>
        <item x="325"/>
        <item m="1" x="781"/>
        <item m="1" x="800"/>
        <item x="326"/>
        <item x="327"/>
        <item x="328"/>
        <item x="329"/>
        <item x="330"/>
        <item x="331"/>
        <item x="332"/>
        <item m="1" x="757"/>
        <item x="333"/>
        <item x="334"/>
        <item x="335"/>
        <item x="336"/>
        <item x="337"/>
        <item m="1" x="689"/>
        <item x="338"/>
        <item x="339"/>
        <item m="1" x="575"/>
        <item m="1" x="797"/>
        <item m="1" x="690"/>
        <item x="340"/>
        <item x="341"/>
        <item x="342"/>
        <item m="1" x="744"/>
        <item x="343"/>
        <item m="1" x="576"/>
        <item m="1" x="691"/>
        <item x="344"/>
        <item x="345"/>
        <item m="1" x="577"/>
        <item m="1" x="692"/>
        <item x="346"/>
        <item m="1" x="693"/>
        <item x="130"/>
        <item m="1" x="612"/>
        <item x="347"/>
        <item m="1" x="782"/>
        <item x="348"/>
        <item x="349"/>
        <item m="1" x="695"/>
        <item x="350"/>
        <item x="351"/>
        <item x="352"/>
        <item m="1" x="802"/>
        <item m="1" x="696"/>
        <item x="353"/>
        <item x="354"/>
        <item m="1" x="697"/>
        <item m="1" x="698"/>
        <item m="1" x="699"/>
        <item x="356"/>
        <item x="357"/>
        <item x="358"/>
        <item x="359"/>
        <item m="1" x="700"/>
        <item x="355"/>
        <item m="1" x="783"/>
        <item m="1" x="799"/>
        <item m="1" x="737"/>
        <item x="360"/>
        <item x="549"/>
        <item x="361"/>
        <item m="1" x="701"/>
        <item x="362"/>
        <item x="363"/>
        <item x="364"/>
        <item x="365"/>
        <item m="1" x="790"/>
        <item x="366"/>
        <item x="367"/>
        <item x="368"/>
        <item x="369"/>
        <item m="1" x="578"/>
        <item m="1" x="745"/>
        <item x="370"/>
        <item x="371"/>
        <item m="1" x="784"/>
        <item x="372"/>
        <item x="373"/>
        <item m="1" x="801"/>
        <item x="374"/>
        <item m="1" x="702"/>
        <item m="1" x="703"/>
        <item x="376"/>
        <item x="469"/>
        <item x="377"/>
        <item x="378"/>
        <item x="379"/>
        <item m="1" x="704"/>
        <item x="380"/>
        <item m="1" x="579"/>
        <item x="381"/>
        <item m="1" x="756"/>
        <item m="1" x="705"/>
        <item x="466"/>
        <item x="382"/>
        <item x="383"/>
        <item x="384"/>
        <item m="1" x="580"/>
        <item m="1" x="581"/>
        <item x="385"/>
        <item m="1" x="785"/>
        <item x="386"/>
        <item m="1" x="786"/>
        <item m="1" x="582"/>
        <item x="387"/>
        <item m="1" x="706"/>
        <item m="1" x="583"/>
        <item x="388"/>
        <item x="389"/>
        <item x="390"/>
        <item m="1" x="707"/>
        <item x="391"/>
        <item m="1" x="753"/>
        <item x="392"/>
        <item m="1" x="708"/>
        <item x="393"/>
        <item x="394"/>
        <item m="1" x="709"/>
        <item x="395"/>
        <item m="1" x="736"/>
        <item x="396"/>
        <item x="397"/>
        <item m="1" x="710"/>
        <item x="398"/>
        <item x="399"/>
        <item m="1" x="726"/>
        <item x="400"/>
        <item x="401"/>
        <item x="402"/>
        <item m="1" x="587"/>
        <item x="403"/>
        <item m="1" x="683"/>
        <item m="1" x="681"/>
        <item m="1" x="593"/>
        <item m="1" x="718"/>
        <item x="411"/>
        <item x="52"/>
        <item x="83"/>
        <item x="24"/>
        <item m="1" x="670"/>
        <item x="290"/>
        <item x="410"/>
        <item x="199"/>
        <item x="494"/>
        <item m="1" x="711"/>
        <item x="414"/>
        <item x="424"/>
        <item x="473"/>
        <item m="1" x="716"/>
        <item x="296"/>
        <item x="274"/>
        <item x="421"/>
        <item m="1" x="712"/>
        <item m="1" x="685"/>
        <item m="1" x="714"/>
        <item x="412"/>
        <item m="1" x="713"/>
        <item m="1" x="694"/>
        <item m="1" x="594"/>
        <item x="30"/>
        <item m="1" x="684"/>
        <item m="1" x="592"/>
        <item x="6"/>
        <item x="45"/>
        <item x="148"/>
        <item x="154"/>
        <item x="375"/>
        <item x="405"/>
        <item x="409"/>
        <item x="420"/>
        <item m="1" x="613"/>
        <item x="133"/>
        <item x="291"/>
        <item m="1" x="614"/>
        <item x="408"/>
        <item x="404"/>
        <item x="406"/>
        <item x="110"/>
        <item x="407"/>
        <item m="1" x="609"/>
        <item x="527"/>
        <item x="123"/>
        <item m="1" x="610"/>
        <item m="1" x="589"/>
        <item x="441"/>
        <item x="501"/>
        <item x="430"/>
        <item x="427"/>
        <item x="445"/>
        <item x="69"/>
        <item x="437"/>
        <item m="1" x="595"/>
        <item x="415"/>
        <item x="416"/>
        <item x="448"/>
        <item m="1" x="608"/>
        <item x="87"/>
        <item x="417"/>
        <item x="432"/>
        <item x="442"/>
        <item m="1" x="596"/>
        <item x="450"/>
        <item x="418"/>
        <item m="1" x="590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588"/>
        <item x="457"/>
        <item x="453"/>
        <item x="464"/>
        <item x="422"/>
        <item x="419"/>
        <item m="1" x="591"/>
        <item x="455"/>
        <item x="461"/>
        <item x="467"/>
        <item x="435"/>
        <item m="1" x="584"/>
        <item x="460"/>
        <item x="431"/>
        <item x="434"/>
        <item x="471"/>
        <item x="423"/>
        <item x="521"/>
        <item x="477"/>
        <item x="478"/>
        <item x="479"/>
        <item x="482"/>
        <item m="1" x="551"/>
        <item x="458"/>
        <item x="463"/>
        <item x="476"/>
        <item x="485"/>
        <item x="486"/>
        <item x="487"/>
        <item x="496"/>
        <item x="474"/>
        <item x="488"/>
        <item x="456"/>
        <item x="508"/>
        <item x="492"/>
        <item x="468"/>
        <item x="489"/>
        <item x="499"/>
        <item x="503"/>
        <item x="504"/>
        <item m="1" x="554"/>
        <item x="506"/>
        <item x="507"/>
        <item x="495"/>
        <item x="439"/>
        <item x="446"/>
        <item x="490"/>
        <item x="500"/>
        <item x="491"/>
        <item x="475"/>
        <item x="498"/>
        <item m="1" x="586"/>
        <item x="513"/>
        <item m="1" x="585"/>
        <item x="483"/>
        <item x="484"/>
        <item m="1" x="555"/>
        <item x="480"/>
        <item x="516"/>
        <item x="481"/>
        <item x="493"/>
        <item m="1" x="553"/>
        <item x="520"/>
        <item x="472"/>
        <item x="512"/>
        <item x="524"/>
        <item x="530"/>
        <item x="531"/>
        <item x="529"/>
        <item x="511"/>
        <item x="509"/>
        <item x="538"/>
        <item x="510"/>
        <item x="518"/>
        <item x="465"/>
        <item x="515"/>
        <item x="541"/>
        <item x="536"/>
        <item x="526"/>
        <item x="542"/>
        <item x="543"/>
        <item x="545"/>
        <item x="505"/>
        <item x="525"/>
        <item x="523"/>
        <item x="539"/>
        <item x="519"/>
        <item x="502"/>
        <item x="540"/>
        <item x="438"/>
        <item x="547"/>
        <item x="528"/>
        <item x="548"/>
        <item x="533"/>
        <item x="534"/>
        <item x="55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94"/>
      <x/>
      <x v="10"/>
      <x v="725"/>
    </i>
    <i r="3">
      <x v="757"/>
    </i>
    <i r="3">
      <x v="289"/>
    </i>
    <i r="3">
      <x v="794"/>
    </i>
    <i r="3">
      <x v="309"/>
    </i>
    <i r="3">
      <x v="36"/>
    </i>
    <i t="default" r="1">
      <x/>
    </i>
    <i t="blank" r="1">
      <x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3939" totalsRowShown="0" headerRowDxfId="121" dataDxfId="119" headerRowBorderDxfId="120" tableBorderDxfId="118" headerRowCellStyle="Moneda">
  <autoFilter ref="A8:P3939" xr:uid="{C951F068-1341-4672-90DE-2CEE14D03C18}">
    <filterColumn colId="0">
      <filters>
        <filter val="2026-32"/>
      </filters>
    </filterColumn>
  </autoFilter>
  <sortState xmlns:xlrd2="http://schemas.microsoft.com/office/spreadsheetml/2017/richdata2" ref="A2635:P3939">
    <sortCondition ref="B8:B3939"/>
  </sortState>
  <tableColumns count="16">
    <tableColumn id="1" xr3:uid="{1313C384-3163-4D56-9F84-9E1CAEBA396B}" name="Semana" dataDxfId="117"/>
    <tableColumn id="2" xr3:uid="{96600F64-10C6-4A83-9F4C-A531E04021C1}" name="Proveedor" dataDxfId="116"/>
    <tableColumn id="3" xr3:uid="{787868D5-A7CE-4536-B54C-6F1A0D05B952}" name="Descripción" dataDxfId="115"/>
    <tableColumn id="13" xr3:uid="{6255BEA6-F415-41E4-AC5D-FFF97A58354C}" name="FTP" dataDxfId="114"/>
    <tableColumn id="12" xr3:uid="{6C0A329D-F677-4625-9BA4-BF6A05EDBA7F}" name="Rubro" dataDxfId="113"/>
    <tableColumn id="4" xr3:uid="{1B43AC47-938F-4263-97E6-B74CA9648406}" name="Vía" dataDxfId="112"/>
    <tableColumn id="5" xr3:uid="{0155215F-5FD3-4150-8BD9-06E9F5920E3E}" name="Forma  de pago" dataDxfId="111"/>
    <tableColumn id="6" xr3:uid="{5E649B65-A884-436A-BE9F-990075DB06CB}" name="Divisa" dataDxfId="110" dataCellStyle="Millares"/>
    <tableColumn id="7" xr3:uid="{543A1F9B-8797-44FA-B0C4-DB5E970A9B73}" name="$" dataDxfId="109" dataCellStyle="Moneda"/>
    <tableColumn id="8" xr3:uid="{3E5D7C5F-B305-4000-8288-2FB7862D8B01}" name="Importe AR$" dataDxfId="108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07" dataCellStyle="Moneda">
      <calculatedColumnFormula>Gastos[[#This Row],[Importe AR$]]/$N$1</calculatedColumnFormula>
    </tableColumn>
    <tableColumn id="9" xr3:uid="{18C24254-2D30-4852-A859-4DBE3D5B6434}" name="Obs." dataDxfId="106"/>
    <tableColumn id="14" xr3:uid="{A5E2B36D-99CF-48AF-9BD8-EF4A835C5419}" name="Fecha_Cheque" dataDxfId="105"/>
    <tableColumn id="15" xr3:uid="{B4882C7A-B3A0-4ABD-9731-72401EABC84B}" name="SemanaCh" dataDxfId="104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03"/>
    <tableColumn id="11" xr3:uid="{DCDEB2D7-B00E-4C3C-A723-A273CA5DFF64}" name="Estado" dataDxfId="10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01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00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99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98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97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96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95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94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93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92" dataDxfId="90" headerRowBorderDxfId="91" tableBorderDxfId="89" totalsRowBorderDxfId="88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87" totalsRowDxfId="86"/>
    <tableColumn id="2" xr3:uid="{D2070368-25BC-4838-8C32-2C4F184C34F5}" name="Proveedor" dataDxfId="85" totalsRowDxfId="84"/>
    <tableColumn id="3" xr3:uid="{CBD52B44-8FF3-401A-89EA-AE69FD62092D}" name="Descripción" dataDxfId="83" totalsRowDxfId="82"/>
    <tableColumn id="4" xr3:uid="{B143AA35-94BB-4907-A9D6-174D210B5474}" name="FTP" dataDxfId="81" totalsRowDxfId="80"/>
    <tableColumn id="5" xr3:uid="{759A1042-9015-4D45-ADF2-8CA5A2D8CF76}" name="Rubro" dataDxfId="79" totalsRowDxfId="78"/>
    <tableColumn id="6" xr3:uid="{F0F3289F-F5D5-42F6-9A46-54F7142408BD}" name="Vía" dataDxfId="77" totalsRowDxfId="76"/>
    <tableColumn id="7" xr3:uid="{79C8C166-545F-4D91-8C65-F034AB9A9D22}" name="Forma  de pago" dataDxfId="75" totalsRowDxfId="74"/>
    <tableColumn id="8" xr3:uid="{DCE0FDBC-C269-444A-AD62-0B66126F5551}" name="Divisa" dataDxfId="73" totalsRowDxfId="72"/>
    <tableColumn id="9" xr3:uid="{BF2BE2CD-8871-4690-AA3C-0DC1953B39C5}" name="$" dataDxfId="71" totalsRowDxfId="70"/>
    <tableColumn id="10" xr3:uid="{B363511A-7D3B-4075-8FB7-B2036A9A9A00}" name="Importe AR$" totalsRowFunction="sum" dataDxfId="69" totalsRowDxfId="68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67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66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65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64" dataDxfId="62" headerRowBorderDxfId="63" tableBorderDxfId="61" totalsRowBorderDxfId="60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59" totalsRowDxfId="58"/>
    <tableColumn id="2" xr3:uid="{6F21E2DE-A824-4251-9D91-5F0DEE6907E1}" name="Proveedor" dataDxfId="57" totalsRowDxfId="56"/>
    <tableColumn id="3" xr3:uid="{A1ABEF27-5049-414B-99CA-8B69D1672A1E}" name="Descripción" dataDxfId="55" totalsRowDxfId="54"/>
    <tableColumn id="4" xr3:uid="{320EED02-28E2-4240-87A9-92C17ED632F0}" name="FTP" dataDxfId="53" totalsRowDxfId="52"/>
    <tableColumn id="5" xr3:uid="{9D92BE18-B848-4C40-A05E-C72173153188}" name="Rubro" dataDxfId="51" totalsRowDxfId="50"/>
    <tableColumn id="6" xr3:uid="{95362BC4-C7CC-4E97-B7CC-D5FCA95570BB}" name="Vía" dataDxfId="49" totalsRowDxfId="48"/>
    <tableColumn id="7" xr3:uid="{4A9DA9E7-A674-4461-9C62-767C5B826A85}" name="Forma  de pago" dataDxfId="47" totalsRowDxfId="46"/>
    <tableColumn id="8" xr3:uid="{553423C7-0A60-4C83-A178-BDFF77EBA78F}" name="Divisa" dataDxfId="45" totalsRowDxfId="44"/>
    <tableColumn id="9" xr3:uid="{CB3B80B6-1D90-4E73-88ED-47F40A99C0BF}" name="$" dataDxfId="43" totalsRowDxfId="42"/>
    <tableColumn id="10" xr3:uid="{95D0F85A-7874-4E69-B8C9-5197F719EF77}" name="Importe AR$" totalsRowFunction="sum" dataDxfId="41" totalsRowDxfId="40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39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38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37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36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35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34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33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32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31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30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29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28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61E8547-F4B1-437C-AC21-47F31C7DE811}" name="Tabla1228" displayName="Tabla1228" ref="A492:P503" totalsRowCount="1">
  <autoFilter ref="A492:P502" xr:uid="{F61E8547-F4B1-437C-AC21-47F31C7DE811}">
    <filterColumn colId="5">
      <filters>
        <filter val="1"/>
      </filters>
    </filterColumn>
  </autoFilter>
  <sortState xmlns:xlrd2="http://schemas.microsoft.com/office/spreadsheetml/2017/richdata2" ref="A493:P502">
    <sortCondition ref="J3:J13"/>
  </sortState>
  <tableColumns count="16">
    <tableColumn id="1" xr3:uid="{B4654C3D-C849-4D55-AEA0-D1ED67CFA866}" name="Semana"/>
    <tableColumn id="2" xr3:uid="{2F0D953B-B5EB-4AFE-B575-9217950BE71F}" name="Proveedor"/>
    <tableColumn id="3" xr3:uid="{1B5EE9C7-E846-4FC6-AC69-600E7ADD0A3E}" name="Descripción"/>
    <tableColumn id="4" xr3:uid="{E0CEF681-4726-4302-9B07-19DE23700246}" name="FTP"/>
    <tableColumn id="5" xr3:uid="{A7AC2E43-DF01-428B-88C5-872D36201306}" name="Rubro"/>
    <tableColumn id="6" xr3:uid="{1027C58F-5AF9-4FAE-9EDF-7723B8F79E26}" name="Vía"/>
    <tableColumn id="7" xr3:uid="{B668FF0F-7545-4110-A874-6AF244FB205F}" name="Forma  de pago"/>
    <tableColumn id="8" xr3:uid="{46F5C122-B6B1-4069-9A9C-A5DB59D36B71}" name="Divisa"/>
    <tableColumn id="9" xr3:uid="{A9C2A0A0-F138-4823-8C60-901693EC775C}" name="$"/>
    <tableColumn id="10" xr3:uid="{157F1205-54D0-4862-AD67-D3DBE003FD5A}" name="Importe AR$" totalsRowFunction="sum" totalsRowDxfId="27" totalsRowCellStyle="Moneda"/>
    <tableColumn id="11" xr3:uid="{3C5A9849-2BFC-4951-8B55-DE0C9B094DF8}" name="Importe U$D"/>
    <tableColumn id="12" xr3:uid="{3C18CE8B-7CF4-42CA-905B-BFA6B2298A5F}" name="Obs."/>
    <tableColumn id="13" xr3:uid="{30E3FBA4-4F97-47C1-9FB6-7D3232102EDB}" name="Fecha_Cheque"/>
    <tableColumn id="14" xr3:uid="{7558E36F-2A1B-46B6-8FFF-40B482EE9453}" name="SemanaCh"/>
    <tableColumn id="15" xr3:uid="{40BF0CE5-6565-4585-8BEF-7119CACC42C6}" name="OP"/>
    <tableColumn id="16" xr3:uid="{9733A742-4E81-44BF-B8C7-59CFAA5FAFA7}" name="Estad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94D53FF-A983-4799-B05D-F277312682AC}" name="Tabla1229" displayName="Tabla1229" ref="A505:P515" totalsRowCount="1">
  <autoFilter ref="A505:P514" xr:uid="{194D53FF-A983-4799-B05D-F277312682AC}"/>
  <sortState xmlns:xlrd2="http://schemas.microsoft.com/office/spreadsheetml/2017/richdata2" ref="A506:P514">
    <sortCondition ref="F505:F514"/>
  </sortState>
  <tableColumns count="16">
    <tableColumn id="1" xr3:uid="{A0F2F83F-E215-4970-8ADD-663BDC71A25F}" name="Semana"/>
    <tableColumn id="2" xr3:uid="{EDAB9C67-1359-4B8C-924D-16AF60BE2E01}" name="Proveedor"/>
    <tableColumn id="3" xr3:uid="{07913663-925A-4EC2-8BF8-77CEC3A1C7AD}" name="Descripción"/>
    <tableColumn id="4" xr3:uid="{DE65CD42-1D06-4C0F-9F85-8719C6D7C5F3}" name="FTP"/>
    <tableColumn id="5" xr3:uid="{CC47EC1F-C98C-46E3-ADB1-4C57E11B69C6}" name="Rubro"/>
    <tableColumn id="6" xr3:uid="{AA7056BD-50AE-4C7B-AFBF-000346F00258}" name="Vía"/>
    <tableColumn id="7" xr3:uid="{54D9F03F-8BA7-4358-A09A-342AE060C8BC}" name="Forma  de pago"/>
    <tableColumn id="8" xr3:uid="{3D0EE629-ED5D-456D-A6CB-A9B686BDADA8}" name="Divisa"/>
    <tableColumn id="9" xr3:uid="{E1AAFFBE-E6EF-4B79-8CD4-CA9AFF734BE8}" name="$"/>
    <tableColumn id="10" xr3:uid="{F641A9E9-666F-4A40-9921-F19BE6FFD761}" name="Importe AR$" totalsRowFunction="sum" totalsRowDxfId="26"/>
    <tableColumn id="11" xr3:uid="{5A91D076-8AE2-4115-8C70-5283B83504ED}" name="Importe U$D"/>
    <tableColumn id="12" xr3:uid="{703DE706-CAA8-477F-82C7-D33E06C02A19}" name="Obs."/>
    <tableColumn id="13" xr3:uid="{4CA5F318-2A1C-4A21-B88D-2FD0ACA46954}" name="Fecha_Cheque"/>
    <tableColumn id="14" xr3:uid="{BB138F56-5F4A-42A3-A4E1-8B37C8C4B1C3}" name="SemanaCh"/>
    <tableColumn id="15" xr3:uid="{A7F7D9C1-708C-4281-B461-98BE5E8F231C}" name="OP"/>
    <tableColumn id="16" xr3:uid="{C0811881-69E2-46F9-A3D1-E7BB37AC11BF}" name="Estad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A21B297-F028-49B0-A5FA-C18B9E943BB0}" name="Tabla1230" displayName="Tabla1230" ref="A519:P534" totalsRowCount="1">
  <autoFilter ref="A519:P533" xr:uid="{5A21B297-F028-49B0-A5FA-C18B9E943BB0}">
    <filterColumn colId="5">
      <filters>
        <filter val="1"/>
      </filters>
    </filterColumn>
  </autoFilter>
  <sortState xmlns:xlrd2="http://schemas.microsoft.com/office/spreadsheetml/2017/richdata2" ref="A520:P533">
    <sortCondition ref="J3:J17"/>
  </sortState>
  <tableColumns count="16">
    <tableColumn id="1" xr3:uid="{F21853DE-F19A-4E19-8240-41BDC216C669}" name="Semana"/>
    <tableColumn id="2" xr3:uid="{D24EFC49-2181-4A55-8CF1-CF9B0C987DA2}" name="Proveedor"/>
    <tableColumn id="3" xr3:uid="{8C66A93F-1DCF-4A0A-BAAA-4DC114FEF7F6}" name="Descripción"/>
    <tableColumn id="4" xr3:uid="{28AA5FCE-5461-4423-942C-EC5149A93284}" name="FTP"/>
    <tableColumn id="5" xr3:uid="{4BA60109-0A13-4CDC-B6FD-698FC84295A3}" name="Rubro"/>
    <tableColumn id="6" xr3:uid="{A89F3FC6-691A-4138-8AFB-2E93FE441571}" name="Vía"/>
    <tableColumn id="7" xr3:uid="{69374474-03E5-434B-81C7-9DD2886938E9}" name="Forma  de pago"/>
    <tableColumn id="8" xr3:uid="{670153A4-E5BF-4338-88B8-F6C0A4581131}" name="Divisa"/>
    <tableColumn id="9" xr3:uid="{D1E3E2F4-DA00-47D1-A6A4-C00F14CF0B2C}" name="$"/>
    <tableColumn id="10" xr3:uid="{EA82EDFB-A200-47B4-855A-5AE83213EAEC}" name="Importe AR$" totalsRowFunction="sum" totalsRowDxfId="1" totalsRowCellStyle="Moneda"/>
    <tableColumn id="11" xr3:uid="{E5100D68-E75F-4464-ADA8-EAD2326CF40E}" name="Importe U$D"/>
    <tableColumn id="12" xr3:uid="{CD6922B5-63D2-4655-8535-68BA94994DFA}" name="Obs."/>
    <tableColumn id="13" xr3:uid="{970BCF23-4F20-465B-9500-FBE4242BB8AD}" name="Fecha_Cheque"/>
    <tableColumn id="14" xr3:uid="{169B399C-8C08-4B57-9C06-F1E317F0412D}" name="SemanaCh"/>
    <tableColumn id="15" xr3:uid="{0CE9DA7A-5D15-49E1-B5CB-0F1158733E06}" name="OP"/>
    <tableColumn id="16" xr3:uid="{9D414378-E99C-4A8A-AA77-A26D374BC663}" name="Estad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C8EE704-FC7D-4143-9988-26657F26DA16}" name="Tabla1235" displayName="Tabla1235" ref="A536:P551" totalsRowCount="1">
  <autoFilter ref="A536:P550" xr:uid="{6C8EE704-FC7D-4143-9988-26657F26DA16}">
    <filterColumn colId="5">
      <filters>
        <filter val="2"/>
      </filters>
    </filterColumn>
  </autoFilter>
  <sortState xmlns:xlrd2="http://schemas.microsoft.com/office/spreadsheetml/2017/richdata2" ref="A537:P550">
    <sortCondition ref="J3:J17"/>
  </sortState>
  <tableColumns count="16">
    <tableColumn id="1" xr3:uid="{CBEB6AF0-A4B9-4FE7-8070-6DB3A6C2EA2E}" name="Semana"/>
    <tableColumn id="2" xr3:uid="{CD38FD3D-9941-42AF-93F3-85A5297FC3C0}" name="Proveedor"/>
    <tableColumn id="3" xr3:uid="{59950B58-1E48-43A0-9C83-AFAF2CCF6EDD}" name="Descripción"/>
    <tableColumn id="4" xr3:uid="{7EE8E74C-D4A6-41EE-A70D-D8FD6B9B73AF}" name="FTP"/>
    <tableColumn id="5" xr3:uid="{3D531E6E-974D-4606-990B-D6E343E510E4}" name="Rubro"/>
    <tableColumn id="6" xr3:uid="{9C3E97D0-3A96-4074-B5DF-E7485984D322}" name="Vía"/>
    <tableColumn id="7" xr3:uid="{CE56FF17-EEC1-41FB-ADAE-C9AB1CCDC635}" name="Forma  de pago"/>
    <tableColumn id="8" xr3:uid="{21D68114-F58F-4F9C-B846-BE0E1CFDCE96}" name="Divisa"/>
    <tableColumn id="9" xr3:uid="{639722E1-97D1-4353-B6B7-0A2E736F41BA}" name="$"/>
    <tableColumn id="10" xr3:uid="{171C77BF-AC24-484D-AE1E-B32C49C67F66}" name="Importe AR$" totalsRowFunction="sum" totalsRowDxfId="0" totalsRowCellStyle="Moneda"/>
    <tableColumn id="11" xr3:uid="{CF26D3B0-E833-4FEE-A90C-75384247BEC9}" name="Importe U$D"/>
    <tableColumn id="12" xr3:uid="{8D758FE7-AEC6-44B7-A0DA-544BA1E22B5B}" name="Obs."/>
    <tableColumn id="13" xr3:uid="{0B6C5D22-000B-440A-8BA7-D70F439CE560}" name="Fecha_Cheque"/>
    <tableColumn id="14" xr3:uid="{A61D62C4-7921-4C4B-9E46-3BBEF7A93C57}" name="SemanaCh"/>
    <tableColumn id="15" xr3:uid="{CB1ECC14-7714-4BF5-B75F-048183A6A0C3}" name="OP"/>
    <tableColumn id="16" xr3:uid="{CE2B7A56-39AC-41AE-AB88-7FFCE247034B}" name="Estado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20"/>
    <tableColumn id="3" xr3:uid="{754A7B97-15D2-484F-81BB-33F02EA30962}" name="Descripción" dataDxfId="19"/>
    <tableColumn id="4" xr3:uid="{B1472642-EA12-420B-8008-22A006BAB48A}" name="FTP" dataDxfId="18"/>
    <tableColumn id="5" xr3:uid="{4111DD72-5B48-4DED-8CA5-E4786C2DB109}" name="Rubro" dataDxfId="17"/>
    <tableColumn id="6" xr3:uid="{8B631591-E939-4524-9F1F-A1F0FF00B25B}" name="Vía" dataDxfId="16"/>
    <tableColumn id="7" xr3:uid="{05C5A8F5-21CB-4DF0-92B0-E6546376843C}" name="Forma  de pago" dataDxfId="15"/>
    <tableColumn id="8" xr3:uid="{70897E8A-A68A-4A2C-9A3C-9D849E607472}" name="Divisa" dataDxfId="14" dataCellStyle="Millares"/>
    <tableColumn id="9" xr3:uid="{21037493-CC58-4FF9-9F9D-EF5DC67F29AC}" name="TC" dataDxfId="13" dataCellStyle="Millares"/>
    <tableColumn id="10" xr3:uid="{6777AEF6-269F-4916-8321-EAB203828D64}" name="Importe AR$" dataDxfId="12" dataCellStyle="Moneda"/>
    <tableColumn id="11" xr3:uid="{BDB10838-0E5A-4327-91A9-C3D347E70EE2}" name="Obs." dataDxfId="11"/>
    <tableColumn id="12" xr3:uid="{1114A6C0-F82A-4E3D-A09E-2D0DF9960C24}" name="Fecha_Cheque" dataDxfId="10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0" totalsRowShown="0" headerRowDxfId="9" headerRowBorderDxfId="8" tableBorderDxfId="7" totalsRowBorderDxfId="6">
  <autoFilter ref="A3:D20" xr:uid="{484B2C6D-1F3D-4A76-BC94-C07D239F3854}"/>
  <tableColumns count="4">
    <tableColumn id="2" xr3:uid="{464734DE-CAC5-46F2-BCDD-99A002970D9C}" name="Proveedor" dataDxfId="5"/>
    <tableColumn id="3" xr3:uid="{902FA0D3-F167-43D7-9049-50514BB8F999}" name="Descripción" dataDxfId="4"/>
    <tableColumn id="4" xr3:uid="{19444C97-FA51-4F2F-988F-78F8B9C91042}" name="Forma  de pago" dataDxfId="3"/>
    <tableColumn id="5" xr3:uid="{5C1A55C9-073E-4BC6-BD4F-2FAEB1FB1C3C}" name="Importe AR$" dataDxfId="2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29" Type="http://schemas.openxmlformats.org/officeDocument/2006/relationships/table" Target="../tables/table28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3939"/>
  <sheetViews>
    <sheetView showGridLines="0" tabSelected="1" zoomScale="88" zoomScaleNormal="88" workbookViewId="0">
      <pane xSplit="2" ySplit="8" topLeftCell="C3897" activePane="bottomRight" state="frozen"/>
      <selection pane="topRight" activeCell="J3085" sqref="J3085"/>
      <selection pane="bottomLeft" activeCell="J3085" sqref="J3085"/>
      <selection pane="bottomRight" activeCell="E3904" sqref="E3904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58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69">
        <f ca="1">TODAY()</f>
        <v>46239</v>
      </c>
      <c r="B1" s="20" t="str">
        <f ca="1">_xlfn.CONCAT(YEAR(A1), "-", TEXT(WEEKNUM(A1), "00"))</f>
        <v>2026-32</v>
      </c>
      <c r="G1" s="5" t="str">
        <f ca="1">_xlfn.CONCAT("Pago Total Semana ",WEEKNUM(A1))</f>
        <v>Pago Total Semana 32</v>
      </c>
      <c r="H1" s="70">
        <f ca="1">SUMIFS(Gastos[Importe U$D],Gastos[Semana],B1,Gastos[Estado], "&lt;&gt;Pagado")</f>
        <v>1608539.2229671304</v>
      </c>
      <c r="I1" s="4">
        <f ca="1">SUMIFS(Gastos[Importe AR$],Gastos[Semana],B1,Gastos[Estado], "&lt;&gt;Pagado")</f>
        <v>2436936922.7952027</v>
      </c>
      <c r="J1" s="5" t="s">
        <v>0</v>
      </c>
      <c r="K1" s="6" t="s">
        <v>1</v>
      </c>
      <c r="L1" s="8"/>
      <c r="M1" s="67" t="s">
        <v>2</v>
      </c>
      <c r="N1" s="65">
        <v>1515</v>
      </c>
    </row>
    <row r="2" spans="1:18" x14ac:dyDescent="0.25">
      <c r="J2"/>
      <c r="K2" s="2"/>
      <c r="M2" s="68" t="s">
        <v>3</v>
      </c>
      <c r="N2" s="66">
        <v>1770</v>
      </c>
    </row>
    <row r="3" spans="1:18" x14ac:dyDescent="0.25">
      <c r="G3" s="7" t="s">
        <v>4</v>
      </c>
      <c r="H3" s="71">
        <f ca="1">SUMIFS(Gastos[Importe U$D],Gastos[Forma  de pago],G3,Gastos[Semana],B1,Gastos[Estado], "&lt;&gt;Pagado")</f>
        <v>6487.1332145214537</v>
      </c>
      <c r="I3" s="11">
        <f ca="1">SUMIFS(Gastos[Importe AR$],Gastos[Forma  de pago],G3,Gastos[Semana],B1,Gastos[Estado], "&lt;&gt;Pagado")</f>
        <v>9828006.8200000003</v>
      </c>
      <c r="J3" s="11">
        <f ca="1">SUMIFS(Gastos[Importe AR$],Gastos[Forma  de pago],G3,Gastos[Vía],1,Gastos[Semana],B1,Gastos[Estado], "&lt;&gt;Pagado")</f>
        <v>1173006.82</v>
      </c>
      <c r="K3" s="11">
        <f ca="1">SUMIFS(Gastos[Importe AR$],Gastos[Forma  de pago],G3,Gastos[Vía],2,Gastos[Semana],B1,Gastos[Estado], "&lt;&gt;Pagado")</f>
        <v>8655000</v>
      </c>
      <c r="L3" s="9">
        <f ca="1">+I3-J3-K3</f>
        <v>0</v>
      </c>
      <c r="M3" s="75"/>
      <c r="N3" s="81">
        <f ca="1">+I3-5000000</f>
        <v>4828006.82</v>
      </c>
      <c r="O3" s="21"/>
      <c r="R3" s="8"/>
    </row>
    <row r="4" spans="1:18" x14ac:dyDescent="0.25">
      <c r="D4" s="3"/>
      <c r="E4" s="3"/>
      <c r="G4" s="1" t="s">
        <v>5</v>
      </c>
      <c r="H4" s="72">
        <f ca="1">SUMIFS(Gastos[Importe U$D],Gastos[Forma  de pago],G4,Gastos[Semana],B1,Gastos[Estado], "&lt;&gt;Pagado")</f>
        <v>246209.61376237625</v>
      </c>
      <c r="I4" s="12">
        <f ca="1">SUMIFS(Gastos[Importe AR$],Gastos[Forma  de pago],G4,Gastos[Semana],B1,Gastos[Estado], "&lt;&gt;Pagado")</f>
        <v>373007564.85000008</v>
      </c>
      <c r="J4" s="12">
        <f ca="1">SUMIFS(Gastos[Importe AR$],Gastos[Forma  de pago],G4,Gastos[Vía],1,Gastos[Semana],B1,Gastos[Estado], "&lt;&gt;Pagado")</f>
        <v>373007564.85000008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0">
        <f ca="1">+I4-25000000-6400000</f>
        <v>341607564.85000008</v>
      </c>
      <c r="R4" s="8"/>
    </row>
    <row r="5" spans="1:18" x14ac:dyDescent="0.25">
      <c r="G5" s="10" t="s">
        <v>6</v>
      </c>
      <c r="H5" s="73">
        <f ca="1">SUMIFS(Gastos[Importe U$D],Gastos[Forma  de pago],"Cheque",Gastos[Semana],B1,Gastos[Estado], "&lt;&gt;Pagado")</f>
        <v>1355842.4759902323</v>
      </c>
      <c r="I5" s="42">
        <f ca="1">SUMIFS(Gastos[Importe AR$],Gastos[Forma  de pago],"Cheque",Gastos[Semana],B1,Gastos[Estado], "&lt;&gt;Pagado")</f>
        <v>2054101351.1252034</v>
      </c>
      <c r="J5" s="13">
        <f ca="1">SUMIFS(Gastos[Importe AR$],Gastos[Forma  de pago],"Cheque",Gastos[Vía],1,Gastos[Semana],B1,Gastos[Estado], "&lt;&gt;Pagado")</f>
        <v>1224056054.5041506</v>
      </c>
      <c r="K5" s="13">
        <f ca="1">SUMIFS(Gastos[Importe AR$],Gastos[Forma  de pago],"Cheque",Gastos[Vía],2,Gastos[Semana],B1,Gastos[Estado], "&lt;&gt;Pagado")</f>
        <v>830045296.62105274</v>
      </c>
      <c r="L5" s="9">
        <f ca="1">+I5-J5-K5</f>
        <v>0</v>
      </c>
      <c r="M5" s="9"/>
      <c r="O5" s="8"/>
    </row>
    <row r="6" spans="1:18" x14ac:dyDescent="0.25">
      <c r="C6" s="48"/>
      <c r="H6" s="79">
        <f ca="1">SUM(H3:H5)-H1</f>
        <v>0</v>
      </c>
      <c r="I6" s="74">
        <f ca="1">SUM(I3:I5)-I1</f>
        <v>0</v>
      </c>
      <c r="J6" s="9"/>
      <c r="K6" s="59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0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1">
        <f>Gastos[[#This Row],[Importe AR$]]/$N$1</f>
        <v>763.39753795379534</v>
      </c>
      <c r="M9" s="76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1">
        <f>Gastos[[#This Row],[Importe AR$]]/$N$1</f>
        <v>2273.2425742574255</v>
      </c>
      <c r="L10" t="s">
        <v>33</v>
      </c>
      <c r="M10" s="76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1">
        <f>Gastos[[#This Row],[Importe AR$]]/$N$1</f>
        <v>155.60700990099011</v>
      </c>
      <c r="M11" s="76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1">
        <f>Gastos[[#This Row],[Importe AR$]]/$N$1</f>
        <v>296.78603300330036</v>
      </c>
      <c r="M12" s="76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1">
        <f>Gastos[[#This Row],[Importe AR$]]/$N$1</f>
        <v>500.8292079207921</v>
      </c>
      <c r="M13" s="76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1">
        <f>Gastos[[#This Row],[Importe AR$]]/$N$1</f>
        <v>569.74257425742576</v>
      </c>
      <c r="M14" s="76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1">
        <f>Gastos[[#This Row],[Importe AR$]]/$N$1</f>
        <v>203.64621782178219</v>
      </c>
      <c r="M15" s="76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1">
        <f>Gastos[[#This Row],[Importe AR$]]/$N$1</f>
        <v>660.0660066006601</v>
      </c>
      <c r="M16" s="76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1">
        <f>Gastos[[#This Row],[Importe AR$]]/$N$1</f>
        <v>19828.905749174919</v>
      </c>
      <c r="M17" s="76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1">
        <f>Gastos[[#This Row],[Importe AR$]]/$N$1</f>
        <v>19381.618481848185</v>
      </c>
      <c r="M18" s="76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1">
        <f>Gastos[[#This Row],[Importe AR$]]/$N$1</f>
        <v>79.537953795379536</v>
      </c>
      <c r="M19" s="76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1">
        <f>Gastos[[#This Row],[Importe AR$]]/$N$1</f>
        <v>1357.5511551155116</v>
      </c>
      <c r="M20" s="76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1">
        <f>Gastos[[#This Row],[Importe AR$]]/$N$1</f>
        <v>1650.1650165016501</v>
      </c>
      <c r="M21" s="76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1">
        <f>Gastos[[#This Row],[Importe AR$]]/$N$1</f>
        <v>179.517102310231</v>
      </c>
      <c r="M22" s="76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1">
        <f>Gastos[[#This Row],[Importe AR$]]/$N$1</f>
        <v>210.15053465346534</v>
      </c>
      <c r="M23" s="76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1">
        <f>Gastos[[#This Row],[Importe AR$]]/$N$1</f>
        <v>8467.4295313531347</v>
      </c>
      <c r="M24" s="76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1">
        <f>Gastos[[#This Row],[Importe AR$]]/$N$1</f>
        <v>1145.5620462046204</v>
      </c>
      <c r="M25" s="76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1">
        <f>Gastos[[#This Row],[Importe AR$]]/$N$1</f>
        <v>198.87809240924094</v>
      </c>
      <c r="M26" s="76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1">
        <f>Gastos[[#This Row],[Importe AR$]]/$N$1</f>
        <v>299.21631683168317</v>
      </c>
      <c r="M27" s="76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1">
        <f>Gastos[[#This Row],[Importe AR$]]/$N$1</f>
        <v>379.31456105610567</v>
      </c>
      <c r="M28" s="76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1">
        <f>Gastos[[#This Row],[Importe AR$]]/$N$1</f>
        <v>470.63102310231022</v>
      </c>
      <c r="M29" s="76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1">
        <f>Gastos[[#This Row],[Importe AR$]]/$N$1</f>
        <v>2897.0429900990098</v>
      </c>
      <c r="M30" s="76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1">
        <f>Gastos[[#This Row],[Importe AR$]]/$N$1</f>
        <v>1650.1650165016501</v>
      </c>
      <c r="M31" s="76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1">
        <f>Gastos[[#This Row],[Importe AR$]]/$N$1</f>
        <v>134.53993399339933</v>
      </c>
      <c r="M32" s="76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1">
        <f>Gastos[[#This Row],[Importe AR$]]/$N$1</f>
        <v>1650.1650165016501</v>
      </c>
      <c r="M33" s="76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1">
        <f>Gastos[[#This Row],[Importe AR$]]/$N$1</f>
        <v>933.99339933993394</v>
      </c>
      <c r="M34" s="76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1">
        <f>Gastos[[#This Row],[Importe AR$]]/$N$1</f>
        <v>1435.6435643564357</v>
      </c>
      <c r="M35" s="76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1">
        <f>Gastos[[#This Row],[Importe AR$]]/$N$1</f>
        <v>966.99669966996703</v>
      </c>
      <c r="M36" s="76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1">
        <f>Gastos[[#This Row],[Importe AR$]]/$N$1</f>
        <v>1887.7887788778878</v>
      </c>
      <c r="M37" s="76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1">
        <f>Gastos[[#This Row],[Importe AR$]]/$N$1</f>
        <v>260.06600660066005</v>
      </c>
      <c r="M38" s="76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1">
        <f>Gastos[[#This Row],[Importe AR$]]/$N$1</f>
        <v>261.38613861386136</v>
      </c>
      <c r="M39" s="76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1">
        <f>Gastos[[#This Row],[Importe AR$]]/$N$1</f>
        <v>382.83828382838283</v>
      </c>
      <c r="M40" s="76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1">
        <f>Gastos[[#This Row],[Importe AR$]]/$N$1</f>
        <v>1877.4844950495049</v>
      </c>
      <c r="M41" s="76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1">
        <f>Gastos[[#This Row],[Importe AR$]]/$N$1</f>
        <v>2013.0816105610561</v>
      </c>
      <c r="M42" s="76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1">
        <f>Gastos[[#This Row],[Importe AR$]]/$N$1</f>
        <v>117.42726732673268</v>
      </c>
      <c r="M43" s="76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1">
        <f>Gastos[[#This Row],[Importe AR$]]/$N$1</f>
        <v>183.58547854785479</v>
      </c>
      <c r="M44" s="76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1">
        <f>Gastos[[#This Row],[Importe AR$]]/$N$1</f>
        <v>1452.1452145214521</v>
      </c>
      <c r="M45" s="76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1">
        <f>Gastos[[#This Row],[Importe AR$]]/$N$1</f>
        <v>264.02640264026405</v>
      </c>
      <c r="M46" s="77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1">
        <f>Gastos[[#This Row],[Importe AR$]]/$N$1</f>
        <v>330.03300330033005</v>
      </c>
      <c r="M47" s="77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1">
        <f>Gastos[[#This Row],[Importe AR$]]/$N$1</f>
        <v>557.57755775577562</v>
      </c>
      <c r="M48" s="77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1">
        <f>Gastos[[#This Row],[Importe AR$]]/$N$1</f>
        <v>1613.6342310231023</v>
      </c>
      <c r="M49" s="77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1">
        <f>Gastos[[#This Row],[Importe AR$]]/$N$1</f>
        <v>98.714191419141912</v>
      </c>
      <c r="M50" s="76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1">
        <f>Gastos[[#This Row],[Importe AR$]]/$N$1</f>
        <v>98.714191419141912</v>
      </c>
      <c r="M51" s="76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1">
        <f>Gastos[[#This Row],[Importe AR$]]/$N$1</f>
        <v>98.714191419141912</v>
      </c>
      <c r="M52" s="76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1">
        <f>Gastos[[#This Row],[Importe AR$]]/$N$1</f>
        <v>165.01650165016503</v>
      </c>
      <c r="M53" s="76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1">
        <f>Gastos[[#This Row],[Importe AR$]]/$N$1</f>
        <v>286.46864686468649</v>
      </c>
      <c r="M54" s="76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1">
        <f>Gastos[[#This Row],[Importe AR$]]/$N$1</f>
        <v>418.48184818481849</v>
      </c>
      <c r="M55" s="76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1">
        <f>Gastos[[#This Row],[Importe AR$]]/$N$1</f>
        <v>422.44224422442244</v>
      </c>
      <c r="M56" s="76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1">
        <f>Gastos[[#This Row],[Importe AR$]]/$N$1</f>
        <v>613.86138613861385</v>
      </c>
      <c r="M57" s="76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1">
        <f>Gastos[[#This Row],[Importe AR$]]/$N$1</f>
        <v>109.76897689768977</v>
      </c>
      <c r="M58" s="76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1">
        <f>Gastos[[#This Row],[Importe AR$]]/$N$1</f>
        <v>330.03300330033005</v>
      </c>
      <c r="M59" s="76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1">
        <f>Gastos[[#This Row],[Importe AR$]]/$N$1</f>
        <v>371.2841584158416</v>
      </c>
      <c r="M60" s="76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1">
        <f>Gastos[[#This Row],[Importe AR$]]/$N$1</f>
        <v>394.87128712871288</v>
      </c>
      <c r="M61" s="76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1">
        <f>Gastos[[#This Row],[Importe AR$]]/$N$1</f>
        <v>2145.2145214521452</v>
      </c>
      <c r="M62" s="76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1">
        <f>Gastos[[#This Row],[Importe AR$]]/$N$1</f>
        <v>1452.1452145214521</v>
      </c>
      <c r="M63" s="76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1">
        <f>Gastos[[#This Row],[Importe AR$]]/$N$1</f>
        <v>552.47524752475249</v>
      </c>
      <c r="M64" s="76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1">
        <f>Gastos[[#This Row],[Importe AR$]]/$N$1</f>
        <v>528.0528052805281</v>
      </c>
      <c r="M65" s="76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1">
        <f>Gastos[[#This Row],[Importe AR$]]/$N$1</f>
        <v>660.0660066006601</v>
      </c>
      <c r="M66" s="76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1">
        <f>Gastos[[#This Row],[Importe AR$]]/$N$1</f>
        <v>594.05940594059405</v>
      </c>
      <c r="M67" s="76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1">
        <f>Gastos[[#This Row],[Importe AR$]]/$N$1</f>
        <v>413.53135313531351</v>
      </c>
      <c r="M68" s="76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1">
        <f>Gastos[[#This Row],[Importe AR$]]/$N$1</f>
        <v>858.08580858085804</v>
      </c>
      <c r="M69" s="76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1">
        <f>Gastos[[#This Row],[Importe AR$]]/$N$1</f>
        <v>174.77095709570958</v>
      </c>
      <c r="M70" s="76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1">
        <f>Gastos[[#This Row],[Importe AR$]]/$N$1</f>
        <v>174.77095709570958</v>
      </c>
      <c r="M71" s="76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1">
        <f>Gastos[[#This Row],[Importe AR$]]/$N$1</f>
        <v>524.92435643564363</v>
      </c>
      <c r="M72" s="76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1">
        <f>Gastos[[#This Row],[Importe AR$]]/$N$1</f>
        <v>395.6848184818482</v>
      </c>
      <c r="M73" s="76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1">
        <f>Gastos[[#This Row],[Importe AR$]]/$N$1</f>
        <v>330.03300330033005</v>
      </c>
      <c r="M74" s="76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1">
        <f>Gastos[[#This Row],[Importe AR$]]/$N$1</f>
        <v>634.01650165016497</v>
      </c>
      <c r="M75" s="76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1">
        <f>Gastos[[#This Row],[Importe AR$]]/$N$1</f>
        <v>292.55784818481851</v>
      </c>
      <c r="M76" s="76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1">
        <f>Gastos[[#This Row],[Importe AR$]]/$N$1</f>
        <v>594.05940594059405</v>
      </c>
      <c r="M77" s="76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1">
        <f>Gastos[[#This Row],[Importe AR$]]/$N$1</f>
        <v>594.05940594059405</v>
      </c>
      <c r="M78" s="76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1">
        <f>Gastos[[#This Row],[Importe AR$]]/$N$1</f>
        <v>772.2772277227723</v>
      </c>
      <c r="M79" s="76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1">
        <f>Gastos[[#This Row],[Importe AR$]]/$N$1</f>
        <v>1453.7953795379537</v>
      </c>
      <c r="M80" s="76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1">
        <f>Gastos[[#This Row],[Importe AR$]]/$N$1</f>
        <v>1654.125412541254</v>
      </c>
      <c r="M81" s="76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1">
        <f>Gastos[[#This Row],[Importe AR$]]/$N$1</f>
        <v>1551.1551155115512</v>
      </c>
      <c r="M82" s="76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1">
        <f>Gastos[[#This Row],[Importe AR$]]/$N$1</f>
        <v>462.04620462046205</v>
      </c>
      <c r="M83" s="76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1">
        <f>Gastos[[#This Row],[Importe AR$]]/$N$1</f>
        <v>792.0792079207921</v>
      </c>
      <c r="M84" s="76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1">
        <f>Gastos[[#This Row],[Importe AR$]]/$N$1</f>
        <v>883.34521452145214</v>
      </c>
      <c r="M85" s="76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1">
        <f>Gastos[[#This Row],[Importe AR$]]/$N$1</f>
        <v>766.45544554455444</v>
      </c>
      <c r="M86" s="76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1">
        <f>Gastos[[#This Row],[Importe AR$]]/$N$1</f>
        <v>1483.1683168316831</v>
      </c>
      <c r="L87" s="8"/>
      <c r="M87" s="76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1">
        <f>Gastos[[#This Row],[Importe AR$]]/$N$1</f>
        <v>648.1848184818482</v>
      </c>
      <c r="L88" s="8"/>
      <c r="M88" s="76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1">
        <f>Gastos[[#This Row],[Importe AR$]]/$N$1</f>
        <v>1493.7293729372936</v>
      </c>
      <c r="M89" s="76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1">
        <f>Gastos[[#This Row],[Importe AR$]]/$N$1</f>
        <v>616.24732673267329</v>
      </c>
      <c r="M90" s="76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1">
        <f>Gastos[[#This Row],[Importe AR$]]/$N$1</f>
        <v>2310.2310231023102</v>
      </c>
      <c r="M91" s="76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1">
        <f>Gastos[[#This Row],[Importe AR$]]/$N$1</f>
        <v>462.04620462046205</v>
      </c>
      <c r="M92" s="76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1">
        <f>Gastos[[#This Row],[Importe AR$]]/$N$1</f>
        <v>9.9009900990099009</v>
      </c>
      <c r="M93" s="76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1">
        <f>Gastos[[#This Row],[Importe AR$]]/$N$1</f>
        <v>945.19077887788785</v>
      </c>
      <c r="L94" t="s">
        <v>150</v>
      </c>
      <c r="M94" s="76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1">
        <f>Gastos[[#This Row],[Importe AR$]]/$N$1</f>
        <v>840.46574257425743</v>
      </c>
      <c r="M95" s="76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1">
        <f>Gastos[[#This Row],[Importe AR$]]/$N$1</f>
        <v>79.149174917491749</v>
      </c>
      <c r="M96" s="76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1">
        <f>Gastos[[#This Row],[Importe AR$]]/$N$1</f>
        <v>844.20462046204625</v>
      </c>
      <c r="M97" s="76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1">
        <f>Gastos[[#This Row],[Importe AR$]]/$N$1</f>
        <v>46.083828382838284</v>
      </c>
      <c r="M98" s="76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1">
        <f>Gastos[[#This Row],[Importe AR$]]/$N$1</f>
        <v>445.54455445544556</v>
      </c>
      <c r="M99" s="76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1">
        <f>Gastos[[#This Row],[Importe AR$]]/$N$1</f>
        <v>495.04950495049508</v>
      </c>
      <c r="M100" s="76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1">
        <f>Gastos[[#This Row],[Importe AR$]]/$N$1</f>
        <v>476.67643564356439</v>
      </c>
      <c r="M101" s="76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1">
        <f>Gastos[[#This Row],[Importe AR$]]/$N$1</f>
        <v>311.32541254125414</v>
      </c>
      <c r="M102" s="76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1">
        <f>Gastos[[#This Row],[Importe AR$]]/$N$1</f>
        <v>191.14737953795381</v>
      </c>
      <c r="M103" s="76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1">
        <f>Gastos[[#This Row],[Importe AR$]]/$N$1</f>
        <v>193.70429042904291</v>
      </c>
      <c r="M104" s="76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1">
        <f>Gastos[[#This Row],[Importe AR$]]/$N$1</f>
        <v>315.52034983498351</v>
      </c>
      <c r="M105" s="76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1">
        <f>Gastos[[#This Row],[Importe AR$]]/$N$1</f>
        <v>49.504957095709571</v>
      </c>
      <c r="M106" s="76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1">
        <f>Gastos[[#This Row],[Importe AR$]]/$N$1</f>
        <v>286.20462046204619</v>
      </c>
      <c r="M107" s="76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1">
        <f>Gastos[[#This Row],[Importe AR$]]/$N$1</f>
        <v>195.36688448844885</v>
      </c>
      <c r="M108" s="76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1">
        <f>Gastos[[#This Row],[Importe AR$]]/$N$1</f>
        <v>152.8118811881188</v>
      </c>
      <c r="M109" s="76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1">
        <f>Gastos[[#This Row],[Importe AR$]]/$N$1</f>
        <v>482.29118811881187</v>
      </c>
      <c r="M110" s="76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1">
        <f>Gastos[[#This Row],[Importe AR$]]/$N$1</f>
        <v>660.0660066006601</v>
      </c>
      <c r="M111" s="76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1">
        <f>Gastos[[#This Row],[Importe AR$]]/$N$1</f>
        <v>1606.3664752475247</v>
      </c>
      <c r="M112" s="76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1">
        <f>Gastos[[#This Row],[Importe AR$]]/$N$1</f>
        <v>3439.1682508250829</v>
      </c>
      <c r="L113" t="s">
        <v>150</v>
      </c>
      <c r="M113" s="76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1">
        <f>Gastos[[#This Row],[Importe AR$]]/$N$1</f>
        <v>594.05940594059405</v>
      </c>
      <c r="L114" t="s">
        <v>193</v>
      </c>
      <c r="M114" s="76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1">
        <f>Gastos[[#This Row],[Importe AR$]]/$N$1</f>
        <v>396.03960396039605</v>
      </c>
      <c r="M115" s="76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1">
        <f>Gastos[[#This Row],[Importe AR$]]/$N$1</f>
        <v>63.894389438943897</v>
      </c>
      <c r="M116" s="76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1">
        <f>Gastos[[#This Row],[Importe AR$]]/$N$1</f>
        <v>31513.547194719471</v>
      </c>
      <c r="L117" t="s">
        <v>201</v>
      </c>
      <c r="M117" s="76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1">
        <f>Gastos[[#This Row],[Importe AR$]]/$N$1</f>
        <v>60.539933993399337</v>
      </c>
      <c r="M118" s="76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1">
        <f>Gastos[[#This Row],[Importe AR$]]/$N$1</f>
        <v>248.02640264026402</v>
      </c>
      <c r="M119" s="76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1">
        <f>Gastos[[#This Row],[Importe AR$]]/$N$1</f>
        <v>638.94389438943892</v>
      </c>
      <c r="M120" s="76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1">
        <f>Gastos[[#This Row],[Importe AR$]]/$N$1</f>
        <v>3359.3126138613866</v>
      </c>
      <c r="L121" t="s">
        <v>219</v>
      </c>
      <c r="M121" s="76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1">
        <f>Gastos[[#This Row],[Importe AR$]]/$N$1</f>
        <v>289.39912871287129</v>
      </c>
      <c r="M122" s="76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1">
        <f>Gastos[[#This Row],[Importe AR$]]/$N$1</f>
        <v>436.84594059405941</v>
      </c>
      <c r="M123" s="76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1">
        <f>Gastos[[#This Row],[Importe AR$]]/$N$1</f>
        <v>474.83749174917494</v>
      </c>
      <c r="M124" s="76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1">
        <f>Gastos[[#This Row],[Importe AR$]]/$N$1</f>
        <v>1357.5511551155116</v>
      </c>
      <c r="M125" s="76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1">
        <f>Gastos[[#This Row],[Importe AR$]]/$N$1</f>
        <v>462.04620462046205</v>
      </c>
      <c r="M126" s="76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1">
        <f>Gastos[[#This Row],[Importe AR$]]/$N$1</f>
        <v>6.5266798679867986</v>
      </c>
      <c r="M127" s="76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1">
        <f>Gastos[[#This Row],[Importe AR$]]/$N$1</f>
        <v>436.84594059405941</v>
      </c>
      <c r="M128" s="76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1">
        <f>Gastos[[#This Row],[Importe AR$]]/$N$1</f>
        <v>462.04620462046205</v>
      </c>
      <c r="M129" s="76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1">
        <f>Gastos[[#This Row],[Importe AR$]]/$N$1</f>
        <v>1357.5511551155116</v>
      </c>
      <c r="M130" s="76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1">
        <f>Gastos[[#This Row],[Importe AR$]]/$N$1</f>
        <v>474.83749174917494</v>
      </c>
      <c r="M131" s="77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1">
        <f>Gastos[[#This Row],[Importe AR$]]/$N$1</f>
        <v>289.39912871287129</v>
      </c>
      <c r="M132" s="77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1">
        <f>Gastos[[#This Row],[Importe AR$]]/$N$1</f>
        <v>11677.328495049505</v>
      </c>
      <c r="L133" t="s">
        <v>226</v>
      </c>
      <c r="M133" s="76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1">
        <f>Gastos[[#This Row],[Importe AR$]]/$N$1</f>
        <v>321.8283828382838</v>
      </c>
      <c r="M134" s="76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1">
        <f>Gastos[[#This Row],[Importe AR$]]/$N$1</f>
        <v>734.82178217821786</v>
      </c>
      <c r="M135" s="76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1">
        <f>Gastos[[#This Row],[Importe AR$]]/$N$1</f>
        <v>76.912871287128709</v>
      </c>
      <c r="M136" s="76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1">
        <f>Gastos[[#This Row],[Importe AR$]]/$N$1</f>
        <v>616.24732673267329</v>
      </c>
      <c r="M137" s="76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1">
        <f>Gastos[[#This Row],[Importe AR$]]/$N$1</f>
        <v>231.02310231023102</v>
      </c>
      <c r="M138" s="76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1">
        <f>Gastos[[#This Row],[Importe AR$]]/$N$1</f>
        <v>115.51155115511551</v>
      </c>
      <c r="M139" s="76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1">
        <f>Gastos[[#This Row],[Importe AR$]]/$N$1</f>
        <v>115.51155115511551</v>
      </c>
      <c r="M140" s="76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1">
        <f>Gastos[[#This Row],[Importe AR$]]/$N$1</f>
        <v>510.95037623762374</v>
      </c>
      <c r="L141" t="s">
        <v>215</v>
      </c>
      <c r="M141" s="76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1">
        <f>Gastos[[#This Row],[Importe AR$]]/$N$1</f>
        <v>846.94224422442244</v>
      </c>
      <c r="L142" t="s">
        <v>242</v>
      </c>
      <c r="M142" s="76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1">
        <f>Gastos[[#This Row],[Importe AR$]]/$N$1</f>
        <v>156.77491749174916</v>
      </c>
      <c r="L143" t="s">
        <v>215</v>
      </c>
      <c r="M143" s="76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1">
        <f>Gastos[[#This Row],[Importe AR$]]/$N$1</f>
        <v>395.7523432343234</v>
      </c>
      <c r="L144" t="s">
        <v>215</v>
      </c>
      <c r="M144" s="76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1">
        <f>Gastos[[#This Row],[Importe AR$]]/$N$1</f>
        <v>143.76237623762376</v>
      </c>
      <c r="M145" s="76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1">
        <f>Gastos[[#This Row],[Importe AR$]]/$N$1</f>
        <v>139.76897689768978</v>
      </c>
      <c r="M146" s="76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1">
        <f>Gastos[[#This Row],[Importe AR$]]/$N$1</f>
        <v>700.60198019801976</v>
      </c>
      <c r="M147" s="76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1">
        <f>Gastos[[#This Row],[Importe AR$]]/$N$1</f>
        <v>700.60198019801976</v>
      </c>
      <c r="M148" s="76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1">
        <f>Gastos[[#This Row],[Importe AR$]]/$N$1</f>
        <v>83.062706270627061</v>
      </c>
      <c r="M149" s="76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1">
        <f>Gastos[[#This Row],[Importe AR$]]/$N$1</f>
        <v>1280.0385478547855</v>
      </c>
      <c r="M150" s="76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1">
        <f>Gastos[[#This Row],[Importe AR$]]/$N$1</f>
        <v>760.66270627062704</v>
      </c>
      <c r="M151" s="76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1">
        <f>Gastos[[#This Row],[Importe AR$]]/$N$1</f>
        <v>760.66270627062704</v>
      </c>
      <c r="M152" s="76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1">
        <f>Gastos[[#This Row],[Importe AR$]]/$N$1</f>
        <v>747.40554455445533</v>
      </c>
      <c r="M153" s="76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1">
        <f>Gastos[[#This Row],[Importe AR$]]/$N$1</f>
        <v>799.09003300330028</v>
      </c>
      <c r="M154" s="76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1">
        <f>Gastos[[#This Row],[Importe AR$]]/$N$1</f>
        <v>790.21386138613866</v>
      </c>
      <c r="M155" s="76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1">
        <f>Gastos[[#This Row],[Importe AR$]]/$N$1</f>
        <v>56.071709570957097</v>
      </c>
      <c r="M156" s="76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1">
        <f>Gastos[[#This Row],[Importe AR$]]/$N$1</f>
        <v>406.45147854785478</v>
      </c>
      <c r="M157" s="76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1">
        <f>Gastos[[#This Row],[Importe AR$]]/$N$1</f>
        <v>406.45147854785478</v>
      </c>
      <c r="M158" s="76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1">
        <f>Gastos[[#This Row],[Importe AR$]]/$N$1</f>
        <v>57.618013201320124</v>
      </c>
      <c r="M159" s="76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1">
        <f>Gastos[[#This Row],[Importe AR$]]/$N$1</f>
        <v>236.86950495049504</v>
      </c>
      <c r="M160" s="76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1">
        <f>Gastos[[#This Row],[Importe AR$]]/$N$1</f>
        <v>1001.564891089109</v>
      </c>
      <c r="M161" s="76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1">
        <f>Gastos[[#This Row],[Importe AR$]]/$N$1</f>
        <v>297.02970297029702</v>
      </c>
      <c r="M162" s="76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1">
        <f>Gastos[[#This Row],[Importe AR$]]/$N$1</f>
        <v>273.53260066006601</v>
      </c>
      <c r="M163" s="76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1">
        <f>Gastos[[#This Row],[Importe AR$]]/$N$1</f>
        <v>180.21445544554456</v>
      </c>
      <c r="L164" t="s">
        <v>277</v>
      </c>
      <c r="M164" s="76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1">
        <f>Gastos[[#This Row],[Importe AR$]]/$N$1</f>
        <v>185.14733993399338</v>
      </c>
      <c r="M165" s="76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1">
        <f>Gastos[[#This Row],[Importe AR$]]/$N$1</f>
        <v>345.19855445544556</v>
      </c>
      <c r="M166" s="76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1">
        <f>Gastos[[#This Row],[Importe AR$]]/$N$1</f>
        <v>114.43432343234323</v>
      </c>
      <c r="M167" s="76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1">
        <f>Gastos[[#This Row],[Importe AR$]]/$N$1</f>
        <v>91.240897689768971</v>
      </c>
      <c r="M168" s="76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1">
        <f>Gastos[[#This Row],[Importe AR$]]/$N$1</f>
        <v>278.37830363036306</v>
      </c>
      <c r="M169" s="76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1">
        <f>Gastos[[#This Row],[Importe AR$]]/$N$1</f>
        <v>754.07840264026402</v>
      </c>
      <c r="M170" s="76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1">
        <f>Gastos[[#This Row],[Importe AR$]]/$N$1</f>
        <v>134.95792079207922</v>
      </c>
      <c r="M171" s="76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1">
        <f>Gastos[[#This Row],[Importe AR$]]/$N$1</f>
        <v>37.509141914191417</v>
      </c>
      <c r="M172" s="76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1">
        <f>Gastos[[#This Row],[Importe AR$]]/$N$1</f>
        <v>218.92832343234321</v>
      </c>
      <c r="L173" t="s">
        <v>285</v>
      </c>
      <c r="M173" s="76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1">
        <f>Gastos[[#This Row],[Importe AR$]]/$N$1</f>
        <v>249.40907590759076</v>
      </c>
      <c r="L174" t="s">
        <v>215</v>
      </c>
      <c r="M174" s="76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1">
        <f>Gastos[[#This Row],[Importe AR$]]/$N$1</f>
        <v>249.40907590759076</v>
      </c>
      <c r="L175" t="s">
        <v>289</v>
      </c>
      <c r="M175" s="76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1">
        <f>Gastos[[#This Row],[Importe AR$]]/$N$1</f>
        <v>274.84682508250825</v>
      </c>
      <c r="L176" t="s">
        <v>215</v>
      </c>
      <c r="M176" s="76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1">
        <f>Gastos[[#This Row],[Importe AR$]]/$N$1</f>
        <v>274.84681848184817</v>
      </c>
      <c r="L177" t="s">
        <v>289</v>
      </c>
      <c r="M177" s="76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1">
        <f>Gastos[[#This Row],[Importe AR$]]/$N$1</f>
        <v>274.84681848184817</v>
      </c>
      <c r="L178" t="s">
        <v>289</v>
      </c>
      <c r="M178" s="76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1">
        <f>Gastos[[#This Row],[Importe AR$]]/$N$1</f>
        <v>172.18041584158416</v>
      </c>
      <c r="L179" t="s">
        <v>215</v>
      </c>
      <c r="M179" s="76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1">
        <f>Gastos[[#This Row],[Importe AR$]]/$N$1</f>
        <v>172.18041584158416</v>
      </c>
      <c r="L180" t="s">
        <v>289</v>
      </c>
      <c r="M180" s="76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1">
        <f>Gastos[[#This Row],[Importe AR$]]/$N$1</f>
        <v>595.94831023102302</v>
      </c>
      <c r="L181" t="s">
        <v>215</v>
      </c>
      <c r="M181" s="76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1">
        <f>Gastos[[#This Row],[Importe AR$]]/$N$1</f>
        <v>142.90133333333333</v>
      </c>
      <c r="L182" t="s">
        <v>215</v>
      </c>
      <c r="M182" s="76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1">
        <f>Gastos[[#This Row],[Importe AR$]]/$N$1</f>
        <v>237.72012541254125</v>
      </c>
      <c r="L183" t="s">
        <v>299</v>
      </c>
      <c r="M183" s="76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1">
        <f>Gastos[[#This Row],[Importe AR$]]/$N$1</f>
        <v>483.43084488448841</v>
      </c>
      <c r="L184" t="s">
        <v>289</v>
      </c>
      <c r="M184" s="76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1">
        <f>Gastos[[#This Row],[Importe AR$]]/$N$1</f>
        <v>248.53245544554454</v>
      </c>
      <c r="L185" t="s">
        <v>215</v>
      </c>
      <c r="M185" s="76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1">
        <f>Gastos[[#This Row],[Importe AR$]]/$N$1</f>
        <v>248.53246204620461</v>
      </c>
      <c r="L186" t="s">
        <v>289</v>
      </c>
      <c r="M186" s="76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1">
        <f>Gastos[[#This Row],[Importe AR$]]/$N$1</f>
        <v>208.02528382838284</v>
      </c>
      <c r="L187" t="s">
        <v>215</v>
      </c>
      <c r="M187" s="76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1">
        <f>Gastos[[#This Row],[Importe AR$]]/$N$1</f>
        <v>208.02528382838284</v>
      </c>
      <c r="L188" t="s">
        <v>289</v>
      </c>
      <c r="M188" s="76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1">
        <f>Gastos[[#This Row],[Importe AR$]]/$N$1</f>
        <v>216.78070627062706</v>
      </c>
      <c r="M189" s="76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1">
        <f>Gastos[[#This Row],[Importe AR$]]/$N$1</f>
        <v>210.1840396039604</v>
      </c>
      <c r="M190" s="76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1">
        <f>Gastos[[#This Row],[Importe AR$]]/$N$1</f>
        <v>268.19360396039605</v>
      </c>
      <c r="M191" s="76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1">
        <f>Gastos[[#This Row],[Importe AR$]]/$N$1</f>
        <v>256.55236963696365</v>
      </c>
      <c r="M192" s="76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1">
        <f>Gastos[[#This Row],[Importe AR$]]/$N$1</f>
        <v>26.402640264026402</v>
      </c>
      <c r="M193" s="76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1">
        <f>Gastos[[#This Row],[Importe AR$]]/$N$1</f>
        <v>81.034059405940596</v>
      </c>
      <c r="M194" s="76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1">
        <f>Gastos[[#This Row],[Importe AR$]]/$N$1</f>
        <v>310.23102310231025</v>
      </c>
      <c r="M195" s="76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1">
        <f>Gastos[[#This Row],[Importe AR$]]/$N$1</f>
        <v>9.0165016501650168</v>
      </c>
      <c r="M196" s="76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1">
        <f>Gastos[[#This Row],[Importe AR$]]/$N$1</f>
        <v>119.66996699669967</v>
      </c>
      <c r="M197" s="76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1">
        <f>Gastos[[#This Row],[Importe AR$]]/$N$1</f>
        <v>1122.1122112211222</v>
      </c>
      <c r="M198" s="76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1">
        <f>Gastos[[#This Row],[Importe AR$]]/$N$1</f>
        <v>580.85808580858088</v>
      </c>
      <c r="M199" s="76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1">
        <f>Gastos[[#This Row],[Importe AR$]]/$N$1</f>
        <v>3300.3300330033003</v>
      </c>
      <c r="M200" s="76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1">
        <f>Gastos[[#This Row],[Importe AR$]]/$N$1</f>
        <v>3300.3300330033003</v>
      </c>
      <c r="M201" s="76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1">
        <f>Gastos[[#This Row],[Importe AR$]]/$N$1</f>
        <v>3300.3300330033003</v>
      </c>
      <c r="M202" s="76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1">
        <f>Gastos[[#This Row],[Importe AR$]]/$N$1</f>
        <v>339.14191419141912</v>
      </c>
      <c r="M203" s="76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1">
        <f>Gastos[[#This Row],[Importe AR$]]/$N$1</f>
        <v>365.608</v>
      </c>
      <c r="M204" s="76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1">
        <f>Gastos[[#This Row],[Importe AR$]]/$N$1</f>
        <v>339.14191419141912</v>
      </c>
      <c r="M205" s="76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1">
        <f>Gastos[[#This Row],[Importe AR$]]/$N$1</f>
        <v>660.0660066006601</v>
      </c>
      <c r="M206" s="76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1">
        <f>Gastos[[#This Row],[Importe AR$]]/$N$1</f>
        <v>786.27237623762369</v>
      </c>
      <c r="M207" s="76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1">
        <f>Gastos[[#This Row],[Importe AR$]]/$N$1</f>
        <v>290.42904290429044</v>
      </c>
      <c r="M208" s="76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1">
        <f>Gastos[[#This Row],[Importe AR$]]/$N$1</f>
        <v>1056.1056105610562</v>
      </c>
      <c r="M209" s="76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1">
        <f>Gastos[[#This Row],[Importe AR$]]/$N$1</f>
        <v>72.692376237623762</v>
      </c>
      <c r="M210" s="76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1">
        <f>Gastos[[#This Row],[Importe AR$]]/$N$1</f>
        <v>155.11551155115512</v>
      </c>
      <c r="M211" s="76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1">
        <f>Gastos[[#This Row],[Importe AR$]]/$N$1</f>
        <v>184.81848184818483</v>
      </c>
      <c r="M212" s="76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1">
        <f>Gastos[[#This Row],[Importe AR$]]/$N$1</f>
        <v>419.14191419141912</v>
      </c>
      <c r="M213" s="76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1">
        <f>Gastos[[#This Row],[Importe AR$]]/$N$1</f>
        <v>1056.1056105610562</v>
      </c>
      <c r="M214" s="76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1">
        <f>Gastos[[#This Row],[Importe AR$]]/$N$1</f>
        <v>20.992653465346535</v>
      </c>
      <c r="L215" t="s">
        <v>340</v>
      </c>
      <c r="M215" s="76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1">
        <f>Gastos[[#This Row],[Importe AR$]]/$N$1</f>
        <v>624.44620462046203</v>
      </c>
      <c r="M216" s="76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1">
        <f>Gastos[[#This Row],[Importe AR$]]/$N$1</f>
        <v>79.207920792079207</v>
      </c>
      <c r="M217" s="76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1">
        <f>Gastos[[#This Row],[Importe AR$]]/$N$1</f>
        <v>105.08250825082509</v>
      </c>
      <c r="M218" s="76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1">
        <f>Gastos[[#This Row],[Importe AR$]]/$N$1</f>
        <v>901.86691089108922</v>
      </c>
      <c r="M219" s="76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1">
        <f>Gastos[[#This Row],[Importe AR$]]/$N$1</f>
        <v>316.80198019801981</v>
      </c>
      <c r="M220" s="76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1">
        <f>Gastos[[#This Row],[Importe AR$]]/$N$1</f>
        <v>27.326072607260727</v>
      </c>
      <c r="M221" s="76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1">
        <f>Gastos[[#This Row],[Importe AR$]]/$N$1</f>
        <v>392.44994059405946</v>
      </c>
      <c r="M222" s="76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1">
        <f>Gastos[[#This Row],[Importe AR$]]/$N$1</f>
        <v>103.82838283828383</v>
      </c>
      <c r="M223" s="76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1">
        <f>Gastos[[#This Row],[Importe AR$]]/$N$1</f>
        <v>175.70957095709571</v>
      </c>
      <c r="M224" s="76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1">
        <f>Gastos[[#This Row],[Importe AR$]]/$N$1</f>
        <v>3085.0151155115514</v>
      </c>
      <c r="L225" t="s">
        <v>361</v>
      </c>
      <c r="M225" s="76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1">
        <f>Gastos[[#This Row],[Importe AR$]]/$N$1</f>
        <v>95.841584158415841</v>
      </c>
      <c r="M226" s="76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1">
        <f>Gastos[[#This Row],[Importe AR$]]/$N$1</f>
        <v>79.207920792079207</v>
      </c>
      <c r="M227" s="76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1">
        <f>Gastos[[#This Row],[Importe AR$]]/$N$1</f>
        <v>66.006600660066013</v>
      </c>
      <c r="M228" s="76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1">
        <f>Gastos[[#This Row],[Importe AR$]]/$N$1</f>
        <v>462.04620462046205</v>
      </c>
      <c r="M229" s="76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1">
        <f>Gastos[[#This Row],[Importe AR$]]/$N$1</f>
        <v>316.83168316831683</v>
      </c>
      <c r="M230" s="76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1">
        <f>Gastos[[#This Row],[Importe AR$]]/$N$1</f>
        <v>448.84488448844883</v>
      </c>
      <c r="M231" s="76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1">
        <f>Gastos[[#This Row],[Importe AR$]]/$N$1</f>
        <v>1815.1815181518152</v>
      </c>
      <c r="M232" s="76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1">
        <f>Gastos[[#This Row],[Importe AR$]]/$N$1</f>
        <v>354.19056105610559</v>
      </c>
      <c r="M233" s="76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1">
        <f>Gastos[[#This Row],[Importe AR$]]/$N$1</f>
        <v>95.049504950495049</v>
      </c>
      <c r="M234" s="76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1">
        <f>Gastos[[#This Row],[Importe AR$]]/$N$1</f>
        <v>312.62722772277226</v>
      </c>
      <c r="M235" s="76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1">
        <f>Gastos[[#This Row],[Importe AR$]]/$N$1</f>
        <v>86.78257425742575</v>
      </c>
      <c r="M236" s="76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1">
        <f>Gastos[[#This Row],[Importe AR$]]/$N$1</f>
        <v>1357.5511551155116</v>
      </c>
      <c r="M237" s="76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1">
        <f>Gastos[[#This Row],[Importe AR$]]/$N$1</f>
        <v>1287.1287128712872</v>
      </c>
      <c r="M238" s="76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1">
        <f>Gastos[[#This Row],[Importe AR$]]/$N$1</f>
        <v>1287.1287128712872</v>
      </c>
      <c r="M239" s="76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1">
        <f>Gastos[[#This Row],[Importe AR$]]/$N$1</f>
        <v>1287.1287128712872</v>
      </c>
      <c r="M240" s="76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1">
        <f>Gastos[[#This Row],[Importe AR$]]/$N$1</f>
        <v>1287.1287128712872</v>
      </c>
      <c r="M241" s="76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1">
        <f>Gastos[[#This Row],[Importe AR$]]/$N$1</f>
        <v>396.03960396039605</v>
      </c>
      <c r="M242" s="76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1">
        <f>Gastos[[#This Row],[Importe AR$]]/$N$1</f>
        <v>231.02310231023102</v>
      </c>
      <c r="M243" s="76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1">
        <f>Gastos[[#This Row],[Importe AR$]]/$N$1</f>
        <v>66.006600660066013</v>
      </c>
      <c r="M244" s="76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1">
        <f>Gastos[[#This Row],[Importe AR$]]/$N$1</f>
        <v>146.40858745874587</v>
      </c>
      <c r="M245" s="76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1">
        <f>Gastos[[#This Row],[Importe AR$]]/$N$1</f>
        <v>363.03630363036302</v>
      </c>
      <c r="M246" s="76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1">
        <f>Gastos[[#This Row],[Importe AR$]]/$N$1</f>
        <v>184.81848184818483</v>
      </c>
      <c r="M247" s="76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1">
        <f>Gastos[[#This Row],[Importe AR$]]/$N$1</f>
        <v>184.81848184818483</v>
      </c>
      <c r="M248" s="76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1">
        <f>Gastos[[#This Row],[Importe AR$]]/$N$1</f>
        <v>270.62706270627064</v>
      </c>
      <c r="M249" s="76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1">
        <f>Gastos[[#This Row],[Importe AR$]]/$N$1</f>
        <v>89.452145214521451</v>
      </c>
      <c r="M250" s="76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1">
        <f>Gastos[[#This Row],[Importe AR$]]/$N$1</f>
        <v>89.452145214521451</v>
      </c>
      <c r="M251" s="76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1">
        <f>Gastos[[#This Row],[Importe AR$]]/$N$1</f>
        <v>15.841584158415841</v>
      </c>
      <c r="M252" s="76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2">
        <f>Gastos[[#This Row],[Importe AR$]]/$N$1</f>
        <v>297.02970297029702</v>
      </c>
      <c r="M253" s="76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1">
        <f>Gastos[[#This Row],[Importe AR$]]/$N$1</f>
        <v>297.02970297029702</v>
      </c>
      <c r="M254" s="76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1">
        <f>Gastos[[#This Row],[Importe AR$]]/$N$1</f>
        <v>297.02970297029702</v>
      </c>
      <c r="M255" s="76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1">
        <f>Gastos[[#This Row],[Importe AR$]]/$N$1</f>
        <v>297.02970297029702</v>
      </c>
      <c r="M256" s="76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1">
        <f>Gastos[[#This Row],[Importe AR$]]/$N$1</f>
        <v>297.02970297029702</v>
      </c>
      <c r="M257" s="76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1">
        <f>Gastos[[#This Row],[Importe AR$]]/$N$1</f>
        <v>297.02970297029702</v>
      </c>
      <c r="M258" s="76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1">
        <f>Gastos[[#This Row],[Importe AR$]]/$N$1</f>
        <v>297.02970297029702</v>
      </c>
      <c r="M259" s="76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1">
        <f>Gastos[[#This Row],[Importe AR$]]/$N$1</f>
        <v>297.02970297029702</v>
      </c>
      <c r="M260" s="76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1">
        <f>Gastos[[#This Row],[Importe AR$]]/$N$1</f>
        <v>297.02970297029702</v>
      </c>
      <c r="M261" s="76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1">
        <f>Gastos[[#This Row],[Importe AR$]]/$N$1</f>
        <v>297.02970297029702</v>
      </c>
      <c r="M262" s="76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1">
        <f>Gastos[[#This Row],[Importe AR$]]/$N$1</f>
        <v>350.00924092409241</v>
      </c>
      <c r="M263" s="76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1">
        <f>Gastos[[#This Row],[Importe AR$]]/$N$1</f>
        <v>211.94455445544554</v>
      </c>
      <c r="M264" s="76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1">
        <f>Gastos[[#This Row],[Importe AR$]]/$N$1</f>
        <v>431.54587458745874</v>
      </c>
      <c r="M265" s="76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1">
        <f>Gastos[[#This Row],[Importe AR$]]/$N$1</f>
        <v>226.66666666666666</v>
      </c>
      <c r="M266" s="76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1">
        <f>Gastos[[#This Row],[Importe AR$]]/$N$1</f>
        <v>163.07854785478548</v>
      </c>
      <c r="M267" s="76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1">
        <f>Gastos[[#This Row],[Importe AR$]]/$N$1</f>
        <v>30.996699669966997</v>
      </c>
      <c r="M268" s="76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1">
        <f>Gastos[[#This Row],[Importe AR$]]/$N$1</f>
        <v>243.13663366336633</v>
      </c>
      <c r="M269" s="76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1">
        <f>Gastos[[#This Row],[Importe AR$]]/$N$1</f>
        <v>649.50495049504946</v>
      </c>
      <c r="M270" s="76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1">
        <f>Gastos[[#This Row],[Importe AR$]]/$N$1</f>
        <v>31.683168316831683</v>
      </c>
      <c r="M271" s="76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1">
        <f>Gastos[[#This Row],[Importe AR$]]/$N$1</f>
        <v>240.15863366336634</v>
      </c>
      <c r="M272" s="76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1">
        <f>Gastos[[#This Row],[Importe AR$]]/$N$1</f>
        <v>1.0294851485148515</v>
      </c>
      <c r="L273" t="s">
        <v>340</v>
      </c>
      <c r="M273" s="76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1">
        <f>Gastos[[#This Row],[Importe AR$]]/$N$1</f>
        <v>532.68353135313532</v>
      </c>
      <c r="L274" t="s">
        <v>150</v>
      </c>
      <c r="M274" s="76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1">
        <f>Gastos[[#This Row],[Importe AR$]]/$N$1</f>
        <v>14.473194719471946</v>
      </c>
      <c r="M275" s="76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1">
        <f>Gastos[[#This Row],[Importe AR$]]/$N$1</f>
        <v>271.2561782178218</v>
      </c>
      <c r="M276" s="76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1">
        <f>Gastos[[#This Row],[Importe AR$]]/$N$1</f>
        <v>796.03960396039599</v>
      </c>
      <c r="L277" t="s">
        <v>215</v>
      </c>
      <c r="M277" s="76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2">
        <f>Gastos[[#This Row],[Importe AR$]]/$N$1</f>
        <v>1609.915914191419</v>
      </c>
      <c r="L278" t="s">
        <v>458</v>
      </c>
      <c r="M278" s="76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1">
        <f>Gastos[[#This Row],[Importe AR$]]/$N$1</f>
        <v>697.68976897689765</v>
      </c>
      <c r="L279" s="27" t="s">
        <v>460</v>
      </c>
      <c r="M279" s="76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1">
        <f>Gastos[[#This Row],[Importe AR$]]/$N$1</f>
        <v>504.00588118811885</v>
      </c>
      <c r="M280" s="76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1">
        <f>Gastos[[#This Row],[Importe AR$]]/$N$1</f>
        <v>16.668785478547854</v>
      </c>
      <c r="M281" s="76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1">
        <f>Gastos[[#This Row],[Importe AR$]]/$N$1</f>
        <v>84.124547854785476</v>
      </c>
      <c r="M282" s="76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1">
        <f>Gastos[[#This Row],[Importe AR$]]/$N$1</f>
        <v>499.5187722772277</v>
      </c>
      <c r="M283" s="76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1">
        <f>Gastos[[#This Row],[Importe AR$]]/$N$1</f>
        <v>3.9047920792079212</v>
      </c>
      <c r="M284" s="76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1">
        <f>Gastos[[#This Row],[Importe AR$]]/$N$1</f>
        <v>769.95379537953795</v>
      </c>
      <c r="M285" s="76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1">
        <f>Gastos[[#This Row],[Importe AR$]]/$N$1</f>
        <v>970.18151815181523</v>
      </c>
      <c r="M286" s="76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1">
        <f>Gastos[[#This Row],[Importe AR$]]/$N$1</f>
        <v>268.40087128712872</v>
      </c>
      <c r="M287" s="76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1">
        <f>Gastos[[#This Row],[Importe AR$]]/$N$1</f>
        <v>415.67656765676566</v>
      </c>
      <c r="M288" s="76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1">
        <f>Gastos[[#This Row],[Importe AR$]]/$N$1</f>
        <v>26.402640264026402</v>
      </c>
      <c r="M289" s="76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1">
        <f>Gastos[[#This Row],[Importe AR$]]/$N$1</f>
        <v>66.006600660066013</v>
      </c>
      <c r="M290" s="76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1">
        <f>Gastos[[#This Row],[Importe AR$]]/$N$1</f>
        <v>92.409240924092416</v>
      </c>
      <c r="M291" s="76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1">
        <f>Gastos[[#This Row],[Importe AR$]]/$N$1</f>
        <v>3078.6858085808581</v>
      </c>
      <c r="L292" t="s">
        <v>479</v>
      </c>
      <c r="M292" s="76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1">
        <f>Gastos[[#This Row],[Importe AR$]]/$N$1</f>
        <v>2198.308864686469</v>
      </c>
      <c r="M293" s="76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1">
        <f>Gastos[[#This Row],[Importe AR$]]/$N$1</f>
        <v>1056.1056105610562</v>
      </c>
      <c r="M294" s="76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1">
        <f>Gastos[[#This Row],[Importe AR$]]/$N$1</f>
        <v>365.83528052805275</v>
      </c>
      <c r="L295" t="s">
        <v>150</v>
      </c>
      <c r="M295" s="77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1">
        <f>Gastos[[#This Row],[Importe AR$]]/$N$1</f>
        <v>230.62706270627064</v>
      </c>
      <c r="M296" s="76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1">
        <f>Gastos[[#This Row],[Importe AR$]]/$N$1</f>
        <v>143.23432343234325</v>
      </c>
      <c r="M297" s="76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1">
        <f>Gastos[[#This Row],[Importe AR$]]/$N$1</f>
        <v>177.63210561056107</v>
      </c>
      <c r="M298" s="76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1">
        <f>Gastos[[#This Row],[Importe AR$]]/$N$1</f>
        <v>326.23730033003301</v>
      </c>
      <c r="M299" s="76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1">
        <f>Gastos[[#This Row],[Importe AR$]]/$N$1</f>
        <v>649.50495049504946</v>
      </c>
      <c r="L300" t="s">
        <v>215</v>
      </c>
      <c r="M300" s="76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1">
        <f>Gastos[[#This Row],[Importe AR$]]/$N$1</f>
        <v>369.30692409240925</v>
      </c>
      <c r="L301" t="s">
        <v>361</v>
      </c>
      <c r="M301" s="76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1">
        <f>Gastos[[#This Row],[Importe AR$]]/$N$1</f>
        <v>274.25742574257424</v>
      </c>
      <c r="M302" s="76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1">
        <f>Gastos[[#This Row],[Importe AR$]]/$N$1</f>
        <v>272.25058745874588</v>
      </c>
      <c r="M303" s="76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1">
        <f>Gastos[[#This Row],[Importe AR$]]/$N$1</f>
        <v>85.808580858085804</v>
      </c>
      <c r="M304" s="76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1">
        <f>Gastos[[#This Row],[Importe AR$]]/$N$1</f>
        <v>128.71287128712871</v>
      </c>
      <c r="M305" s="76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1">
        <f>Gastos[[#This Row],[Importe AR$]]/$N$1</f>
        <v>557.75577557755776</v>
      </c>
      <c r="M306" s="76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1">
        <f>Gastos[[#This Row],[Importe AR$]]/$N$1</f>
        <v>171.61716171617161</v>
      </c>
      <c r="M307" s="76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1">
        <f>Gastos[[#This Row],[Importe AR$]]/$N$1</f>
        <v>473.81565676567652</v>
      </c>
      <c r="M308" s="76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1">
        <f>Gastos[[#This Row],[Importe AR$]]/$N$1</f>
        <v>202.31023102310232</v>
      </c>
      <c r="M309" s="76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1">
        <f>Gastos[[#This Row],[Importe AR$]]/$N$1</f>
        <v>268.8051617161716</v>
      </c>
      <c r="M310" s="76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1">
        <f>Gastos[[#This Row],[Importe AR$]]/$N$1</f>
        <v>145.21452145214522</v>
      </c>
      <c r="M311" s="76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1">
        <f>Gastos[[#This Row],[Importe AR$]]/$N$1</f>
        <v>207.83620462046204</v>
      </c>
      <c r="M312" s="76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1">
        <f>Gastos[[#This Row],[Importe AR$]]/$N$1</f>
        <v>207.83620462046204</v>
      </c>
      <c r="M313" s="76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1">
        <f>Gastos[[#This Row],[Importe AR$]]/$N$1</f>
        <v>376.23762376237624</v>
      </c>
      <c r="L314" t="s">
        <v>215</v>
      </c>
      <c r="M314" s="76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1">
        <f>Gastos[[#This Row],[Importe AR$]]/$N$1</f>
        <v>16.569557755775577</v>
      </c>
      <c r="L315" t="s">
        <v>340</v>
      </c>
      <c r="M315" s="76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1">
        <f>Gastos[[#This Row],[Importe AR$]]/$N$1</f>
        <v>400.59412541254125</v>
      </c>
      <c r="M316" s="76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1">
        <f>Gastos[[#This Row],[Importe AR$]]/$N$1</f>
        <v>167.64359075907592</v>
      </c>
      <c r="M317" s="76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1">
        <f>Gastos[[#This Row],[Importe AR$]]/$N$1</f>
        <v>167.64359075907592</v>
      </c>
      <c r="M318" s="76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1">
        <f>Gastos[[#This Row],[Importe AR$]]/$N$1</f>
        <v>478.54785478547853</v>
      </c>
      <c r="M319" s="76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1">
        <f>Gastos[[#This Row],[Importe AR$]]/$N$1</f>
        <v>494.82011881188117</v>
      </c>
      <c r="M320" s="76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1">
        <f>Gastos[[#This Row],[Importe AR$]]/$N$1</f>
        <v>76.136976897689777</v>
      </c>
      <c r="M321" s="76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1">
        <f>Gastos[[#This Row],[Importe AR$]]/$N$1</f>
        <v>203.30033003300329</v>
      </c>
      <c r="L322" t="s">
        <v>215</v>
      </c>
      <c r="M322" s="76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1">
        <f>Gastos[[#This Row],[Importe AR$]]/$N$1</f>
        <v>448.84488448844883</v>
      </c>
      <c r="M323" s="76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1">
        <f>Gastos[[#This Row],[Importe AR$]]/$N$1</f>
        <v>848.1848184818482</v>
      </c>
      <c r="L324" t="s">
        <v>215</v>
      </c>
      <c r="M324" s="76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1">
        <f>Gastos[[#This Row],[Importe AR$]]/$N$1</f>
        <v>42.904290429042902</v>
      </c>
      <c r="L325" t="s">
        <v>361</v>
      </c>
      <c r="M325" s="76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1">
        <f>Gastos[[#This Row],[Importe AR$]]/$N$1</f>
        <v>462.04620462046205</v>
      </c>
      <c r="L326" t="s">
        <v>289</v>
      </c>
      <c r="M326" s="76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1">
        <f>Gastos[[#This Row],[Importe AR$]]/$N$1</f>
        <v>79.207920792079207</v>
      </c>
      <c r="L327" t="s">
        <v>289</v>
      </c>
      <c r="M327" s="76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1">
        <f>Gastos[[#This Row],[Importe AR$]]/$N$1</f>
        <v>699.66996699669971</v>
      </c>
      <c r="L328" t="s">
        <v>215</v>
      </c>
      <c r="M328" s="76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1">
        <f>Gastos[[#This Row],[Importe AR$]]/$N$1</f>
        <v>2310.2310231023102</v>
      </c>
      <c r="M329" s="76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1">
        <f>Gastos[[#This Row],[Importe AR$]]/$N$1</f>
        <v>311.55115511551156</v>
      </c>
      <c r="M330" s="76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1">
        <f>Gastos[[#This Row],[Importe AR$]]/$N$1</f>
        <v>18.481848184818482</v>
      </c>
      <c r="M331" s="76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1">
        <f>Gastos[[#This Row],[Importe AR$]]/$N$1</f>
        <v>330.03300330033005</v>
      </c>
      <c r="M332" s="76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1">
        <f>Gastos[[#This Row],[Importe AR$]]/$N$1</f>
        <v>858.08580858085804</v>
      </c>
      <c r="M333" s="76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1">
        <f>Gastos[[#This Row],[Importe AR$]]/$N$1</f>
        <v>462.04620462046205</v>
      </c>
      <c r="M334" s="76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1">
        <f>Gastos[[#This Row],[Importe AR$]]/$N$1</f>
        <v>660.0660066006601</v>
      </c>
      <c r="M335" s="76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1">
        <f>Gastos[[#This Row],[Importe AR$]]/$N$1</f>
        <v>716.83168316831689</v>
      </c>
      <c r="M336" s="76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1">
        <f>Gastos[[#This Row],[Importe AR$]]/$N$1</f>
        <v>329.85755775577559</v>
      </c>
      <c r="M337" s="76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1">
        <f>Gastos[[#This Row],[Importe AR$]]/$N$1</f>
        <v>336.70716171617158</v>
      </c>
      <c r="M338" s="76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1">
        <f>Gastos[[#This Row],[Importe AR$]]/$N$1</f>
        <v>530.41438943894389</v>
      </c>
      <c r="M339" s="76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1">
        <f>Gastos[[#This Row],[Importe AR$]]/$N$1</f>
        <v>335.51742574257429</v>
      </c>
      <c r="M340" s="76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1">
        <f>Gastos[[#This Row],[Importe AR$]]/$N$1</f>
        <v>332.92877887788779</v>
      </c>
      <c r="M341" s="76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1">
        <f>Gastos[[#This Row],[Importe AR$]]/$N$1</f>
        <v>307.33201320132014</v>
      </c>
      <c r="L342" t="s">
        <v>566</v>
      </c>
      <c r="M342" s="76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1">
        <f>Gastos[[#This Row],[Importe AR$]]/$N$1</f>
        <v>594.05940594059405</v>
      </c>
      <c r="L343" t="s">
        <v>361</v>
      </c>
      <c r="M343" s="76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1">
        <f>Gastos[[#This Row],[Importe AR$]]/$N$1</f>
        <v>14081.197280528053</v>
      </c>
      <c r="M344" s="76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1">
        <f>Gastos[[#This Row],[Importe AR$]]/$N$1</f>
        <v>2248.5489438943896</v>
      </c>
      <c r="M345" s="76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1">
        <f>Gastos[[#This Row],[Importe AR$]]/$N$1</f>
        <v>1076.5676567656765</v>
      </c>
      <c r="M346" s="76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1">
        <f>Gastos[[#This Row],[Importe AR$]]/$N$1</f>
        <v>198.01980198019803</v>
      </c>
      <c r="M347" s="76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1">
        <f>Gastos[[#This Row],[Importe AR$]]/$N$1</f>
        <v>412.54125412541254</v>
      </c>
      <c r="M348" s="76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1">
        <f>Gastos[[#This Row],[Importe AR$]]/$N$1</f>
        <v>640.45676567656767</v>
      </c>
      <c r="M349" s="76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1">
        <f>Gastos[[#This Row],[Importe AR$]]/$N$1</f>
        <v>1241.261894389439</v>
      </c>
      <c r="M350" s="76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2">
        <f>Gastos[[#This Row],[Importe AR$]]/$N$1</f>
        <v>79.207920792079207</v>
      </c>
      <c r="M351" s="76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1">
        <f>Gastos[[#This Row],[Importe AR$]]/$N$1</f>
        <v>137.95379537953795</v>
      </c>
      <c r="M352" s="76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1">
        <f>Gastos[[#This Row],[Importe AR$]]/$N$1</f>
        <v>74.588118811881188</v>
      </c>
      <c r="M353" s="76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1">
        <f>Gastos[[#This Row],[Importe AR$]]/$N$1</f>
        <v>26.402640264026402</v>
      </c>
      <c r="M354" s="76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1">
        <f>Gastos[[#This Row],[Importe AR$]]/$N$1</f>
        <v>39.603960396039604</v>
      </c>
      <c r="M355" s="76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1">
        <f>Gastos[[#This Row],[Importe AR$]]/$N$1</f>
        <v>66.006600660066013</v>
      </c>
      <c r="M356" s="76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1">
        <f>Gastos[[#This Row],[Importe AR$]]/$N$1</f>
        <v>66.006600660066013</v>
      </c>
      <c r="M357" s="76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1">
        <f>Gastos[[#This Row],[Importe AR$]]/$N$1</f>
        <v>66.006600660066013</v>
      </c>
      <c r="M358" s="76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1">
        <f>Gastos[[#This Row],[Importe AR$]]/$N$1</f>
        <v>79.214831683168313</v>
      </c>
      <c r="M359" s="76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1">
        <f>Gastos[[#This Row],[Importe AR$]]/$N$1</f>
        <v>62.705702970297033</v>
      </c>
      <c r="M360" s="76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1">
        <f>Gastos[[#This Row],[Importe AR$]]/$N$1</f>
        <v>62.706270627062707</v>
      </c>
      <c r="M361" s="76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1">
        <f>Gastos[[#This Row],[Importe AR$]]/$N$1</f>
        <v>79.207920792079207</v>
      </c>
      <c r="M362" s="76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1">
        <f>Gastos[[#This Row],[Importe AR$]]/$N$1</f>
        <v>66.006600660066013</v>
      </c>
      <c r="M363" s="76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1">
        <f>Gastos[[#This Row],[Importe AR$]]/$N$1</f>
        <v>1277.8877887788778</v>
      </c>
      <c r="M364" s="76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1">
        <f>Gastos[[#This Row],[Importe AR$]]/$N$1</f>
        <v>634.65756435643561</v>
      </c>
      <c r="M365" s="76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1">
        <f>Gastos[[#This Row],[Importe AR$]]/$N$1</f>
        <v>94.39273927392739</v>
      </c>
      <c r="M366" s="76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1">
        <f>Gastos[[#This Row],[Importe AR$]]/$N$1</f>
        <v>59.405940594059409</v>
      </c>
      <c r="M367" s="76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1">
        <f>Gastos[[#This Row],[Importe AR$]]/$N$1</f>
        <v>1277.8877887788778</v>
      </c>
      <c r="M368" s="76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1">
        <f>Gastos[[#This Row],[Importe AR$]]/$N$1</f>
        <v>217.88778877887788</v>
      </c>
      <c r="M369" s="76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1">
        <f>Gastos[[#This Row],[Importe AR$]]/$N$1</f>
        <v>41.980198019801982</v>
      </c>
      <c r="M370" s="76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1">
        <f>Gastos[[#This Row],[Importe AR$]]/$N$1</f>
        <v>29.504950495049506</v>
      </c>
      <c r="M371" s="76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1">
        <f>Gastos[[#This Row],[Importe AR$]]/$N$1</f>
        <v>69.884488448844891</v>
      </c>
      <c r="M372" s="76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1">
        <f>Gastos[[#This Row],[Importe AR$]]/$N$1</f>
        <v>67.194719471947195</v>
      </c>
      <c r="M373" s="76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1">
        <f>Gastos[[#This Row],[Importe AR$]]/$N$1</f>
        <v>44.726072607260726</v>
      </c>
      <c r="M374" s="76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1">
        <f>Gastos[[#This Row],[Importe AR$]]/$N$1</f>
        <v>47.920792079207921</v>
      </c>
      <c r="M375" s="76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1">
        <f>Gastos[[#This Row],[Importe AR$]]/$N$1</f>
        <v>10360.355960396038</v>
      </c>
      <c r="M376" s="76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1">
        <f>Gastos[[#This Row],[Importe AR$]]/$N$1</f>
        <v>9732.0437227722778</v>
      </c>
      <c r="M377" s="76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1">
        <f>Gastos[[#This Row],[Importe AR$]]/$N$1</f>
        <v>4592.7669438943894</v>
      </c>
      <c r="M378" s="76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1">
        <f>Gastos[[#This Row],[Importe AR$]]/$N$1</f>
        <v>4894.9754191419142</v>
      </c>
      <c r="M379" s="76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1">
        <f>Gastos[[#This Row],[Importe AR$]]/$N$1</f>
        <v>4592.7669438943894</v>
      </c>
      <c r="M380" s="76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1">
        <f>Gastos[[#This Row],[Importe AR$]]/$N$1</f>
        <v>4894.9754191419142</v>
      </c>
      <c r="M381" s="76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1">
        <f>Gastos[[#This Row],[Importe AR$]]/$N$1</f>
        <v>894.90099009900985</v>
      </c>
      <c r="M382" s="76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1">
        <f>Gastos[[#This Row],[Importe AR$]]/$N$1</f>
        <v>1023.4169372937293</v>
      </c>
      <c r="M383" s="76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1">
        <f>Gastos[[#This Row],[Importe AR$]]/$N$1</f>
        <v>997.23036303630363</v>
      </c>
      <c r="L384" t="s">
        <v>625</v>
      </c>
      <c r="M384" s="76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1">
        <f>Gastos[[#This Row],[Importe AR$]]/$N$1</f>
        <v>818.64686468646869</v>
      </c>
      <c r="M385" s="76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1">
        <f>Gastos[[#This Row],[Importe AR$]]/$N$1</f>
        <v>759.07590759075913</v>
      </c>
      <c r="M386" s="76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1">
        <f>Gastos[[#This Row],[Importe AR$]]/$N$1</f>
        <v>759.07590759075913</v>
      </c>
      <c r="M387" s="76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1">
        <f>Gastos[[#This Row],[Importe AR$]]/$N$1</f>
        <v>759.07590759075913</v>
      </c>
      <c r="M388" s="76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1">
        <f>Gastos[[#This Row],[Importe AR$]]/$N$1</f>
        <v>759.07590759075913</v>
      </c>
      <c r="M389" s="76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1">
        <f>Gastos[[#This Row],[Importe AR$]]/$N$1</f>
        <v>759.07590759075913</v>
      </c>
      <c r="M390" s="76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1">
        <f>Gastos[[#This Row],[Importe AR$]]/$N$1</f>
        <v>759.07590759075913</v>
      </c>
      <c r="M391" s="76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1">
        <f>Gastos[[#This Row],[Importe AR$]]/$N$1</f>
        <v>759.07590759075913</v>
      </c>
      <c r="M392" s="76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1">
        <f>Gastos[[#This Row],[Importe AR$]]/$N$1</f>
        <v>429.04290429042902</v>
      </c>
      <c r="M393" s="76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1">
        <f>Gastos[[#This Row],[Importe AR$]]/$N$1</f>
        <v>330.03300330033005</v>
      </c>
      <c r="M394" s="76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1">
        <f>Gastos[[#This Row],[Importe AR$]]/$N$1</f>
        <v>66.006600660066013</v>
      </c>
      <c r="M395" s="76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1">
        <f>Gastos[[#This Row],[Importe AR$]]/$N$1</f>
        <v>185.47854785478549</v>
      </c>
      <c r="M396" s="76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1">
        <f>Gastos[[#This Row],[Importe AR$]]/$N$1</f>
        <v>231.02310231023102</v>
      </c>
      <c r="M397" s="76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1">
        <f>Gastos[[#This Row],[Importe AR$]]/$N$1</f>
        <v>307.59075907590761</v>
      </c>
      <c r="M398" s="76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1">
        <f>Gastos[[#This Row],[Importe AR$]]/$N$1</f>
        <v>73.095709570957098</v>
      </c>
      <c r="M399" s="76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1">
        <f>Gastos[[#This Row],[Importe AR$]]/$N$1</f>
        <v>1023.4169438943894</v>
      </c>
      <c r="M400" s="76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1">
        <f>Gastos[[#This Row],[Importe AR$]]/$N$1</f>
        <v>109.76897689768977</v>
      </c>
      <c r="M401" s="76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1">
        <f>Gastos[[#This Row],[Importe AR$]]/$N$1</f>
        <v>132.01320132013203</v>
      </c>
      <c r="M402" s="76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1">
        <f>Gastos[[#This Row],[Importe AR$]]/$N$1</f>
        <v>168.31683168316832</v>
      </c>
      <c r="M403" s="76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1">
        <f>Gastos[[#This Row],[Importe AR$]]/$N$1</f>
        <v>198.01980198019803</v>
      </c>
      <c r="M404" s="76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1">
        <f>Gastos[[#This Row],[Importe AR$]]/$N$1</f>
        <v>203.6</v>
      </c>
      <c r="M405" s="76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1">
        <f>Gastos[[#This Row],[Importe AR$]]/$N$1</f>
        <v>231.02310231023102</v>
      </c>
      <c r="M406" s="76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1">
        <f>Gastos[[#This Row],[Importe AR$]]/$N$1</f>
        <v>290.42904290429044</v>
      </c>
      <c r="M407" s="76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1">
        <f>Gastos[[#This Row],[Importe AR$]]/$N$1</f>
        <v>301.65016501650166</v>
      </c>
      <c r="M408" s="76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1">
        <f>Gastos[[#This Row],[Importe AR$]]/$N$1</f>
        <v>311.55115511551156</v>
      </c>
      <c r="M409" s="76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1">
        <f>Gastos[[#This Row],[Importe AR$]]/$N$1</f>
        <v>311.55115511551156</v>
      </c>
      <c r="M410" s="76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1">
        <f>Gastos[[#This Row],[Importe AR$]]/$N$1</f>
        <v>4610.561056105611</v>
      </c>
      <c r="L411" t="s">
        <v>645</v>
      </c>
      <c r="M411" s="76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1">
        <f>Gastos[[#This Row],[Importe AR$]]/$N$1</f>
        <v>4230.0553729372932</v>
      </c>
      <c r="L412" t="s">
        <v>215</v>
      </c>
      <c r="M412" s="76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1">
        <f>Gastos[[#This Row],[Importe AR$]]/$N$1</f>
        <v>95.115511551155109</v>
      </c>
      <c r="M413" s="76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1">
        <f>Gastos[[#This Row],[Importe AR$]]/$N$1</f>
        <v>660.0660066006601</v>
      </c>
      <c r="M414" s="76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1">
        <f>Gastos[[#This Row],[Importe AR$]]/$N$1</f>
        <v>916.04270627062704</v>
      </c>
      <c r="M415" s="76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1">
        <f>Gastos[[#This Row],[Importe AR$]]/$N$1</f>
        <v>1031.3531353135313</v>
      </c>
      <c r="M416" s="76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1">
        <f>Gastos[[#This Row],[Importe AR$]]/$N$1</f>
        <v>1056.1056105610562</v>
      </c>
      <c r="M417" s="76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1">
        <f>Gastos[[#This Row],[Importe AR$]]/$N$1</f>
        <v>825.08250825082507</v>
      </c>
      <c r="M418" s="76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1">
        <f>Gastos[[#This Row],[Importe AR$]]/$N$1</f>
        <v>306.28601980198022</v>
      </c>
      <c r="M419" s="76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1">
        <f>Gastos[[#This Row],[Importe AR$]]/$N$1</f>
        <v>640.82881188118813</v>
      </c>
      <c r="M420" s="76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1">
        <f>Gastos[[#This Row],[Importe AR$]]/$N$1</f>
        <v>2002.7080924092409</v>
      </c>
      <c r="M421" s="76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1">
        <f>Gastos[[#This Row],[Importe AR$]]/$N$1</f>
        <v>42.743623762376238</v>
      </c>
      <c r="M422" s="76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1">
        <f>Gastos[[#This Row],[Importe AR$]]/$N$1</f>
        <v>330.03300330033005</v>
      </c>
      <c r="M423" s="76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1">
        <f>Gastos[[#This Row],[Importe AR$]]/$N$1</f>
        <v>346.99405940594062</v>
      </c>
      <c r="M424" s="76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1">
        <f>Gastos[[#This Row],[Importe AR$]]/$N$1</f>
        <v>726.07260726072604</v>
      </c>
      <c r="M425" s="76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1">
        <f>Gastos[[#This Row],[Importe AR$]]/$N$1</f>
        <v>990.09900990099015</v>
      </c>
      <c r="M426" s="76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1">
        <f>Gastos[[#This Row],[Importe AR$]]/$N$1</f>
        <v>462.04620462046205</v>
      </c>
      <c r="M427" s="76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1">
        <f>Gastos[[#This Row],[Importe AR$]]/$N$1</f>
        <v>214.52145214521451</v>
      </c>
      <c r="M428" s="76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1">
        <f>Gastos[[#This Row],[Importe AR$]]/$N$1</f>
        <v>76.897696369636961</v>
      </c>
      <c r="M429" s="76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1">
        <f>Gastos[[#This Row],[Importe AR$]]/$N$1</f>
        <v>360.95604620462046</v>
      </c>
      <c r="M430" s="76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1">
        <f>Gastos[[#This Row],[Importe AR$]]/$N$1</f>
        <v>31.596732673267329</v>
      </c>
      <c r="M431" s="76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1">
        <f>Gastos[[#This Row],[Importe AR$]]/$N$1</f>
        <v>63.199537953795378</v>
      </c>
      <c r="M432" s="76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1">
        <f>Gastos[[#This Row],[Importe AR$]]/$N$1</f>
        <v>8.9768976897689772</v>
      </c>
      <c r="M433" s="76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1">
        <f>Gastos[[#This Row],[Importe AR$]]/$N$1</f>
        <v>192.77441584158416</v>
      </c>
      <c r="M434" s="76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1">
        <f>Gastos[[#This Row],[Importe AR$]]/$N$1</f>
        <v>307.00755115511549</v>
      </c>
      <c r="M435" s="76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1">
        <f>Gastos[[#This Row],[Importe AR$]]/$N$1</f>
        <v>26.246864686468648</v>
      </c>
      <c r="M436" s="76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1">
        <f>Gastos[[#This Row],[Importe AR$]]/$N$1</f>
        <v>2438.0739273927393</v>
      </c>
      <c r="M437" s="76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1">
        <f>Gastos[[#This Row],[Importe AR$]]/$N$1</f>
        <v>141.58943894389438</v>
      </c>
      <c r="M438" s="76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1">
        <f>Gastos[[#This Row],[Importe AR$]]/$N$1</f>
        <v>231.02310231023102</v>
      </c>
      <c r="M439" s="76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1">
        <f>Gastos[[#This Row],[Importe AR$]]/$N$1</f>
        <v>114.1986798679868</v>
      </c>
      <c r="M440" s="76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1">
        <f>Gastos[[#This Row],[Importe AR$]]/$N$1</f>
        <v>97.110891089108904</v>
      </c>
      <c r="M441" s="76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1">
        <f>Gastos[[#This Row],[Importe AR$]]/$N$1</f>
        <v>22.442244224422442</v>
      </c>
      <c r="M442" s="76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1">
        <f>Gastos[[#This Row],[Importe AR$]]/$N$1</f>
        <v>116.97425742574258</v>
      </c>
      <c r="M443" s="76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1">
        <f>Gastos[[#This Row],[Importe AR$]]/$N$1</f>
        <v>6.9306930693069306</v>
      </c>
      <c r="M444" s="76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1">
        <f>Gastos[[#This Row],[Importe AR$]]/$N$1</f>
        <v>180.19801980198019</v>
      </c>
      <c r="M445" s="76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2">
        <f>Gastos[[#This Row],[Importe AR$]]/$N$1</f>
        <v>194.71947194719471</v>
      </c>
      <c r="M446" s="76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1">
        <f>Gastos[[#This Row],[Importe AR$]]/$N$1</f>
        <v>528.0528052805281</v>
      </c>
      <c r="M447" s="76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1">
        <f>Gastos[[#This Row],[Importe AR$]]/$N$1</f>
        <v>660.0660066006601</v>
      </c>
      <c r="M448" s="76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1">
        <f>Gastos[[#This Row],[Importe AR$]]/$N$1</f>
        <v>330.03300330033005</v>
      </c>
      <c r="M449" s="76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1">
        <f>Gastos[[#This Row],[Importe AR$]]/$N$1</f>
        <v>1310.6236633663366</v>
      </c>
      <c r="M450" s="76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1">
        <f>Gastos[[#This Row],[Importe AR$]]/$N$1</f>
        <v>1141.9141914191418</v>
      </c>
      <c r="M451" s="76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1">
        <f>Gastos[[#This Row],[Importe AR$]]/$N$1</f>
        <v>51.870627062706269</v>
      </c>
      <c r="M452" s="76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1">
        <f>Gastos[[#This Row],[Importe AR$]]/$N$1</f>
        <v>1.9260726072607262</v>
      </c>
      <c r="M453" s="76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1">
        <f>Gastos[[#This Row],[Importe AR$]]/$N$1</f>
        <v>160.77701650165017</v>
      </c>
      <c r="M454" s="76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1">
        <f>Gastos[[#This Row],[Importe AR$]]/$N$1</f>
        <v>57.161716171617165</v>
      </c>
      <c r="M455" s="76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1">
        <f>Gastos[[#This Row],[Importe AR$]]/$N$1</f>
        <v>63.940594059405939</v>
      </c>
      <c r="M456" s="76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1">
        <f>Gastos[[#This Row],[Importe AR$]]/$N$1</f>
        <v>14.464402640264026</v>
      </c>
      <c r="M457" s="76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1">
        <f>Gastos[[#This Row],[Importe AR$]]/$N$1</f>
        <v>500.8292079207921</v>
      </c>
      <c r="M458" s="76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1">
        <f>Gastos[[#This Row],[Importe AR$]]/$N$1</f>
        <v>275.16712211221125</v>
      </c>
      <c r="M459" s="76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1">
        <f>Gastos[[#This Row],[Importe AR$]]/$N$1</f>
        <v>1023.4169438943894</v>
      </c>
      <c r="M460" s="76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1">
        <f>Gastos[[#This Row],[Importe AR$]]/$N$1</f>
        <v>31.419141914191417</v>
      </c>
      <c r="M461" s="76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1">
        <f>Gastos[[#This Row],[Importe AR$]]/$N$1</f>
        <v>33.003300330033007</v>
      </c>
      <c r="M462" s="76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1">
        <f>Gastos[[#This Row],[Importe AR$]]/$N$1</f>
        <v>106.36314191419142</v>
      </c>
      <c r="M463" s="76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1">
        <f>Gastos[[#This Row],[Importe AR$]]/$N$1</f>
        <v>101.69910231023103</v>
      </c>
      <c r="M464" s="76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1">
        <f>Gastos[[#This Row],[Importe AR$]]/$N$1</f>
        <v>71.301023102310239</v>
      </c>
      <c r="M465" s="76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1">
        <f>Gastos[[#This Row],[Importe AR$]]/$N$1</f>
        <v>67.989161716171623</v>
      </c>
      <c r="M466" s="76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2">
        <f>Gastos[[#This Row],[Importe AR$]]/$N$1</f>
        <v>874.58745874587464</v>
      </c>
      <c r="M467" s="76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1">
        <f>Gastos[[#This Row],[Importe AR$]]/$N$1</f>
        <v>301.9141914191419</v>
      </c>
      <c r="M468" s="76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1">
        <f>Gastos[[#This Row],[Importe AR$]]/$N$1</f>
        <v>55.774864686468646</v>
      </c>
      <c r="M469" s="76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1">
        <f>Gastos[[#This Row],[Importe AR$]]/$N$1</f>
        <v>134.45544554455446</v>
      </c>
      <c r="M470" s="76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1">
        <f>Gastos[[#This Row],[Importe AR$]]/$N$1</f>
        <v>160.26468646864686</v>
      </c>
      <c r="M471" s="76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1">
        <f>Gastos[[#This Row],[Importe AR$]]/$N$1</f>
        <v>441.58415841584156</v>
      </c>
      <c r="M472" s="76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1">
        <f>Gastos[[#This Row],[Importe AR$]]/$N$1</f>
        <v>19801.980198019803</v>
      </c>
      <c r="M473" s="76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1">
        <f>Gastos[[#This Row],[Importe AR$]]/$N$1</f>
        <v>13201.320132013201</v>
      </c>
      <c r="M474" s="76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1">
        <f>Gastos[[#This Row],[Importe AR$]]/$N$1</f>
        <v>26402.640264026402</v>
      </c>
      <c r="M475" s="76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1">
        <f>Gastos[[#This Row],[Importe AR$]]/$N$1</f>
        <v>39603.960396039605</v>
      </c>
      <c r="L476">
        <v>30000000</v>
      </c>
      <c r="M476" s="76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1">
        <f>Gastos[[#This Row],[Importe AR$]]/$N$1</f>
        <v>19801.980198019803</v>
      </c>
      <c r="M477" s="76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1">
        <f>Gastos[[#This Row],[Importe AR$]]/$N$1</f>
        <v>13201.320132013201</v>
      </c>
      <c r="M478" s="76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1">
        <f>Gastos[[#This Row],[Importe AR$]]/$N$1</f>
        <v>13201.320132013201</v>
      </c>
      <c r="M479" s="76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1">
        <f>Gastos[[#This Row],[Importe AR$]]/$N$1</f>
        <v>13201.320132013201</v>
      </c>
      <c r="M480" s="76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1">
        <f>Gastos[[#This Row],[Importe AR$]]/$N$1</f>
        <v>6600.6600660066006</v>
      </c>
      <c r="M481" s="76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1">
        <f>Gastos[[#This Row],[Importe AR$]]/$N$1</f>
        <v>6600.6600660066006</v>
      </c>
      <c r="M482" s="76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1">
        <f>Gastos[[#This Row],[Importe AR$]]/$N$1</f>
        <v>9900.9900990099013</v>
      </c>
      <c r="M483" s="76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1">
        <f>Gastos[[#This Row],[Importe AR$]]/$N$1</f>
        <v>16501.650165016501</v>
      </c>
      <c r="M484" s="76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1">
        <f>Gastos[[#This Row],[Importe AR$]]/$N$1</f>
        <v>12937.293729372937</v>
      </c>
      <c r="M485" s="76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1">
        <f>Gastos[[#This Row],[Importe AR$]]/$N$1</f>
        <v>6468.6468646864687</v>
      </c>
      <c r="M486" s="76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1">
        <f>Gastos[[#This Row],[Importe AR$]]/$N$1</f>
        <v>9900.9900990099013</v>
      </c>
      <c r="M487" s="76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1">
        <f>Gastos[[#This Row],[Importe AR$]]/$N$1</f>
        <v>9702.9702970297021</v>
      </c>
      <c r="M488" s="76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1">
        <f>Gastos[[#This Row],[Importe AR$]]/$N$1</f>
        <v>9702.9702970297021</v>
      </c>
      <c r="M489" s="76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1">
        <f>Gastos[[#This Row],[Importe AR$]]/$N$1</f>
        <v>9702.9702970297021</v>
      </c>
      <c r="M490" s="76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1">
        <f>Gastos[[#This Row],[Importe AR$]]/$N$1</f>
        <v>9702.9702970297021</v>
      </c>
      <c r="M491" s="76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1">
        <f>Gastos[[#This Row],[Importe AR$]]/$N$1</f>
        <v>9702.9702970297021</v>
      </c>
      <c r="M492" s="76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1">
        <f>Gastos[[#This Row],[Importe AR$]]/$N$1</f>
        <v>6805.2506270627055</v>
      </c>
      <c r="M493" s="76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1">
        <f>Gastos[[#This Row],[Importe AR$]]/$N$1</f>
        <v>6471.6039603960398</v>
      </c>
      <c r="M494" s="76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1">
        <f>Gastos[[#This Row],[Importe AR$]]/$N$1</f>
        <v>15524.752475247526</v>
      </c>
      <c r="M495" s="76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1">
        <f>Gastos[[#This Row],[Importe AR$]]/$N$1</f>
        <v>7366.3366336633662</v>
      </c>
      <c r="M496" s="76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1">
        <f>Gastos[[#This Row],[Importe AR$]]/$N$1</f>
        <v>9702.9702970297021</v>
      </c>
      <c r="M497" s="76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1">
        <f>Gastos[[#This Row],[Importe AR$]]/$N$1</f>
        <v>9702.9702970297021</v>
      </c>
      <c r="M498" s="76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1">
        <f>Gastos[[#This Row],[Importe AR$]]/$N$1</f>
        <v>19405.940594059404</v>
      </c>
      <c r="M499" s="76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1">
        <f>Gastos[[#This Row],[Importe AR$]]/$N$1</f>
        <v>3300.3300330033003</v>
      </c>
      <c r="M500" s="76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1">
        <f>Gastos[[#This Row],[Importe AR$]]/$N$1</f>
        <v>3300.3300330033003</v>
      </c>
      <c r="M501" s="76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1">
        <f>Gastos[[#This Row],[Importe AR$]]/$N$1</f>
        <v>3300.3300330033003</v>
      </c>
      <c r="M502" s="76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1">
        <f>Gastos[[#This Row],[Importe AR$]]/$N$1</f>
        <v>3300.3300330033003</v>
      </c>
      <c r="M503" s="76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1">
        <f>Gastos[[#This Row],[Importe AR$]]/$N$1</f>
        <v>3300.3300330033003</v>
      </c>
      <c r="M504" s="76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1">
        <f>Gastos[[#This Row],[Importe AR$]]/$N$1</f>
        <v>3300.3300330033003</v>
      </c>
      <c r="M505" s="76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1">
        <f>Gastos[[#This Row],[Importe AR$]]/$N$1</f>
        <v>12940.250825082509</v>
      </c>
      <c r="M506" s="76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1">
        <f>Gastos[[#This Row],[Importe AR$]]/$N$1</f>
        <v>22684.168871287133</v>
      </c>
      <c r="M507" s="76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1">
        <f>Gastos[[#This Row],[Importe AR$]]/$N$1</f>
        <v>16202.977762376237</v>
      </c>
      <c r="M508" s="76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1">
        <f>Gastos[[#This Row],[Importe AR$]]/$N$1</f>
        <v>16851.096871287129</v>
      </c>
      <c r="M509" s="76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1">
        <f>Gastos[[#This Row],[Importe AR$]]/$N$1</f>
        <v>16171.617161716171</v>
      </c>
      <c r="M510" s="76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1">
        <f>Gastos[[#This Row],[Importe AR$]]/$N$1</f>
        <v>19405.940594059404</v>
      </c>
      <c r="M511" s="76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1">
        <f>Gastos[[#This Row],[Importe AR$]]/$N$1</f>
        <v>4224.4224422442248</v>
      </c>
      <c r="M512" s="76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1">
        <f>Gastos[[#This Row],[Importe AR$]]/$N$1</f>
        <v>79207.920792079211</v>
      </c>
      <c r="M513" s="76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1">
        <f>Gastos[[#This Row],[Importe AR$]]/$N$1</f>
        <v>79207.920792079211</v>
      </c>
      <c r="M514" s="76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1">
        <f>Gastos[[#This Row],[Importe AR$]]/$N$1</f>
        <v>19801.980198019803</v>
      </c>
      <c r="M515" s="76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1">
        <f>Gastos[[#This Row],[Importe AR$]]/$N$1</f>
        <v>79207.920792079211</v>
      </c>
      <c r="M516" s="76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1">
        <f>Gastos[[#This Row],[Importe AR$]]/$N$1</f>
        <v>56023.933108910889</v>
      </c>
      <c r="M517" s="76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1">
        <f>Gastos[[#This Row],[Importe AR$]]/$N$1</f>
        <v>62787.948079207927</v>
      </c>
      <c r="M518" s="76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1">
        <f>Gastos[[#This Row],[Importe AR$]]/$N$1</f>
        <v>132013.20132013201</v>
      </c>
      <c r="M519" s="76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1">
        <f>Gastos[[#This Row],[Importe AR$]]/$N$1</f>
        <v>25141.697029702969</v>
      </c>
      <c r="L520" s="8"/>
      <c r="M520" s="76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1">
        <f>Gastos[[#This Row],[Importe AR$]]/$N$1</f>
        <v>1242.9336633663365</v>
      </c>
      <c r="L521" s="8"/>
      <c r="M521" s="76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1">
        <f>Gastos[[#This Row],[Importe AR$]]/$N$1</f>
        <v>226.81848184818483</v>
      </c>
      <c r="M522" s="76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1">
        <f>Gastos[[#This Row],[Importe AR$]]/$N$1</f>
        <v>71.815181518151817</v>
      </c>
      <c r="M523" s="76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1">
        <f>Gastos[[#This Row],[Importe AR$]]/$N$1</f>
        <v>3195.1616831683168</v>
      </c>
      <c r="M524" s="76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1">
        <f>Gastos[[#This Row],[Importe AR$]]/$N$1</f>
        <v>19.801610561056105</v>
      </c>
      <c r="M525" s="76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1">
        <f>Gastos[[#This Row],[Importe AR$]]/$N$1</f>
        <v>158.41584158415841</v>
      </c>
      <c r="M526" s="76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1">
        <f>Gastos[[#This Row],[Importe AR$]]/$N$1</f>
        <v>474.56067986798683</v>
      </c>
      <c r="M527" s="76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1">
        <f>Gastos[[#This Row],[Importe AR$]]/$N$1</f>
        <v>1851.3399339933994</v>
      </c>
      <c r="L528" t="s">
        <v>790</v>
      </c>
      <c r="M528" s="76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1">
        <f>Gastos[[#This Row],[Importe AR$]]/$N$1</f>
        <v>1493.6633663366338</v>
      </c>
      <c r="M529" s="76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1">
        <f>Gastos[[#This Row],[Importe AR$]]/$N$1</f>
        <v>330.03300330033005</v>
      </c>
      <c r="M530" s="76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1">
        <f>Gastos[[#This Row],[Importe AR$]]/$N$1</f>
        <v>346.21122112211219</v>
      </c>
      <c r="M531" s="76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1">
        <f>Gastos[[#This Row],[Importe AR$]]/$N$1</f>
        <v>263.8912211221122</v>
      </c>
      <c r="M532" s="76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1">
        <f>Gastos[[#This Row],[Importe AR$]]/$N$1</f>
        <v>263.8912211221122</v>
      </c>
      <c r="M533" s="76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1">
        <f>Gastos[[#This Row],[Importe AR$]]/$N$1</f>
        <v>500.8292079207921</v>
      </c>
      <c r="L534" t="s">
        <v>799</v>
      </c>
      <c r="M534" s="76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1">
        <f>Gastos[[#This Row],[Importe AR$]]/$N$1</f>
        <v>723.36294389438956</v>
      </c>
      <c r="L535" t="s">
        <v>799</v>
      </c>
      <c r="M535" s="76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1">
        <f>Gastos[[#This Row],[Importe AR$]]/$N$1</f>
        <v>456.43696369636962</v>
      </c>
      <c r="L536" t="s">
        <v>799</v>
      </c>
      <c r="M536" s="76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1">
        <f>Gastos[[#This Row],[Importe AR$]]/$N$1</f>
        <v>2281.9191419141916</v>
      </c>
      <c r="M537" s="76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1">
        <f>Gastos[[#This Row],[Importe AR$]]/$N$1</f>
        <v>898.01980198019805</v>
      </c>
      <c r="M538" s="76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1">
        <f>Gastos[[#This Row],[Importe AR$]]/$N$1</f>
        <v>6792.756330033003</v>
      </c>
      <c r="L539" t="s">
        <v>807</v>
      </c>
      <c r="M539" s="76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1">
        <f>Gastos[[#This Row],[Importe AR$]]/$N$1</f>
        <v>6792.756330033003</v>
      </c>
      <c r="L540" t="s">
        <v>809</v>
      </c>
      <c r="M540" s="76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1">
        <f>Gastos[[#This Row],[Importe AR$]]/$N$1</f>
        <v>6792.756330033003</v>
      </c>
      <c r="L541" t="s">
        <v>807</v>
      </c>
      <c r="M541" s="76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1">
        <f>Gastos[[#This Row],[Importe AR$]]/$N$1</f>
        <v>6792.756330033003</v>
      </c>
      <c r="L542" t="s">
        <v>807</v>
      </c>
      <c r="M542" s="76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1">
        <f>Gastos[[#This Row],[Importe AR$]]/$N$1</f>
        <v>158.41584158415841</v>
      </c>
      <c r="M543" s="77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1">
        <f>Gastos[[#This Row],[Importe AR$]]/$N$1</f>
        <v>435.64356435643566</v>
      </c>
      <c r="M544" s="77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1">
        <f>Gastos[[#This Row],[Importe AR$]]/$N$1</f>
        <v>435.64356435643566</v>
      </c>
      <c r="M545" s="77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1">
        <f>Gastos[[#This Row],[Importe AR$]]/$N$1</f>
        <v>1488.0226204620462</v>
      </c>
      <c r="M546" s="76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1">
        <f>Gastos[[#This Row],[Importe AR$]]/$N$1</f>
        <v>1636.1957689768976</v>
      </c>
      <c r="M547" s="76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1">
        <f>Gastos[[#This Row],[Importe AR$]]/$N$1</f>
        <v>7524.4037887788782</v>
      </c>
      <c r="M548" s="76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1">
        <f>Gastos[[#This Row],[Importe AR$]]/$N$1</f>
        <v>13201.320132013201</v>
      </c>
      <c r="M549" s="76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1">
        <f>Gastos[[#This Row],[Importe AR$]]/$N$1</f>
        <v>13201.320132013201</v>
      </c>
      <c r="M550" s="76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1">
        <f>Gastos[[#This Row],[Importe AR$]]/$N$1</f>
        <v>9489.9256765676564</v>
      </c>
      <c r="M551" s="76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1">
        <f>Gastos[[#This Row],[Importe AR$]]/$N$1</f>
        <v>91.749174917491743</v>
      </c>
      <c r="M552" s="76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1">
        <f>Gastos[[#This Row],[Importe AR$]]/$N$1</f>
        <v>330.03300330033005</v>
      </c>
      <c r="M553" s="76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1">
        <f>Gastos[[#This Row],[Importe AR$]]/$N$1</f>
        <v>330.03300330033005</v>
      </c>
      <c r="M554" s="76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1">
        <f>Gastos[[#This Row],[Importe AR$]]/$N$1</f>
        <v>660.0660066006601</v>
      </c>
      <c r="M555" s="76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1">
        <f>Gastos[[#This Row],[Importe AR$]]/$N$1</f>
        <v>0.528052805280528</v>
      </c>
      <c r="M556" s="76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1">
        <f>Gastos[[#This Row],[Importe AR$]]/$N$1</f>
        <v>14558.165016501651</v>
      </c>
      <c r="M557" s="76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1">
        <f>Gastos[[#This Row],[Importe AR$]]/$N$1</f>
        <v>14558.165016501651</v>
      </c>
      <c r="M558" s="76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1">
        <f>Gastos[[#This Row],[Importe AR$]]/$N$1</f>
        <v>5370.6798679867989</v>
      </c>
      <c r="M559" s="76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1">
        <f>Gastos[[#This Row],[Importe AR$]]/$N$1</f>
        <v>14558.165016501651</v>
      </c>
      <c r="M560" s="76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1">
        <f>Gastos[[#This Row],[Importe AR$]]/$N$1</f>
        <v>14558.165016501651</v>
      </c>
      <c r="M561" s="76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1">
        <f>Gastos[[#This Row],[Importe AR$]]/$N$1</f>
        <v>9187.485148514852</v>
      </c>
      <c r="M562" s="76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1">
        <f>Gastos[[#This Row],[Importe AR$]]/$N$1</f>
        <v>19801.980198019803</v>
      </c>
      <c r="M563" s="76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1">
        <f>Gastos[[#This Row],[Importe AR$]]/$N$1</f>
        <v>1320.1320132013202</v>
      </c>
      <c r="M564" s="76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1">
        <f>Gastos[[#This Row],[Importe AR$]]/$N$1</f>
        <v>1973.2435643564356</v>
      </c>
      <c r="M565" s="76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1">
        <f>Gastos[[#This Row],[Importe AR$]]/$N$1</f>
        <v>1980.1980198019803</v>
      </c>
      <c r="M566" s="76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1">
        <f>Gastos[[#This Row],[Importe AR$]]/$N$1</f>
        <v>3207.9207920792078</v>
      </c>
      <c r="M567" s="76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1">
        <f>Gastos[[#This Row],[Importe AR$]]/$N$1</f>
        <v>4125.4125412541252</v>
      </c>
      <c r="M568" s="76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1">
        <f>Gastos[[#This Row],[Importe AR$]]/$N$1</f>
        <v>4125.4125412541252</v>
      </c>
      <c r="M569" s="76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1">
        <f>Gastos[[#This Row],[Importe AR$]]/$N$1</f>
        <v>5843.1062706270623</v>
      </c>
      <c r="M570" s="76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1">
        <f>Gastos[[#This Row],[Importe AR$]]/$N$1</f>
        <v>5843.1062706270623</v>
      </c>
      <c r="M571" s="76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1">
        <f>Gastos[[#This Row],[Importe AR$]]/$N$1</f>
        <v>5843.1062706270623</v>
      </c>
      <c r="M572" s="76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1">
        <f>Gastos[[#This Row],[Importe AR$]]/$N$1</f>
        <v>5843.1062706270623</v>
      </c>
      <c r="M573" s="76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1">
        <f>Gastos[[#This Row],[Importe AR$]]/$N$1</f>
        <v>5843.1062706270623</v>
      </c>
      <c r="M574" s="76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1">
        <f>Gastos[[#This Row],[Importe AR$]]/$N$1</f>
        <v>5843.1062706270623</v>
      </c>
      <c r="M575" s="76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1">
        <f>Gastos[[#This Row],[Importe AR$]]/$N$1</f>
        <v>101.67062706270627</v>
      </c>
      <c r="M576" s="76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1">
        <f>Gastos[[#This Row],[Importe AR$]]/$N$1</f>
        <v>101.67062706270627</v>
      </c>
      <c r="M577" s="76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1">
        <f>Gastos[[#This Row],[Importe AR$]]/$N$1</f>
        <v>183.95379537953795</v>
      </c>
      <c r="M578" s="76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1">
        <f>Gastos[[#This Row],[Importe AR$]]/$N$1</f>
        <v>215.18151815181517</v>
      </c>
      <c r="M579" s="76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1">
        <f>Gastos[[#This Row],[Importe AR$]]/$N$1</f>
        <v>330.03300330033005</v>
      </c>
      <c r="M580" s="76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1">
        <f>Gastos[[#This Row],[Importe AR$]]/$N$1</f>
        <v>396.03960396039605</v>
      </c>
      <c r="M581" s="76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1">
        <f>Gastos[[#This Row],[Importe AR$]]/$N$1</f>
        <v>396.03960396039605</v>
      </c>
      <c r="M582" s="76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1">
        <f>Gastos[[#This Row],[Importe AR$]]/$N$1</f>
        <v>345.04950495049508</v>
      </c>
      <c r="M583" s="76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1">
        <f>Gastos[[#This Row],[Importe AR$]]/$N$1</f>
        <v>357.75579537953797</v>
      </c>
      <c r="M584" s="76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1">
        <f>Gastos[[#This Row],[Importe AR$]]/$N$1</f>
        <v>365.23168316831681</v>
      </c>
      <c r="M585" s="76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1">
        <f>Gastos[[#This Row],[Importe AR$]]/$N$1</f>
        <v>42.611201320132011</v>
      </c>
      <c r="M586" s="76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1">
        <f>Gastos[[#This Row],[Importe AR$]]/$N$1</f>
        <v>3300.3300330033003</v>
      </c>
      <c r="M587" s="76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1">
        <f>Gastos[[#This Row],[Importe AR$]]/$N$1</f>
        <v>3300.3300330033003</v>
      </c>
      <c r="M588" s="76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1">
        <f>Gastos[[#This Row],[Importe AR$]]/$N$1</f>
        <v>3300.3300330033003</v>
      </c>
      <c r="M589" s="76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1">
        <f>Gastos[[#This Row],[Importe AR$]]/$N$1</f>
        <v>13201.320132013201</v>
      </c>
      <c r="M590" s="76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1">
        <f>Gastos[[#This Row],[Importe AR$]]/$N$1</f>
        <v>6050.4950495049507</v>
      </c>
      <c r="M591" s="76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1">
        <f>Gastos[[#This Row],[Importe AR$]]/$N$1</f>
        <v>1650.1650165016501</v>
      </c>
      <c r="M592" s="76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1">
        <f>Gastos[[#This Row],[Importe AR$]]/$N$1</f>
        <v>1650.1650165016501</v>
      </c>
      <c r="M593" s="76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1">
        <f>Gastos[[#This Row],[Importe AR$]]/$N$1</f>
        <v>1650.1650165016501</v>
      </c>
      <c r="M594" s="76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1">
        <f>Gastos[[#This Row],[Importe AR$]]/$N$1</f>
        <v>6050.4950495049507</v>
      </c>
      <c r="M595" s="76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1">
        <f>Gastos[[#This Row],[Importe AR$]]/$N$1</f>
        <v>6050.4950495049507</v>
      </c>
      <c r="M596" s="76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1">
        <f>Gastos[[#This Row],[Importe AR$]]/$N$1</f>
        <v>6050.4950495049507</v>
      </c>
      <c r="M597" s="76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1">
        <f>Gastos[[#This Row],[Importe AR$]]/$N$1</f>
        <v>6050.4950495049507</v>
      </c>
      <c r="M598" s="76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1">
        <f>Gastos[[#This Row],[Importe AR$]]/$N$1</f>
        <v>6050.4950495049507</v>
      </c>
      <c r="M599" s="76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1">
        <f>Gastos[[#This Row],[Importe AR$]]/$N$1</f>
        <v>7150.4950495049507</v>
      </c>
      <c r="M600" s="76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1">
        <f>Gastos[[#This Row],[Importe AR$]]/$N$1</f>
        <v>165.01650165016503</v>
      </c>
      <c r="M601" s="76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1">
        <f>Gastos[[#This Row],[Importe AR$]]/$N$1</f>
        <v>990.09900990099015</v>
      </c>
      <c r="M602" s="76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1">
        <f>Gastos[[#This Row],[Importe AR$]]/$N$1</f>
        <v>990.09900990099015</v>
      </c>
      <c r="M603" s="76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1">
        <f>Gastos[[#This Row],[Importe AR$]]/$N$1</f>
        <v>0.66006600660066006</v>
      </c>
      <c r="M604" s="76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1">
        <f>Gastos[[#This Row],[Importe AR$]]/$N$1</f>
        <v>2281.9191419141916</v>
      </c>
      <c r="M605" s="76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1">
        <f>Gastos[[#This Row],[Importe AR$]]/$N$1</f>
        <v>1056.0198019801981</v>
      </c>
      <c r="M606" s="76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1">
        <f>Gastos[[#This Row],[Importe AR$]]/$N$1</f>
        <v>16.568138613861386</v>
      </c>
      <c r="L607" t="s">
        <v>340</v>
      </c>
      <c r="M607" s="76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1">
        <f>Gastos[[#This Row],[Importe AR$]]/$N$1</f>
        <v>330.03300330033005</v>
      </c>
      <c r="M608" s="76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1">
        <f>Gastos[[#This Row],[Importe AR$]]/$N$1</f>
        <v>73.696369636963695</v>
      </c>
      <c r="L609" t="s">
        <v>340</v>
      </c>
      <c r="M609" s="76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1">
        <f>Gastos[[#This Row],[Importe AR$]]/$N$1</f>
        <v>691.215498349835</v>
      </c>
      <c r="M610" s="76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1">
        <f>Gastos[[#This Row],[Importe AR$]]/$N$1</f>
        <v>880.01716171617159</v>
      </c>
      <c r="M611" s="76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1">
        <f>Gastos[[#This Row],[Importe AR$]]/$N$1</f>
        <v>222.36596039603961</v>
      </c>
      <c r="M612" s="76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1">
        <f>Gastos[[#This Row],[Importe AR$]]/$N$1</f>
        <v>265.43337953795378</v>
      </c>
      <c r="M613" s="76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1">
        <f>Gastos[[#This Row],[Importe AR$]]/$N$1</f>
        <v>73.095709570957098</v>
      </c>
      <c r="M614" s="76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1">
        <f>Gastos[[#This Row],[Importe AR$]]/$N$1</f>
        <v>175.5107920792079</v>
      </c>
      <c r="M615" s="76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1">
        <f>Gastos[[#This Row],[Importe AR$]]/$N$1</f>
        <v>623.51815181518157</v>
      </c>
      <c r="L616" t="s">
        <v>215</v>
      </c>
      <c r="M616" s="76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1">
        <f>Gastos[[#This Row],[Importe AR$]]/$N$1</f>
        <v>144.24724752475245</v>
      </c>
      <c r="L617" t="s">
        <v>150</v>
      </c>
      <c r="M617" s="76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1">
        <f>Gastos[[#This Row],[Importe AR$]]/$N$1</f>
        <v>9.2713267326732662</v>
      </c>
      <c r="M618" s="76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1">
        <f>Gastos[[#This Row],[Importe AR$]]/$N$1</f>
        <v>216.37557755775578</v>
      </c>
      <c r="M619" s="76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1">
        <f>Gastos[[#This Row],[Importe AR$]]/$N$1</f>
        <v>222.07920792079207</v>
      </c>
      <c r="M620" s="76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1">
        <f>Gastos[[#This Row],[Importe AR$]]/$N$1</f>
        <v>49.262191419141914</v>
      </c>
      <c r="M621" s="76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1">
        <f>Gastos[[#This Row],[Importe AR$]]/$N$1</f>
        <v>330.03300330033005</v>
      </c>
      <c r="M622" s="76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1">
        <f>Gastos[[#This Row],[Importe AR$]]/$N$1</f>
        <v>880.01716171617159</v>
      </c>
      <c r="M623" s="76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1">
        <f>Gastos[[#This Row],[Importe AR$]]/$N$1</f>
        <v>173.58110891089109</v>
      </c>
      <c r="M624" s="76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1">
        <f>Gastos[[#This Row],[Importe AR$]]/$N$1</f>
        <v>302.72541254125412</v>
      </c>
      <c r="L625" t="s">
        <v>215</v>
      </c>
      <c r="M625" s="76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1">
        <f>Gastos[[#This Row],[Importe AR$]]/$N$1</f>
        <v>196.90033003300331</v>
      </c>
      <c r="M626" s="76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1">
        <f>Gastos[[#This Row],[Importe AR$]]/$N$1</f>
        <v>202.1023102310231</v>
      </c>
      <c r="M627" s="76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1">
        <f>Gastos[[#This Row],[Importe AR$]]/$N$1</f>
        <v>434.41283168316829</v>
      </c>
      <c r="M628" s="76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1">
        <f>Gastos[[#This Row],[Importe AR$]]/$N$1</f>
        <v>581.29293729372944</v>
      </c>
      <c r="M629" s="76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1">
        <f>Gastos[[#This Row],[Importe AR$]]/$N$1</f>
        <v>870.49504950495054</v>
      </c>
      <c r="M630" s="76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1">
        <f>Gastos[[#This Row],[Importe AR$]]/$N$1</f>
        <v>868.66949834983495</v>
      </c>
      <c r="M631" s="76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1">
        <f>Gastos[[#This Row],[Importe AR$]]/$N$1</f>
        <v>153.02906270627062</v>
      </c>
      <c r="M632" s="76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2">
        <f>Gastos[[#This Row],[Importe AR$]]/$N$1</f>
        <v>190.0990099009901</v>
      </c>
      <c r="M633" s="76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1">
        <f>Gastos[[#This Row],[Importe AR$]]/$N$1</f>
        <v>27.062706270627064</v>
      </c>
      <c r="M634" s="76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1">
        <f>Gastos[[#This Row],[Importe AR$]]/$N$1</f>
        <v>7.2607260726072607</v>
      </c>
      <c r="M635" s="76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1">
        <f>Gastos[[#This Row],[Importe AR$]]/$N$1</f>
        <v>11.881188118811881</v>
      </c>
      <c r="M636" s="76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1">
        <f>Gastos[[#This Row],[Importe AR$]]/$N$1</f>
        <v>29.042904290429043</v>
      </c>
      <c r="M637" s="76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1">
        <f>Gastos[[#This Row],[Importe AR$]]/$N$1</f>
        <v>30.363036303630363</v>
      </c>
      <c r="M638" s="76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1">
        <f>Gastos[[#This Row],[Importe AR$]]/$N$1</f>
        <v>13.861386138613861</v>
      </c>
      <c r="M639" s="76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1">
        <f>Gastos[[#This Row],[Importe AR$]]/$N$1</f>
        <v>24.198019801980198</v>
      </c>
      <c r="M640" s="76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1">
        <f>Gastos[[#This Row],[Importe AR$]]/$N$1</f>
        <v>245.36421782178218</v>
      </c>
      <c r="M641" s="76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1">
        <f>Gastos[[#This Row],[Importe AR$]]/$N$1</f>
        <v>245.36421782178218</v>
      </c>
      <c r="M642" s="76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1">
        <f>Gastos[[#This Row],[Importe AR$]]/$N$1</f>
        <v>245.36421782178218</v>
      </c>
      <c r="M643" s="76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1">
        <f>Gastos[[#This Row],[Importe AR$]]/$N$1</f>
        <v>990.09900990099015</v>
      </c>
      <c r="M644" s="76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1">
        <f>Gastos[[#This Row],[Importe AR$]]/$N$1</f>
        <v>330.03300330033005</v>
      </c>
      <c r="M645" s="76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1">
        <f>Gastos[[#This Row],[Importe AR$]]/$N$1</f>
        <v>990.09900990099015</v>
      </c>
      <c r="M646" s="76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1">
        <f>Gastos[[#This Row],[Importe AR$]]/$N$1</f>
        <v>660.0660066006601</v>
      </c>
      <c r="M647" s="76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1">
        <f>Gastos[[#This Row],[Importe AR$]]/$N$1</f>
        <v>990.09900990099015</v>
      </c>
      <c r="M648" s="76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1">
        <f>Gastos[[#This Row],[Importe AR$]]/$N$1</f>
        <v>990.09900990099015</v>
      </c>
      <c r="M649" s="76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1">
        <f>Gastos[[#This Row],[Importe AR$]]/$N$1</f>
        <v>150.49504950495049</v>
      </c>
      <c r="M650" s="76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1">
        <f>Gastos[[#This Row],[Importe AR$]]/$N$1</f>
        <v>176.23762376237624</v>
      </c>
      <c r="M651" s="76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2">
        <f>Gastos[[#This Row],[Importe AR$]]/$N$1</f>
        <v>79.207920792079207</v>
      </c>
      <c r="M652" s="76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1">
        <f>Gastos[[#This Row],[Importe AR$]]/$N$1</f>
        <v>153.14501650165016</v>
      </c>
      <c r="M653" s="76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1">
        <f>Gastos[[#This Row],[Importe AR$]]/$N$1</f>
        <v>79.207920792079207</v>
      </c>
      <c r="M654" s="76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1">
        <f>Gastos[[#This Row],[Importe AR$]]/$N$1</f>
        <v>73.267702970297037</v>
      </c>
      <c r="M655" s="76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1">
        <f>Gastos[[#This Row],[Importe AR$]]/$N$1</f>
        <v>79.207920792079207</v>
      </c>
      <c r="M656" s="76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1">
        <f>Gastos[[#This Row],[Importe AR$]]/$N$1</f>
        <v>52.827425742574256</v>
      </c>
      <c r="M657" s="76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1">
        <f>Gastos[[#This Row],[Importe AR$]]/$N$1</f>
        <v>660.0660066006601</v>
      </c>
      <c r="M658" s="76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1">
        <f>Gastos[[#This Row],[Importe AR$]]/$N$1</f>
        <v>1980.1980198019803</v>
      </c>
      <c r="M659" s="76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1">
        <f>Gastos[[#This Row],[Importe AR$]]/$N$1</f>
        <v>76.066072607260736</v>
      </c>
      <c r="L660" t="s">
        <v>479</v>
      </c>
      <c r="M660" s="76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1">
        <f>Gastos[[#This Row],[Importe AR$]]/$N$1</f>
        <v>74.598924092409234</v>
      </c>
      <c r="M661" s="76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1">
        <f>Gastos[[#This Row],[Importe AR$]]/$N$1</f>
        <v>66.006600660066013</v>
      </c>
      <c r="M662" s="76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1">
        <f>Gastos[[#This Row],[Importe AR$]]/$N$1</f>
        <v>66.006627062706272</v>
      </c>
      <c r="M663" s="76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1">
        <f>Gastos[[#This Row],[Importe AR$]]/$N$1</f>
        <v>77.885676567656773</v>
      </c>
      <c r="M664" s="76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1">
        <f>Gastos[[#This Row],[Importe AR$]]/$N$1</f>
        <v>79.207920792079207</v>
      </c>
      <c r="M665" s="76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1">
        <f>Gastos[[#This Row],[Importe AR$]]/$N$1</f>
        <v>297.02970297029702</v>
      </c>
      <c r="M666" s="76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1">
        <f>Gastos[[#This Row],[Importe AR$]]/$N$1</f>
        <v>417.16171617161717</v>
      </c>
      <c r="M667" s="76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1">
        <f>Gastos[[#This Row],[Importe AR$]]/$N$1</f>
        <v>414.07400000000001</v>
      </c>
      <c r="M668" s="76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1">
        <f>Gastos[[#This Row],[Importe AR$]]/$N$1</f>
        <v>38.877887788778878</v>
      </c>
      <c r="M669" s="76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1">
        <f>Gastos[[#This Row],[Importe AR$]]/$N$1</f>
        <v>77.887788778877891</v>
      </c>
      <c r="M670" s="76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1">
        <f>Gastos[[#This Row],[Importe AR$]]/$N$1</f>
        <v>91.749174917491743</v>
      </c>
      <c r="M671" s="76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1">
        <f>Gastos[[#This Row],[Importe AR$]]/$N$1</f>
        <v>168.89558415841583</v>
      </c>
      <c r="M672" s="76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1">
        <f>Gastos[[#This Row],[Importe AR$]]/$N$1</f>
        <v>100.08197359735973</v>
      </c>
      <c r="M673" s="76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1">
        <f>Gastos[[#This Row],[Importe AR$]]/$N$1</f>
        <v>204.71596699669968</v>
      </c>
      <c r="M674" s="76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1">
        <f>Gastos[[#This Row],[Importe AR$]]/$N$1</f>
        <v>184.81848184818483</v>
      </c>
      <c r="M675" s="76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1">
        <f>Gastos[[#This Row],[Importe AR$]]/$N$1</f>
        <v>115.83234323432343</v>
      </c>
      <c r="M676" s="76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1">
        <f>Gastos[[#This Row],[Importe AR$]]/$N$1</f>
        <v>19.801980198019802</v>
      </c>
      <c r="M677" s="76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1">
        <f>Gastos[[#This Row],[Importe AR$]]/$N$1</f>
        <v>39.627537953795382</v>
      </c>
      <c r="M678" s="76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1">
        <f>Gastos[[#This Row],[Importe AR$]]/$N$1</f>
        <v>66.006600660066013</v>
      </c>
      <c r="M679" s="76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1">
        <f>Gastos[[#This Row],[Importe AR$]]/$N$1</f>
        <v>90.441194719471952</v>
      </c>
      <c r="M680" s="76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1">
        <f>Gastos[[#This Row],[Importe AR$]]/$N$1</f>
        <v>90.441194719471952</v>
      </c>
      <c r="M681" s="76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1">
        <f>Gastos[[#This Row],[Importe AR$]]/$N$1</f>
        <v>85.808580858085804</v>
      </c>
      <c r="M682" s="76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1">
        <f>Gastos[[#This Row],[Importe AR$]]/$N$1</f>
        <v>85.808580858085804</v>
      </c>
      <c r="M683" s="76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1">
        <f>Gastos[[#This Row],[Importe AR$]]/$N$1</f>
        <v>89.771881188118812</v>
      </c>
      <c r="M684" s="76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1">
        <f>Gastos[[#This Row],[Importe AR$]]/$N$1</f>
        <v>85.158415841584159</v>
      </c>
      <c r="M685" s="76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1">
        <f>Gastos[[#This Row],[Importe AR$]]/$N$1</f>
        <v>88.44883828382838</v>
      </c>
      <c r="M686" s="76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1">
        <f>Gastos[[#This Row],[Importe AR$]]/$N$1</f>
        <v>85.808580858085804</v>
      </c>
      <c r="M687" s="76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1">
        <f>Gastos[[#This Row],[Importe AR$]]/$N$1</f>
        <v>111.77557755775578</v>
      </c>
      <c r="M688" s="76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1">
        <f>Gastos[[#This Row],[Importe AR$]]/$N$1</f>
        <v>296.50165016501649</v>
      </c>
      <c r="M689" s="76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1">
        <f>Gastos[[#This Row],[Importe AR$]]/$N$1</f>
        <v>636.63366336633658</v>
      </c>
      <c r="M690" s="76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1">
        <f>Gastos[[#This Row],[Importe AR$]]/$N$1</f>
        <v>46.204620462046208</v>
      </c>
      <c r="M691" s="76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1">
        <f>Gastos[[#This Row],[Importe AR$]]/$N$1</f>
        <v>660.0660066006601</v>
      </c>
      <c r="M692" s="76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1">
        <f>Gastos[[#This Row],[Importe AR$]]/$N$1</f>
        <v>91.091749174917496</v>
      </c>
      <c r="M693" s="76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1">
        <f>Gastos[[#This Row],[Importe AR$]]/$N$1</f>
        <v>660.0660066006601</v>
      </c>
      <c r="M694" s="76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1">
        <f>Gastos[[#This Row],[Importe AR$]]/$N$1</f>
        <v>660.0660066006601</v>
      </c>
      <c r="L695" s="8"/>
      <c r="M695" s="76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1046216.6844827586</v>
      </c>
      <c r="J696" s="17">
        <f>IF(Gastos[[#This Row],[Divisa]]="$", I696*1, IF(Gastos[[#This Row],[Divisa]]="U$D", I696*$N$1, IF(Gastos[[#This Row],[Divisa]]="EUR", I696*$N$2, 0)))</f>
        <v>1046216.6844827586</v>
      </c>
      <c r="K696" s="61">
        <f>Gastos[[#This Row],[Importe AR$]]/$N$1</f>
        <v>690.57206896551725</v>
      </c>
      <c r="L696" s="8">
        <v>690.57206896551725</v>
      </c>
      <c r="M696" s="76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1">
        <f>Gastos[[#This Row],[Importe AR$]]/$N$1</f>
        <v>66.006600660066013</v>
      </c>
      <c r="M697" s="76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1">
        <f>Gastos[[#This Row],[Importe AR$]]/$N$1</f>
        <v>185.47854785478549</v>
      </c>
      <c r="M698" s="76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1">
        <f>Gastos[[#This Row],[Importe AR$]]/$N$1</f>
        <v>231.02310231023102</v>
      </c>
      <c r="M699" s="76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1">
        <f>Gastos[[#This Row],[Importe AR$]]/$N$1</f>
        <v>307.76237623762376</v>
      </c>
      <c r="M700" s="76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1">
        <f>Gastos[[#This Row],[Importe AR$]]/$N$1</f>
        <v>316.49357755775577</v>
      </c>
      <c r="M701" s="76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1">
        <f>Gastos[[#This Row],[Importe AR$]]/$N$1</f>
        <v>5.3192211221122108</v>
      </c>
      <c r="M702" s="76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1">
        <f>Gastos[[#This Row],[Importe AR$]]/$N$1</f>
        <v>198.87524752475247</v>
      </c>
      <c r="M703" s="76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1">
        <f>Gastos[[#This Row],[Importe AR$]]/$N$1</f>
        <v>381.68910891089109</v>
      </c>
      <c r="M704" s="76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1">
        <f>Gastos[[#This Row],[Importe AR$]]/$N$1</f>
        <v>98.019801980198025</v>
      </c>
      <c r="M705" s="76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1">
        <f>Gastos[[#This Row],[Importe AR$]]/$N$1</f>
        <v>990.09900990099015</v>
      </c>
      <c r="M706" s="76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1">
        <f>Gastos[[#This Row],[Importe AR$]]/$N$1</f>
        <v>608.52805280528048</v>
      </c>
      <c r="M707" s="76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1">
        <f>Gastos[[#This Row],[Importe AR$]]/$N$1</f>
        <v>3300.3300330033003</v>
      </c>
      <c r="M708" s="76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1">
        <f>Gastos[[#This Row],[Importe AR$]]/$N$1</f>
        <v>222.44224422442244</v>
      </c>
      <c r="M709" s="77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1">
        <f>Gastos[[#This Row],[Importe AR$]]/$N$1</f>
        <v>264.02640264026405</v>
      </c>
      <c r="M710" s="77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1">
        <f>Gastos[[#This Row],[Importe AR$]]/$N$1</f>
        <v>264.02640264026405</v>
      </c>
      <c r="M711" s="77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1">
        <f>Gastos[[#This Row],[Importe AR$]]/$N$1</f>
        <v>300.5794125412541</v>
      </c>
      <c r="M712" s="77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1">
        <f>Gastos[[#This Row],[Importe AR$]]/$N$1</f>
        <v>357.75577557755776</v>
      </c>
      <c r="M713" s="77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1">
        <f>Gastos[[#This Row],[Importe AR$]]/$N$1</f>
        <v>587.45874587458741</v>
      </c>
      <c r="M714" s="77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1">
        <f>Gastos[[#This Row],[Importe AR$]]/$N$1</f>
        <v>660.0660066006601</v>
      </c>
      <c r="M715" s="77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1">
        <f>Gastos[[#This Row],[Importe AR$]]/$N$1</f>
        <v>922.11221122112215</v>
      </c>
      <c r="M716" s="77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1">
        <f>Gastos[[#This Row],[Importe AR$]]/$N$1</f>
        <v>1643.1545874587459</v>
      </c>
      <c r="M717" s="77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1">
        <f>Gastos[[#This Row],[Importe AR$]]/$N$1</f>
        <v>1782.1782178217823</v>
      </c>
      <c r="M718" s="77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1">
        <f>Gastos[[#This Row],[Importe AR$]]/$N$1</f>
        <v>2253.7821782178216</v>
      </c>
      <c r="M719" s="77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1">
        <f>Gastos[[#This Row],[Importe AR$]]/$N$1</f>
        <v>2310.1980198019801</v>
      </c>
      <c r="M720" s="77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1">
        <f>Gastos[[#This Row],[Importe AR$]]/$N$1</f>
        <v>1584.1584158415842</v>
      </c>
      <c r="M721" s="76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1">
        <f>Gastos[[#This Row],[Importe AR$]]/$N$1</f>
        <v>1584.1584158415842</v>
      </c>
      <c r="M722" s="76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1">
        <f>Gastos[[#This Row],[Importe AR$]]/$N$1</f>
        <v>1650.1650165016501</v>
      </c>
      <c r="M723" s="76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1">
        <f>Gastos[[#This Row],[Importe AR$]]/$N$1</f>
        <v>1650.1650165016501</v>
      </c>
      <c r="M724" s="76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1">
        <f>Gastos[[#This Row],[Importe AR$]]/$N$1</f>
        <v>282.50825082508248</v>
      </c>
      <c r="M725" s="76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1">
        <f>Gastos[[#This Row],[Importe AR$]]/$N$1</f>
        <v>249.96435643564357</v>
      </c>
      <c r="M726" s="76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1">
        <f>Gastos[[#This Row],[Importe AR$]]/$N$1</f>
        <v>258.84818481848185</v>
      </c>
      <c r="M727" s="76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1">
        <f>Gastos[[#This Row],[Importe AR$]]/$N$1</f>
        <v>282.13201320132015</v>
      </c>
      <c r="M728" s="76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1">
        <f>Gastos[[#This Row],[Importe AR$]]/$N$1</f>
        <v>320.36303630363034</v>
      </c>
      <c r="M729" s="76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1">
        <f>Gastos[[#This Row],[Importe AR$]]/$N$1</f>
        <v>323.43234323432341</v>
      </c>
      <c r="M730" s="76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1">
        <f>Gastos[[#This Row],[Importe AR$]]/$N$1</f>
        <v>330.03300330033005</v>
      </c>
      <c r="M731" s="76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1">
        <f>Gastos[[#This Row],[Importe AR$]]/$N$1</f>
        <v>330.03300330033005</v>
      </c>
      <c r="M732" s="76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1">
        <f>Gastos[[#This Row],[Importe AR$]]/$N$1</f>
        <v>351.88880528052806</v>
      </c>
      <c r="M733" s="76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1">
        <f>Gastos[[#This Row],[Importe AR$]]/$N$1</f>
        <v>363.03630363036302</v>
      </c>
      <c r="M734" s="76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1">
        <f>Gastos[[#This Row],[Importe AR$]]/$N$1</f>
        <v>392.73927392739273</v>
      </c>
      <c r="M735" s="76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1">
        <f>Gastos[[#This Row],[Importe AR$]]/$N$1</f>
        <v>396.03960396039605</v>
      </c>
      <c r="M736" s="76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1">
        <f>Gastos[[#This Row],[Importe AR$]]/$N$1</f>
        <v>435.64356435643566</v>
      </c>
      <c r="M737" s="76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1">
        <f>Gastos[[#This Row],[Importe AR$]]/$N$1</f>
        <v>437.49174917491752</v>
      </c>
      <c r="M738" s="76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1">
        <f>Gastos[[#This Row],[Importe AR$]]/$N$1</f>
        <v>468.64686468646863</v>
      </c>
      <c r="M739" s="76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1">
        <f>Gastos[[#This Row],[Importe AR$]]/$N$1</f>
        <v>481.84818481848185</v>
      </c>
      <c r="M740" s="76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1">
        <f>Gastos[[#This Row],[Importe AR$]]/$N$1</f>
        <v>495.04950495049508</v>
      </c>
      <c r="M741" s="76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1">
        <f>Gastos[[#This Row],[Importe AR$]]/$N$1</f>
        <v>495.04950495049508</v>
      </c>
      <c r="M742" s="76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1">
        <f>Gastos[[#This Row],[Importe AR$]]/$N$1</f>
        <v>511.15511551155117</v>
      </c>
      <c r="M743" s="76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1">
        <f>Gastos[[#This Row],[Importe AR$]]/$N$1</f>
        <v>528.0528052805281</v>
      </c>
      <c r="M744" s="76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1">
        <f>Gastos[[#This Row],[Importe AR$]]/$N$1</f>
        <v>591.02310231023102</v>
      </c>
      <c r="M745" s="76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1">
        <f>Gastos[[#This Row],[Importe AR$]]/$N$1</f>
        <v>612.54125412541259</v>
      </c>
      <c r="M746" s="76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1">
        <f>Gastos[[#This Row],[Importe AR$]]/$N$1</f>
        <v>622.87788778877882</v>
      </c>
      <c r="M747" s="76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1">
        <f>Gastos[[#This Row],[Importe AR$]]/$N$1</f>
        <v>660.0660066006601</v>
      </c>
      <c r="M748" s="76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1">
        <f>Gastos[[#This Row],[Importe AR$]]/$N$1</f>
        <v>660.0660066006601</v>
      </c>
      <c r="M749" s="76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1">
        <f>Gastos[[#This Row],[Importe AR$]]/$N$1</f>
        <v>660.0660066006601</v>
      </c>
      <c r="M750" s="76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1">
        <f>Gastos[[#This Row],[Importe AR$]]/$N$1</f>
        <v>796.25742574257424</v>
      </c>
      <c r="M751" s="76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1">
        <f>Gastos[[#This Row],[Importe AR$]]/$N$1</f>
        <v>872.33267326732675</v>
      </c>
      <c r="M752" s="76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1">
        <f>Gastos[[#This Row],[Importe AR$]]/$N$1</f>
        <v>990.09900990099015</v>
      </c>
      <c r="M753" s="76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1">
        <f>Gastos[[#This Row],[Importe AR$]]/$N$1</f>
        <v>1025.4217821782179</v>
      </c>
      <c r="M754" s="76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1">
        <f>Gastos[[#This Row],[Importe AR$]]/$N$1</f>
        <v>1600.6600660066006</v>
      </c>
      <c r="M755" s="76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1">
        <f>Gastos[[#This Row],[Importe AR$]]/$N$1</f>
        <v>990.09900990099015</v>
      </c>
      <c r="M756" s="76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1">
        <f>Gastos[[#This Row],[Importe AR$]]/$N$1</f>
        <v>528.0528052805281</v>
      </c>
      <c r="M757" s="76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1">
        <f>Gastos[[#This Row],[Importe AR$]]/$N$1</f>
        <v>528.0528052805281</v>
      </c>
      <c r="M758" s="76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1">
        <f>Gastos[[#This Row],[Importe AR$]]/$N$1</f>
        <v>528.0528052805281</v>
      </c>
      <c r="M759" s="76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1">
        <f>Gastos[[#This Row],[Importe AR$]]/$N$1</f>
        <v>528.0528052805281</v>
      </c>
      <c r="M760" s="76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1">
        <f>Gastos[[#This Row],[Importe AR$]]/$N$1</f>
        <v>528.0528052805281</v>
      </c>
      <c r="M761" s="76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1">
        <f>Gastos[[#This Row],[Importe AR$]]/$N$1</f>
        <v>4627.7227722772277</v>
      </c>
      <c r="M762" s="76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1">
        <f>Gastos[[#This Row],[Importe AR$]]/$N$1</f>
        <v>1368.5808580858086</v>
      </c>
      <c r="M763" s="76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1">
        <f>Gastos[[#This Row],[Importe AR$]]/$N$1</f>
        <v>660.0660066006601</v>
      </c>
      <c r="M764" s="76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1">
        <f>Gastos[[#This Row],[Importe AR$]]/$N$1</f>
        <v>825.08250825082507</v>
      </c>
      <c r="M765" s="76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1">
        <f>Gastos[[#This Row],[Importe AR$]]/$N$1</f>
        <v>1083.1439669966996</v>
      </c>
      <c r="M766" s="76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1">
        <f>Gastos[[#This Row],[Importe AR$]]/$N$1</f>
        <v>765.34653465346537</v>
      </c>
      <c r="M767" s="76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1">
        <f>Gastos[[#This Row],[Importe AR$]]/$N$1</f>
        <v>660.0660066006601</v>
      </c>
      <c r="M768" s="76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1">
        <f>Gastos[[#This Row],[Importe AR$]]/$N$1</f>
        <v>838.28382838283824</v>
      </c>
      <c r="M769" s="76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1">
        <f>Gastos[[#This Row],[Importe AR$]]/$N$1</f>
        <v>825.08250825082507</v>
      </c>
      <c r="M770" s="76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1">
        <f>Gastos[[#This Row],[Importe AR$]]/$N$1</f>
        <v>660.0660066006601</v>
      </c>
      <c r="M771" s="76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1">
        <f>Gastos[[#This Row],[Importe AR$]]/$N$1</f>
        <v>564.85148514851483</v>
      </c>
      <c r="M772" s="76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1">
        <f>Gastos[[#This Row],[Importe AR$]]/$N$1</f>
        <v>213.57811881188118</v>
      </c>
      <c r="M773" s="76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1">
        <f>Gastos[[#This Row],[Importe AR$]]/$N$1</f>
        <v>103.76237623762377</v>
      </c>
      <c r="M774" s="76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1">
        <f>Gastos[[#This Row],[Importe AR$]]/$N$1</f>
        <v>103.76237623762377</v>
      </c>
      <c r="M775" s="76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1">
        <f>Gastos[[#This Row],[Importe AR$]]/$N$1</f>
        <v>103.76237623762377</v>
      </c>
      <c r="M776" s="76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1">
        <f>Gastos[[#This Row],[Importe AR$]]/$N$1</f>
        <v>111.77557755775578</v>
      </c>
      <c r="M777" s="76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1">
        <f>Gastos[[#This Row],[Importe AR$]]/$N$1</f>
        <v>132.01320132013203</v>
      </c>
      <c r="M778" s="76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1">
        <f>Gastos[[#This Row],[Importe AR$]]/$N$1</f>
        <v>132.01320132013203</v>
      </c>
      <c r="M779" s="76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1">
        <f>Gastos[[#This Row],[Importe AR$]]/$N$1</f>
        <v>165.9009900990099</v>
      </c>
      <c r="M780" s="76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1">
        <f>Gastos[[#This Row],[Importe AR$]]/$N$1</f>
        <v>330.03300330033005</v>
      </c>
      <c r="M781" s="76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1">
        <f>Gastos[[#This Row],[Importe AR$]]/$N$1</f>
        <v>330.03300330033005</v>
      </c>
      <c r="M782" s="76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1">
        <f>Gastos[[#This Row],[Importe AR$]]/$N$1</f>
        <v>330.03300330033005</v>
      </c>
      <c r="M783" s="76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1">
        <f>Gastos[[#This Row],[Importe AR$]]/$N$1</f>
        <v>363.61056105610561</v>
      </c>
      <c r="M784" s="76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1">
        <f>Gastos[[#This Row],[Importe AR$]]/$N$1</f>
        <v>495.04950495049508</v>
      </c>
      <c r="M785" s="76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1">
        <f>Gastos[[#This Row],[Importe AR$]]/$N$1</f>
        <v>505.34653465346537</v>
      </c>
      <c r="M786" s="76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1">
        <f>Gastos[[#This Row],[Importe AR$]]/$N$1</f>
        <v>574.32343234323434</v>
      </c>
      <c r="M787" s="76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1">
        <f>Gastos[[#This Row],[Importe AR$]]/$N$1</f>
        <v>79.207920792079207</v>
      </c>
      <c r="M788" s="76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1">
        <f>Gastos[[#This Row],[Importe AR$]]/$N$1</f>
        <v>132.01320132013203</v>
      </c>
      <c r="M789" s="76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1">
        <f>Gastos[[#This Row],[Importe AR$]]/$N$1</f>
        <v>221.78217821782178</v>
      </c>
      <c r="M790" s="76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1">
        <f>Gastos[[#This Row],[Importe AR$]]/$N$1</f>
        <v>235.34785478547855</v>
      </c>
      <c r="M791" s="76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1">
        <f>Gastos[[#This Row],[Importe AR$]]/$N$1</f>
        <v>257.42574257425741</v>
      </c>
      <c r="M792" s="76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1">
        <f>Gastos[[#This Row],[Importe AR$]]/$N$1</f>
        <v>300.8171617161716</v>
      </c>
      <c r="M793" s="76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1">
        <f>Gastos[[#This Row],[Importe AR$]]/$N$1</f>
        <v>309.87458745874585</v>
      </c>
      <c r="M794" s="76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1">
        <f>Gastos[[#This Row],[Importe AR$]]/$N$1</f>
        <v>350.19708910891086</v>
      </c>
      <c r="M795" s="76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1">
        <f>Gastos[[#This Row],[Importe AR$]]/$N$1</f>
        <v>396.03960396039605</v>
      </c>
      <c r="M796" s="76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1">
        <f>Gastos[[#This Row],[Importe AR$]]/$N$1</f>
        <v>405.78085808580857</v>
      </c>
      <c r="M797" s="76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1">
        <f>Gastos[[#This Row],[Importe AR$]]/$N$1</f>
        <v>430.7729372937294</v>
      </c>
      <c r="M798" s="76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1">
        <f>Gastos[[#This Row],[Importe AR$]]/$N$1</f>
        <v>858.08580858085804</v>
      </c>
      <c r="M799" s="76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1">
        <f>Gastos[[#This Row],[Importe AR$]]/$N$1</f>
        <v>990.09900990099015</v>
      </c>
      <c r="M800" s="76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1">
        <f>Gastos[[#This Row],[Importe AR$]]/$N$1</f>
        <v>990.09900990099015</v>
      </c>
      <c r="M801" s="76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1">
        <f>Gastos[[#This Row],[Importe AR$]]/$N$1</f>
        <v>1320.1320132013202</v>
      </c>
      <c r="M802" s="76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1">
        <f>Gastos[[#This Row],[Importe AR$]]/$N$1</f>
        <v>330.03300330033005</v>
      </c>
      <c r="M803" s="76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1">
        <f>Gastos[[#This Row],[Importe AR$]]/$N$1</f>
        <v>291.82772277227724</v>
      </c>
      <c r="M804" s="76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1">
        <f>Gastos[[#This Row],[Importe AR$]]/$N$1</f>
        <v>581.98019801980195</v>
      </c>
      <c r="M805" s="76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1">
        <f>Gastos[[#This Row],[Importe AR$]]/$N$1</f>
        <v>118.81188118811882</v>
      </c>
      <c r="M806" s="76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1">
        <f>Gastos[[#This Row],[Importe AR$]]/$N$1</f>
        <v>6600.6600660066006</v>
      </c>
      <c r="L807" s="8"/>
      <c r="M807" s="76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1">
        <f>Gastos[[#This Row],[Importe AR$]]/$N$1</f>
        <v>330.03300330033005</v>
      </c>
      <c r="M808" s="76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1">
        <f>Gastos[[#This Row],[Importe AR$]]/$N$1</f>
        <v>594.05940594059405</v>
      </c>
      <c r="M809" s="76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1">
        <f>Gastos[[#This Row],[Importe AR$]]/$N$1</f>
        <v>1436.9636963696369</v>
      </c>
      <c r="M810" s="76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1">
        <f>Gastos[[#This Row],[Importe AR$]]/$N$1</f>
        <v>1650.1650165016501</v>
      </c>
      <c r="M811" s="76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1">
        <f>Gastos[[#This Row],[Importe AR$]]/$N$1</f>
        <v>330.03300330033005</v>
      </c>
      <c r="M812" s="76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1">
        <f>Gastos[[#This Row],[Importe AR$]]/$N$1</f>
        <v>1098.3498349834983</v>
      </c>
      <c r="L813" s="8"/>
      <c r="M813" s="76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1">
        <f>Gastos[[#This Row],[Importe AR$]]/$N$1</f>
        <v>1493.7293729372936</v>
      </c>
      <c r="L814" s="8"/>
      <c r="M814" s="76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1">
        <f>Gastos[[#This Row],[Importe AR$]]/$N$1</f>
        <v>1493.7293729372936</v>
      </c>
      <c r="L815" s="8"/>
      <c r="M815" s="76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1">
        <f>Gastos[[#This Row],[Importe AR$]]/$N$1</f>
        <v>1650.1650165016501</v>
      </c>
      <c r="L816" s="8"/>
      <c r="M816" s="76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1">
        <f>Gastos[[#This Row],[Importe AR$]]/$N$1</f>
        <v>330.03300330033005</v>
      </c>
      <c r="M817" s="76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1">
        <f>Gastos[[#This Row],[Importe AR$]]/$N$1</f>
        <v>330.03300330033005</v>
      </c>
      <c r="M818" s="76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1">
        <f>Gastos[[#This Row],[Importe AR$]]/$N$1</f>
        <v>330.03300330033005</v>
      </c>
      <c r="M819" s="76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1">
        <f>Gastos[[#This Row],[Importe AR$]]/$N$1</f>
        <v>415.04950495049508</v>
      </c>
      <c r="M820" s="76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1">
        <f>Gastos[[#This Row],[Importe AR$]]/$N$1</f>
        <v>445.54455445544556</v>
      </c>
      <c r="M821" s="76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1">
        <f>Gastos[[#This Row],[Importe AR$]]/$N$1</f>
        <v>959.37293729372936</v>
      </c>
      <c r="M822" s="76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1">
        <f>Gastos[[#This Row],[Importe AR$]]/$N$1</f>
        <v>959.37293729372936</v>
      </c>
      <c r="M823" s="76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1">
        <f>Gastos[[#This Row],[Importe AR$]]/$N$1</f>
        <v>1735.3003300330033</v>
      </c>
      <c r="M824" s="76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1">
        <f>Gastos[[#This Row],[Importe AR$]]/$N$1</f>
        <v>330.03300330033005</v>
      </c>
      <c r="M825" s="76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1">
        <f>Gastos[[#This Row],[Importe AR$]]/$N$1</f>
        <v>990.09900990099015</v>
      </c>
      <c r="M826" s="76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1">
        <f>Gastos[[#This Row],[Importe AR$]]/$N$1</f>
        <v>1980.1980198019803</v>
      </c>
      <c r="M827" s="76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1">
        <f>Gastos[[#This Row],[Importe AR$]]/$N$1</f>
        <v>660.0660066006601</v>
      </c>
      <c r="M828" s="76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1">
        <f>Gastos[[#This Row],[Importe AR$]]/$N$1</f>
        <v>2640.2640264026404</v>
      </c>
      <c r="M829" s="76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1">
        <f>Gastos[[#This Row],[Importe AR$]]/$N$1</f>
        <v>594.74191419141914</v>
      </c>
      <c r="M830" s="76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1">
        <f>Gastos[[#This Row],[Importe AR$]]/$N$1</f>
        <v>1493.7293729372936</v>
      </c>
      <c r="M831" s="76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1">
        <f>Gastos[[#This Row],[Importe AR$]]/$N$1</f>
        <v>1493.7293729372936</v>
      </c>
      <c r="M832" s="76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1">
        <f>Gastos[[#This Row],[Importe AR$]]/$N$1</f>
        <v>3300.3300330033003</v>
      </c>
      <c r="M833" s="76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1">
        <f>Gastos[[#This Row],[Importe AR$]]/$N$1</f>
        <v>3300.3300330033003</v>
      </c>
      <c r="M834" s="76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1">
        <f>Gastos[[#This Row],[Importe AR$]]/$N$1</f>
        <v>2640.2640264026404</v>
      </c>
      <c r="M835" s="76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1">
        <f>Gastos[[#This Row],[Importe AR$]]/$N$1</f>
        <v>698.75155115511552</v>
      </c>
      <c r="M836" s="76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1">
        <f>Gastos[[#This Row],[Importe AR$]]/$N$1</f>
        <v>7630.9138943894395</v>
      </c>
      <c r="M837" s="76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1">
        <f>Gastos[[#This Row],[Importe AR$]]/$N$1</f>
        <v>7630.9138943894395</v>
      </c>
      <c r="M838" s="76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1">
        <f>Gastos[[#This Row],[Importe AR$]]/$N$1</f>
        <v>171.61716171617161</v>
      </c>
      <c r="M839" s="76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1">
        <f>Gastos[[#This Row],[Importe AR$]]/$N$1</f>
        <v>110.53883828382838</v>
      </c>
      <c r="M840" s="76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1">
        <f>Gastos[[#This Row],[Importe AR$]]/$N$1</f>
        <v>164.09504290429041</v>
      </c>
      <c r="M841" s="76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1">
        <f>Gastos[[#This Row],[Importe AR$]]/$N$1</f>
        <v>85.808580858085804</v>
      </c>
      <c r="M842" s="76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1">
        <f>Gastos[[#This Row],[Importe AR$]]/$N$1</f>
        <v>1194.7194719471947</v>
      </c>
      <c r="L843" t="s">
        <v>959</v>
      </c>
      <c r="M843" s="76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1">
        <f>Gastos[[#This Row],[Importe AR$]]/$N$1</f>
        <v>157.33993399339934</v>
      </c>
      <c r="M844" s="76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1">
        <f>Gastos[[#This Row],[Importe AR$]]/$N$1</f>
        <v>140.21623762376237</v>
      </c>
      <c r="M845" s="76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1">
        <f>Gastos[[#This Row],[Importe AR$]]/$N$1</f>
        <v>177.14389438943894</v>
      </c>
      <c r="M846" s="76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1">
        <f>Gastos[[#This Row],[Importe AR$]]/$N$1</f>
        <v>243.46534653465346</v>
      </c>
      <c r="M847" s="76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1">
        <f>Gastos[[#This Row],[Importe AR$]]/$N$1</f>
        <v>279.44422442244223</v>
      </c>
      <c r="M848" s="76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1">
        <f>Gastos[[#This Row],[Importe AR$]]/$N$1</f>
        <v>164.05056105610561</v>
      </c>
      <c r="M849" s="76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1">
        <f>Gastos[[#This Row],[Importe AR$]]/$N$1</f>
        <v>210.97161716171618</v>
      </c>
      <c r="M850" s="76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1">
        <f>Gastos[[#This Row],[Importe AR$]]/$N$1</f>
        <v>191.41914191419141</v>
      </c>
      <c r="M851" s="76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1">
        <f>Gastos[[#This Row],[Importe AR$]]/$N$1</f>
        <v>58.019801980198018</v>
      </c>
      <c r="M852" s="76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1">
        <f>Gastos[[#This Row],[Importe AR$]]/$N$1</f>
        <v>253.66172937293732</v>
      </c>
      <c r="M853" s="76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1">
        <f>Gastos[[#This Row],[Importe AR$]]/$N$1</f>
        <v>151.8151815181518</v>
      </c>
      <c r="M854" s="76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1">
        <f>Gastos[[#This Row],[Importe AR$]]/$N$1</f>
        <v>221.94719471947195</v>
      </c>
      <c r="M855" s="76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1">
        <f>Gastos[[#This Row],[Importe AR$]]/$N$1</f>
        <v>1343.3452145214521</v>
      </c>
      <c r="M856" s="76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1">
        <f>Gastos[[#This Row],[Importe AR$]]/$N$1</f>
        <v>1654.125412541254</v>
      </c>
      <c r="M857" s="76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1">
        <f>Gastos[[#This Row],[Importe AR$]]/$N$1</f>
        <v>856.97689768976898</v>
      </c>
      <c r="M858" s="76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1">
        <f>Gastos[[#This Row],[Importe AR$]]/$N$1</f>
        <v>1787.4587458745875</v>
      </c>
      <c r="M859" s="76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1">
        <f>Gastos[[#This Row],[Importe AR$]]/$N$1</f>
        <v>567.6567656765676</v>
      </c>
      <c r="M860" s="76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1">
        <f>Gastos[[#This Row],[Importe AR$]]/$N$1</f>
        <v>330.03300330033005</v>
      </c>
      <c r="M861" s="76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1">
        <f>Gastos[[#This Row],[Importe AR$]]/$N$1</f>
        <v>660.0660066006601</v>
      </c>
      <c r="M862" s="76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1">
        <f>Gastos[[#This Row],[Importe AR$]]/$N$1</f>
        <v>1631.023102310231</v>
      </c>
      <c r="M863" s="76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1">
        <f>Gastos[[#This Row],[Importe AR$]]/$N$1</f>
        <v>1320.1320132013202</v>
      </c>
      <c r="L864" s="8"/>
      <c r="M864" s="76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1">
        <f>Gastos[[#This Row],[Importe AR$]]/$N$1</f>
        <v>1654.125412541254</v>
      </c>
      <c r="M865" s="76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1">
        <f>Gastos[[#This Row],[Importe AR$]]/$N$1</f>
        <v>3.1331155115511553</v>
      </c>
      <c r="M866" s="76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1">
        <f>Gastos[[#This Row],[Importe AR$]]/$N$1</f>
        <v>711.28491749174907</v>
      </c>
      <c r="M867" s="76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1">
        <f>Gastos[[#This Row],[Importe AR$]]/$N$1</f>
        <v>646.86468646864682</v>
      </c>
      <c r="M868" s="76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1">
        <f>Gastos[[#This Row],[Importe AR$]]/$N$1</f>
        <v>552.47524752475249</v>
      </c>
      <c r="M869" s="76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1">
        <f>Gastos[[#This Row],[Importe AR$]]/$N$1</f>
        <v>198.01980198019803</v>
      </c>
      <c r="M870" s="76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1">
        <f>Gastos[[#This Row],[Importe AR$]]/$N$1</f>
        <v>605.47920792079208</v>
      </c>
      <c r="M871" s="76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1">
        <f>Gastos[[#This Row],[Importe AR$]]/$N$1</f>
        <v>528.0528052805281</v>
      </c>
      <c r="M872" s="76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1">
        <f>Gastos[[#This Row],[Importe AR$]]/$N$1</f>
        <v>528.0528052805281</v>
      </c>
      <c r="M873" s="76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1">
        <f>Gastos[[#This Row],[Importe AR$]]/$N$1</f>
        <v>528.0528052805281</v>
      </c>
      <c r="M874" s="76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1">
        <f>Gastos[[#This Row],[Importe AR$]]/$N$1</f>
        <v>132.01320132013203</v>
      </c>
      <c r="M875" s="76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1">
        <f>Gastos[[#This Row],[Importe AR$]]/$N$1</f>
        <v>132.01320132013203</v>
      </c>
      <c r="M876" s="76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1">
        <f>Gastos[[#This Row],[Importe AR$]]/$N$1</f>
        <v>132.01320132013203</v>
      </c>
      <c r="M877" s="76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1">
        <f>Gastos[[#This Row],[Importe AR$]]/$N$1</f>
        <v>141.21188118811881</v>
      </c>
      <c r="M878" s="76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1">
        <f>Gastos[[#This Row],[Importe AR$]]/$N$1</f>
        <v>156.33333333333334</v>
      </c>
      <c r="M879" s="76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1">
        <f>Gastos[[#This Row],[Importe AR$]]/$N$1</f>
        <v>156.33333333333334</v>
      </c>
      <c r="M880" s="76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1">
        <f>Gastos[[#This Row],[Importe AR$]]/$N$1</f>
        <v>156.33333333333334</v>
      </c>
      <c r="M881" s="76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1">
        <f>Gastos[[#This Row],[Importe AR$]]/$N$1</f>
        <v>156.33333333333334</v>
      </c>
      <c r="M882" s="76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1">
        <f>Gastos[[#This Row],[Importe AR$]]/$N$1</f>
        <v>264.02640264026405</v>
      </c>
      <c r="M883" s="76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1">
        <f>Gastos[[#This Row],[Importe AR$]]/$N$1</f>
        <v>264.02640264026405</v>
      </c>
      <c r="M884" s="76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1">
        <f>Gastos[[#This Row],[Importe AR$]]/$N$1</f>
        <v>302.17491749174917</v>
      </c>
      <c r="M885" s="76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1">
        <f>Gastos[[#This Row],[Importe AR$]]/$N$1</f>
        <v>396.03960396039605</v>
      </c>
      <c r="M886" s="76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1">
        <f>Gastos[[#This Row],[Importe AR$]]/$N$1</f>
        <v>396.03960396039605</v>
      </c>
      <c r="M887" s="76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1">
        <f>Gastos[[#This Row],[Importe AR$]]/$N$1</f>
        <v>396.03960396039605</v>
      </c>
      <c r="M888" s="76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1">
        <f>Gastos[[#This Row],[Importe AR$]]/$N$1</f>
        <v>396.03960396039605</v>
      </c>
      <c r="M889" s="76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1">
        <f>Gastos[[#This Row],[Importe AR$]]/$N$1</f>
        <v>399.57953795379535</v>
      </c>
      <c r="M890" s="76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1">
        <f>Gastos[[#This Row],[Importe AR$]]/$N$1</f>
        <v>466.24356435643563</v>
      </c>
      <c r="M891" s="76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1">
        <f>Gastos[[#This Row],[Importe AR$]]/$N$1</f>
        <v>660.0660066006601</v>
      </c>
      <c r="M892" s="76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1">
        <f>Gastos[[#This Row],[Importe AR$]]/$N$1</f>
        <v>660.0660066006601</v>
      </c>
      <c r="M893" s="76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1">
        <f>Gastos[[#This Row],[Importe AR$]]/$N$1</f>
        <v>660.0660066006601</v>
      </c>
      <c r="M894" s="76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1">
        <f>Gastos[[#This Row],[Importe AR$]]/$N$1</f>
        <v>660.0660066006601</v>
      </c>
      <c r="M895" s="76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1">
        <f>Gastos[[#This Row],[Importe AR$]]/$N$1</f>
        <v>660.0660066006601</v>
      </c>
      <c r="M896" s="76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1">
        <f>Gastos[[#This Row],[Importe AR$]]/$N$1</f>
        <v>238.10125412541257</v>
      </c>
      <c r="M897" s="76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1">
        <f>Gastos[[#This Row],[Importe AR$]]/$N$1</f>
        <v>129.04669966996698</v>
      </c>
      <c r="M898" s="76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1">
        <f>Gastos[[#This Row],[Importe AR$]]/$N$1</f>
        <v>73.019306930693062</v>
      </c>
      <c r="M899" s="76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1">
        <f>Gastos[[#This Row],[Importe AR$]]/$N$1</f>
        <v>2603.8613861386139</v>
      </c>
      <c r="L900" t="s">
        <v>983</v>
      </c>
      <c r="M900" s="76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2">
        <f>Gastos[[#This Row],[Importe AR$]]/$N$1</f>
        <v>5071.6171617161717</v>
      </c>
      <c r="L901" t="s">
        <v>986</v>
      </c>
      <c r="M901" s="76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1">
        <f>Gastos[[#This Row],[Importe AR$]]/$N$1</f>
        <v>1148.0573465346533</v>
      </c>
      <c r="L902" t="s">
        <v>460</v>
      </c>
      <c r="M902" s="76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1">
        <f>Gastos[[#This Row],[Importe AR$]]/$N$1</f>
        <v>4989.7042904290429</v>
      </c>
      <c r="M903" s="76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1">
        <f>Gastos[[#This Row],[Importe AR$]]/$N$1</f>
        <v>348.84207920792079</v>
      </c>
      <c r="M904" s="76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1">
        <f>Gastos[[#This Row],[Importe AR$]]/$N$1</f>
        <v>82.112211221122109</v>
      </c>
      <c r="M905" s="76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1">
        <f>Gastos[[#This Row],[Importe AR$]]/$N$1</f>
        <v>191.41914191419141</v>
      </c>
      <c r="M906" s="76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1">
        <f>Gastos[[#This Row],[Importe AR$]]/$N$1</f>
        <v>287.52475247524751</v>
      </c>
      <c r="M907" s="76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1">
        <f>Gastos[[#This Row],[Importe AR$]]/$N$1</f>
        <v>528.0528052805281</v>
      </c>
      <c r="M908" s="76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1">
        <f>Gastos[[#This Row],[Importe AR$]]/$N$1</f>
        <v>92.895247524752463</v>
      </c>
      <c r="M909" s="76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1">
        <f>Gastos[[#This Row],[Importe AR$]]/$N$1</f>
        <v>34.27848844884489</v>
      </c>
      <c r="M910" s="76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1">
        <f>Gastos[[#This Row],[Importe AR$]]/$N$1</f>
        <v>425.04514851485152</v>
      </c>
      <c r="M911" s="76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1">
        <f>Gastos[[#This Row],[Importe AR$]]/$N$1</f>
        <v>159.73597359735973</v>
      </c>
      <c r="M912" s="76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1">
        <f>Gastos[[#This Row],[Importe AR$]]/$N$1</f>
        <v>23.102310231023104</v>
      </c>
      <c r="M913" s="76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1">
        <f>Gastos[[#This Row],[Importe AR$]]/$N$1</f>
        <v>26.402640264026402</v>
      </c>
      <c r="M914" s="76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1">
        <f>Gastos[[#This Row],[Importe AR$]]/$N$1</f>
        <v>19.801980198019802</v>
      </c>
      <c r="M915" s="76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1">
        <f>Gastos[[#This Row],[Importe AR$]]/$N$1</f>
        <v>477.02970297029702</v>
      </c>
      <c r="M916" s="76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1">
        <f>Gastos[[#This Row],[Importe AR$]]/$N$1</f>
        <v>478.47068646864682</v>
      </c>
      <c r="M917" s="76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1">
        <f>Gastos[[#This Row],[Importe AR$]]/$N$1</f>
        <v>66.006600660066013</v>
      </c>
      <c r="M918" s="76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1">
        <f>Gastos[[#This Row],[Importe AR$]]/$N$1</f>
        <v>231.02310231023102</v>
      </c>
      <c r="M919" s="76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1">
        <f>Gastos[[#This Row],[Importe AR$]]/$N$1</f>
        <v>363.03630363036302</v>
      </c>
      <c r="M920" s="76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1">
        <f>Gastos[[#This Row],[Importe AR$]]/$N$1</f>
        <v>102.11221122112211</v>
      </c>
      <c r="M921" s="76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1">
        <f>Gastos[[#This Row],[Importe AR$]]/$N$1</f>
        <v>145.41043564356434</v>
      </c>
      <c r="M922" s="76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1">
        <f>Gastos[[#This Row],[Importe AR$]]/$N$1</f>
        <v>171.05044224422443</v>
      </c>
      <c r="M923" s="76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1">
        <f>Gastos[[#This Row],[Importe AR$]]/$N$1</f>
        <v>137.17965676567655</v>
      </c>
      <c r="M924" s="76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1">
        <f>Gastos[[#This Row],[Importe AR$]]/$N$1</f>
        <v>340.02627722772274</v>
      </c>
      <c r="M925" s="76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1">
        <f>Gastos[[#This Row],[Importe AR$]]/$N$1</f>
        <v>177.11788118811882</v>
      </c>
      <c r="M926" s="76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1">
        <f>Gastos[[#This Row],[Importe AR$]]/$N$1</f>
        <v>179.15871947194722</v>
      </c>
      <c r="M927" s="76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1">
        <f>Gastos[[#This Row],[Importe AR$]]/$N$1</f>
        <v>381.35628382838286</v>
      </c>
      <c r="M928" s="76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1">
        <f>Gastos[[#This Row],[Importe AR$]]/$N$1</f>
        <v>208.97291749174914</v>
      </c>
      <c r="M929" s="76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1">
        <f>Gastos[[#This Row],[Importe AR$]]/$N$1</f>
        <v>48.079207920792079</v>
      </c>
      <c r="M930" s="76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1">
        <f>Gastos[[#This Row],[Importe AR$]]/$N$1</f>
        <v>48.079207920792079</v>
      </c>
      <c r="M931" s="76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1">
        <f>Gastos[[#This Row],[Importe AR$]]/$N$1</f>
        <v>187.69636963696371</v>
      </c>
      <c r="M932" s="76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1">
        <f>Gastos[[#This Row],[Importe AR$]]/$N$1</f>
        <v>132.76567656765675</v>
      </c>
      <c r="M933" s="76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1">
        <f>Gastos[[#This Row],[Importe AR$]]/$N$1</f>
        <v>102.8052805280528</v>
      </c>
      <c r="M934" s="76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1">
        <f>Gastos[[#This Row],[Importe AR$]]/$N$1</f>
        <v>159.70297029702971</v>
      </c>
      <c r="M935" s="76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1">
        <f>Gastos[[#This Row],[Importe AR$]]/$N$1</f>
        <v>8.6138613861386144</v>
      </c>
      <c r="M936" s="76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1">
        <f>Gastos[[#This Row],[Importe AR$]]/$N$1</f>
        <v>88.765676567656769</v>
      </c>
      <c r="M937" s="76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1">
        <f>Gastos[[#This Row],[Importe AR$]]/$N$1</f>
        <v>290.42904290429044</v>
      </c>
      <c r="M938" s="76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1">
        <f>Gastos[[#This Row],[Importe AR$]]/$N$1</f>
        <v>180.31551155115511</v>
      </c>
      <c r="M939" s="76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1">
        <f>Gastos[[#This Row],[Importe AR$]]/$N$1</f>
        <v>102.3102310231023</v>
      </c>
      <c r="M940" s="76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1">
        <f>Gastos[[#This Row],[Importe AR$]]/$N$1</f>
        <v>136.76633663366337</v>
      </c>
      <c r="M941" s="76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1">
        <f>Gastos[[#This Row],[Importe AR$]]/$N$1</f>
        <v>211.22112211221122</v>
      </c>
      <c r="M942" s="76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1">
        <f>Gastos[[#This Row],[Importe AR$]]/$N$1</f>
        <v>129.37294389438944</v>
      </c>
      <c r="M943" s="76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1">
        <f>Gastos[[#This Row],[Importe AR$]]/$N$1</f>
        <v>990.09900990099015</v>
      </c>
      <c r="M944" s="76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1">
        <f>Gastos[[#This Row],[Importe AR$]]/$N$1</f>
        <v>1320.1320132013202</v>
      </c>
      <c r="M945" s="76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1">
        <f>Gastos[[#This Row],[Importe AR$]]/$N$1</f>
        <v>330.03300330033005</v>
      </c>
      <c r="M946" s="76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1">
        <f>Gastos[[#This Row],[Importe AR$]]/$N$1</f>
        <v>215.39603960396039</v>
      </c>
      <c r="M947" s="76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1">
        <f>Gastos[[#This Row],[Importe AR$]]/$N$1</f>
        <v>222.19801980198019</v>
      </c>
      <c r="M948" s="76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1">
        <f>Gastos[[#This Row],[Importe AR$]]/$N$1</f>
        <v>221.44224422442244</v>
      </c>
      <c r="M949" s="76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1">
        <f>Gastos[[#This Row],[Importe AR$]]/$N$1</f>
        <v>219.93069306930693</v>
      </c>
      <c r="M950" s="76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1">
        <f>Gastos[[#This Row],[Importe AR$]]/$N$1</f>
        <v>51.551155115511548</v>
      </c>
      <c r="M951" s="76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1">
        <f>Gastos[[#This Row],[Importe AR$]]/$N$1</f>
        <v>32.409240924092408</v>
      </c>
      <c r="M952" s="76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1">
        <f>Gastos[[#This Row],[Importe AR$]]/$N$1</f>
        <v>249.17491749174917</v>
      </c>
      <c r="M953" s="76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1">
        <f>Gastos[[#This Row],[Importe AR$]]/$N$1</f>
        <v>27.326732673267326</v>
      </c>
      <c r="M954" s="76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1">
        <f>Gastos[[#This Row],[Importe AR$]]/$N$1</f>
        <v>183.33696369636965</v>
      </c>
      <c r="M955" s="76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1">
        <f>Gastos[[#This Row],[Importe AR$]]/$N$1</f>
        <v>1011.5478745874588</v>
      </c>
      <c r="M956" s="76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2">
        <f>Gastos[[#This Row],[Importe AR$]]/$N$1</f>
        <v>12783.189960396039</v>
      </c>
      <c r="L957" t="s">
        <v>1081</v>
      </c>
      <c r="M957" s="76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1">
        <f>Gastos[[#This Row],[Importe AR$]]/$N$1</f>
        <v>2969.1089108910892</v>
      </c>
      <c r="L958" t="s">
        <v>1083</v>
      </c>
      <c r="M958" s="76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1">
        <f>Gastos[[#This Row],[Importe AR$]]/$N$1</f>
        <v>2969.1089108910892</v>
      </c>
      <c r="L959" t="s">
        <v>1083</v>
      </c>
      <c r="M959" s="76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1">
        <f>Gastos[[#This Row],[Importe AR$]]/$N$1</f>
        <v>7715.9998151815189</v>
      </c>
      <c r="M960" s="76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1">
        <f>Gastos[[#This Row],[Importe AR$]]/$N$1</f>
        <v>8710.8080858085814</v>
      </c>
      <c r="M961" s="76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1">
        <f>Gastos[[#This Row],[Importe AR$]]/$N$1</f>
        <v>1287.1287128712872</v>
      </c>
      <c r="M962" s="76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1">
        <f>Gastos[[#This Row],[Importe AR$]]/$N$1</f>
        <v>1287.1287128712872</v>
      </c>
      <c r="M963" s="76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1">
        <f>Gastos[[#This Row],[Importe AR$]]/$N$1</f>
        <v>1287.1287128712872</v>
      </c>
      <c r="M964" s="76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1">
        <f>Gastos[[#This Row],[Importe AR$]]/$N$1</f>
        <v>1287.1287128712872</v>
      </c>
      <c r="M965" s="76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1">
        <f>Gastos[[#This Row],[Importe AR$]]/$N$1</f>
        <v>1085.141702970297</v>
      </c>
      <c r="M966" s="76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1">
        <f>Gastos[[#This Row],[Importe AR$]]/$N$1</f>
        <v>1673.366389438944</v>
      </c>
      <c r="M967" s="76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1">
        <f>Gastos[[#This Row],[Importe AR$]]/$N$1</f>
        <v>2170.1534455445544</v>
      </c>
      <c r="M968" s="76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1">
        <f>Gastos[[#This Row],[Importe AR$]]/$N$1</f>
        <v>2967.393663366337</v>
      </c>
      <c r="M969" s="76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1">
        <f>Gastos[[#This Row],[Importe AR$]]/$N$1</f>
        <v>17.510785478547856</v>
      </c>
      <c r="M970" s="76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1">
        <f>Gastos[[#This Row],[Importe AR$]]/$N$1</f>
        <v>558.30926072607258</v>
      </c>
      <c r="M971" s="76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1">
        <f>Gastos[[#This Row],[Importe AR$]]/$N$1</f>
        <v>562.50831023102307</v>
      </c>
      <c r="M972" s="76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1">
        <f>Gastos[[#This Row],[Importe AR$]]/$N$1</f>
        <v>577.6234323432343</v>
      </c>
      <c r="M973" s="76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1">
        <f>Gastos[[#This Row],[Importe AR$]]/$N$1</f>
        <v>1009.6050825082508</v>
      </c>
      <c r="M974" s="76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1">
        <f>Gastos[[#This Row],[Importe AR$]]/$N$1</f>
        <v>2574.2574257425745</v>
      </c>
      <c r="M975" s="76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1">
        <f>Gastos[[#This Row],[Importe AR$]]/$N$1</f>
        <v>2050.9816501650166</v>
      </c>
      <c r="M976" s="76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1">
        <f>Gastos[[#This Row],[Importe AR$]]/$N$1</f>
        <v>2129.5943366336633</v>
      </c>
      <c r="M977" s="76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1">
        <f>Gastos[[#This Row],[Importe AR$]]/$N$1</f>
        <v>20.760666666666665</v>
      </c>
      <c r="M978" s="76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1">
        <f>Gastos[[#This Row],[Importe AR$]]/$N$1</f>
        <v>1980.1980198019803</v>
      </c>
      <c r="M979" s="76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1">
        <f>Gastos[[#This Row],[Importe AR$]]/$N$1</f>
        <v>1320.1320132013202</v>
      </c>
      <c r="M980" s="76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1">
        <f>Gastos[[#This Row],[Importe AR$]]/$N$1</f>
        <v>8104.8154983498353</v>
      </c>
      <c r="M981" s="76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1">
        <f>Gastos[[#This Row],[Importe AR$]]/$N$1</f>
        <v>660.0660066006601</v>
      </c>
      <c r="M982" s="76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1">
        <f>Gastos[[#This Row],[Importe AR$]]/$N$1</f>
        <v>503.59059405940593</v>
      </c>
      <c r="M983" s="76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1">
        <f>Gastos[[#This Row],[Importe AR$]]/$N$1</f>
        <v>1320.1320132013202</v>
      </c>
      <c r="M984" s="76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1">
        <f>Gastos[[#This Row],[Importe AR$]]/$N$1</f>
        <v>1493.7293729372936</v>
      </c>
      <c r="M985" s="76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1">
        <f>Gastos[[#This Row],[Importe AR$]]/$N$1</f>
        <v>1493.7293729372936</v>
      </c>
      <c r="M986" s="76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1">
        <f>Gastos[[#This Row],[Importe AR$]]/$N$1</f>
        <v>1980.1980198019803</v>
      </c>
      <c r="M987" s="76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1">
        <f>Gastos[[#This Row],[Importe AR$]]/$N$1</f>
        <v>1296.4356435643565</v>
      </c>
      <c r="M988" s="76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1">
        <f>Gastos[[#This Row],[Importe AR$]]/$N$1</f>
        <v>1467.973597359736</v>
      </c>
      <c r="M989" s="76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1">
        <f>Gastos[[#This Row],[Importe AR$]]/$N$1</f>
        <v>1597.3597359735973</v>
      </c>
      <c r="M990" s="76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1">
        <f>Gastos[[#This Row],[Importe AR$]]/$N$1</f>
        <v>1178.6611881188119</v>
      </c>
      <c r="M991" s="76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1">
        <f>Gastos[[#This Row],[Importe AR$]]/$N$1</f>
        <v>1178.6611881188119</v>
      </c>
      <c r="M992" s="76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1">
        <f>Gastos[[#This Row],[Importe AR$]]/$N$1</f>
        <v>23.102310231023104</v>
      </c>
      <c r="M993" s="76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1">
        <f>Gastos[[#This Row],[Importe AR$]]/$N$1</f>
        <v>112.87128712871286</v>
      </c>
      <c r="M994" s="76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1">
        <f>Gastos[[#This Row],[Importe AR$]]/$N$1</f>
        <v>17.161716171617162</v>
      </c>
      <c r="M995" s="76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1">
        <f>Gastos[[#This Row],[Importe AR$]]/$N$1</f>
        <v>132.80767656765676</v>
      </c>
      <c r="M996" s="76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1">
        <f>Gastos[[#This Row],[Importe AR$]]/$N$1</f>
        <v>1136.5624950495048</v>
      </c>
      <c r="L997" t="s">
        <v>215</v>
      </c>
      <c r="M997" s="76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1">
        <f>Gastos[[#This Row],[Importe AR$]]/$N$1</f>
        <v>18.455894389438946</v>
      </c>
      <c r="M998" s="76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1">
        <f>Gastos[[#This Row],[Importe AR$]]/$N$1</f>
        <v>3188.1188118811883</v>
      </c>
      <c r="M999" s="76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1">
        <f>Gastos[[#This Row],[Importe AR$]]/$N$1</f>
        <v>711.28491749174907</v>
      </c>
      <c r="M1000" s="76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1">
        <f>Gastos[[#This Row],[Importe AR$]]/$N$1</f>
        <v>1267.0627062706271</v>
      </c>
      <c r="M1001" s="76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1">
        <f>Gastos[[#This Row],[Importe AR$]]/$N$1</f>
        <v>1320.1320132013202</v>
      </c>
      <c r="M1002" s="76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1">
        <f>Gastos[[#This Row],[Importe AR$]]/$N$1</f>
        <v>3878.2178217821784</v>
      </c>
      <c r="M1003" s="76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1">
        <f>Gastos[[#This Row],[Importe AR$]]/$N$1</f>
        <v>192.07927392739273</v>
      </c>
      <c r="M1004" s="76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1">
        <f>Gastos[[#This Row],[Importe AR$]]/$N$1</f>
        <v>26.402640264026402</v>
      </c>
      <c r="M1005" s="76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1">
        <f>Gastos[[#This Row],[Importe AR$]]/$N$1</f>
        <v>7718.1963036303632</v>
      </c>
      <c r="M1006" s="76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1">
        <f>Gastos[[#This Row],[Importe AR$]]/$N$1</f>
        <v>95.331683168316829</v>
      </c>
      <c r="M1007" s="76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1">
        <f>Gastos[[#This Row],[Importe AR$]]/$N$1</f>
        <v>128.876</v>
      </c>
      <c r="M1008" s="76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1">
        <f>Gastos[[#This Row],[Importe AR$]]/$N$1</f>
        <v>527.44906930693071</v>
      </c>
      <c r="M1009" s="76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1">
        <f>Gastos[[#This Row],[Importe AR$]]/$N$1</f>
        <v>716.43918151815183</v>
      </c>
      <c r="M1010" s="76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1">
        <f>Gastos[[#This Row],[Importe AR$]]/$N$1</f>
        <v>747.69042904290427</v>
      </c>
      <c r="M1011" s="76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1">
        <f>Gastos[[#This Row],[Importe AR$]]/$N$1</f>
        <v>8.9046930693069317</v>
      </c>
      <c r="M1012" s="76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1">
        <f>Gastos[[#This Row],[Importe AR$]]/$N$1</f>
        <v>660.0660066006601</v>
      </c>
      <c r="M1013" s="76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1">
        <f>Gastos[[#This Row],[Importe AR$]]/$N$1</f>
        <v>1848.1848184818482</v>
      </c>
      <c r="M1014" s="76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1">
        <f>Gastos[[#This Row],[Importe AR$]]/$N$1</f>
        <v>1980.1980198019803</v>
      </c>
      <c r="M1015" s="76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1">
        <f>Gastos[[#This Row],[Importe AR$]]/$N$1</f>
        <v>1980.1980198019803</v>
      </c>
      <c r="M1016" s="76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4394636250</v>
      </c>
      <c r="K1017" s="61">
        <f>Gastos[[#This Row],[Importe AR$]]/$N$1</f>
        <v>2900750</v>
      </c>
      <c r="M1017" s="76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1">
        <f>Gastos[[#This Row],[Importe AR$]]/$N$1</f>
        <v>483.25802640264021</v>
      </c>
      <c r="L1018" s="26" t="s">
        <v>1135</v>
      </c>
      <c r="M1018" s="76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1">
        <f>Gastos[[#This Row],[Importe AR$]]/$N$1</f>
        <v>754.75247524752479</v>
      </c>
      <c r="M1019" s="76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1">
        <f>Gastos[[#This Row],[Importe AR$]]/$N$1</f>
        <v>706.66424422442253</v>
      </c>
      <c r="M1020" s="76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1">
        <f>Gastos[[#This Row],[Importe AR$]]/$N$1</f>
        <v>584.29060726072612</v>
      </c>
      <c r="M1021" s="76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1">
        <f>Gastos[[#This Row],[Importe AR$]]/$N$1</f>
        <v>618.8037425742574</v>
      </c>
      <c r="M1022" s="76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1">
        <f>Gastos[[#This Row],[Importe AR$]]/$N$1</f>
        <v>79.207920792079207</v>
      </c>
      <c r="M1023" s="76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1">
        <f>Gastos[[#This Row],[Importe AR$]]/$N$1</f>
        <v>79.207920792079207</v>
      </c>
      <c r="M1024" s="76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1">
        <f>Gastos[[#This Row],[Importe AR$]]/$N$1</f>
        <v>79.207920792079207</v>
      </c>
      <c r="M1025" s="76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1">
        <f>Gastos[[#This Row],[Importe AR$]]/$N$1</f>
        <v>79.207920792079207</v>
      </c>
      <c r="M1026" s="76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1">
        <f>Gastos[[#This Row],[Importe AR$]]/$N$1</f>
        <v>79.207920792079207</v>
      </c>
      <c r="M1027" s="76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1">
        <f>Gastos[[#This Row],[Importe AR$]]/$N$1</f>
        <v>79.207920792079207</v>
      </c>
      <c r="M1028" s="76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1">
        <f>Gastos[[#This Row],[Importe AR$]]/$N$1</f>
        <v>79.207920792079207</v>
      </c>
      <c r="M1029" s="76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1">
        <f>Gastos[[#This Row],[Importe AR$]]/$N$1</f>
        <v>79.207920792079207</v>
      </c>
      <c r="M1030" s="76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1">
        <f>Gastos[[#This Row],[Importe AR$]]/$N$1</f>
        <v>108.25306930693068</v>
      </c>
      <c r="M1031" s="76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1">
        <f>Gastos[[#This Row],[Importe AR$]]/$N$1</f>
        <v>198.48792079207922</v>
      </c>
      <c r="M1032" s="76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1">
        <f>Gastos[[#This Row],[Importe AR$]]/$N$1</f>
        <v>102.99775577557756</v>
      </c>
      <c r="L1033" t="s">
        <v>277</v>
      </c>
      <c r="M1033" s="76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1">
        <f>Gastos[[#This Row],[Importe AR$]]/$N$1</f>
        <v>343.71986798679865</v>
      </c>
      <c r="M1034" s="76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1">
        <f>Gastos[[#This Row],[Importe AR$]]/$N$1</f>
        <v>287.8407392739274</v>
      </c>
      <c r="M1035" s="76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1">
        <f>Gastos[[#This Row],[Importe AR$]]/$N$1</f>
        <v>198.16422442244223</v>
      </c>
      <c r="M1036" s="76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1">
        <f>Gastos[[#This Row],[Importe AR$]]/$N$1</f>
        <v>1650.1650165016501</v>
      </c>
      <c r="M1037" s="76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1">
        <f>Gastos[[#This Row],[Importe AR$]]/$N$1</f>
        <v>1650.1650165016501</v>
      </c>
      <c r="M1038" s="76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1">
        <f>Gastos[[#This Row],[Importe AR$]]/$N$1</f>
        <v>1650.1650165016501</v>
      </c>
      <c r="M1039" s="76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1">
        <f>Gastos[[#This Row],[Importe AR$]]/$N$1</f>
        <v>1650.1650165016501</v>
      </c>
      <c r="M1040" s="76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1">
        <f>Gastos[[#This Row],[Importe AR$]]/$N$1</f>
        <v>660.0660066006601</v>
      </c>
      <c r="M1041" s="76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2">
        <f>Gastos[[#This Row],[Importe AR$]]/$N$1</f>
        <v>660.0660066006601</v>
      </c>
      <c r="M1042" s="76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1">
        <f>Gastos[[#This Row],[Importe AR$]]/$N$1</f>
        <v>660.0660066006601</v>
      </c>
      <c r="M1043" s="76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1">
        <f>Gastos[[#This Row],[Importe AR$]]/$N$1</f>
        <v>660.0660066006601</v>
      </c>
      <c r="M1044" s="76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1">
        <f>Gastos[[#This Row],[Importe AR$]]/$N$1</f>
        <v>660.0660066006601</v>
      </c>
      <c r="M1045" s="76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1">
        <f>Gastos[[#This Row],[Importe AR$]]/$N$1</f>
        <v>660.0660066006601</v>
      </c>
      <c r="M1046" s="76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1">
        <f>Gastos[[#This Row],[Importe AR$]]/$N$1</f>
        <v>660.0660066006601</v>
      </c>
      <c r="M1047" s="76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1">
        <f>Gastos[[#This Row],[Importe AR$]]/$N$1</f>
        <v>660.0660066006601</v>
      </c>
      <c r="M1048" s="76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1">
        <f>Gastos[[#This Row],[Importe AR$]]/$N$1</f>
        <v>660.0660066006601</v>
      </c>
      <c r="M1049" s="76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1">
        <f>Gastos[[#This Row],[Importe AR$]]/$N$1</f>
        <v>660.0660066006601</v>
      </c>
      <c r="L1050" t="s">
        <v>215</v>
      </c>
      <c r="M1050" s="76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1">
        <f>Gastos[[#This Row],[Importe AR$]]/$N$1</f>
        <v>660.0660066006601</v>
      </c>
      <c r="M1051" s="76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1">
        <f>Gastos[[#This Row],[Importe AR$]]/$N$1</f>
        <v>660.0660066006601</v>
      </c>
      <c r="M1052" s="76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1">
        <f>Gastos[[#This Row],[Importe AR$]]/$N$1</f>
        <v>330.03300330033005</v>
      </c>
      <c r="M1053" s="76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1">
        <f>Gastos[[#This Row],[Importe AR$]]/$N$1</f>
        <v>85.808580858085804</v>
      </c>
      <c r="M1054" s="76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1">
        <f>Gastos[[#This Row],[Importe AR$]]/$N$1</f>
        <v>85.808580858085804</v>
      </c>
      <c r="M1055" s="76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1">
        <f>Gastos[[#This Row],[Importe AR$]]/$N$1</f>
        <v>85.808580858085804</v>
      </c>
      <c r="M1056" s="76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1">
        <f>Gastos[[#This Row],[Importe AR$]]/$N$1</f>
        <v>330.03300330033005</v>
      </c>
      <c r="M1057" s="76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1">
        <f>Gastos[[#This Row],[Importe AR$]]/$N$1</f>
        <v>49.504950495049506</v>
      </c>
      <c r="M1058" s="76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1">
        <f>Gastos[[#This Row],[Importe AR$]]/$N$1</f>
        <v>49.504950495049506</v>
      </c>
      <c r="M1059" s="76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1">
        <f>Gastos[[#This Row],[Importe AR$]]/$N$1</f>
        <v>97.763729372937291</v>
      </c>
      <c r="M1060" s="76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1">
        <f>Gastos[[#This Row],[Importe AR$]]/$N$1</f>
        <v>6.6243894389438944</v>
      </c>
      <c r="M1061" s="76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1">
        <f>Gastos[[#This Row],[Importe AR$]]/$N$1</f>
        <v>3.0957095709570956</v>
      </c>
      <c r="M1062" s="76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1">
        <f>Gastos[[#This Row],[Importe AR$]]/$N$1</f>
        <v>372.93729372937293</v>
      </c>
      <c r="M1063" s="76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1">
        <f>Gastos[[#This Row],[Importe AR$]]/$N$1</f>
        <v>660.0660066006601</v>
      </c>
      <c r="M1064" s="76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1">
        <f>Gastos[[#This Row],[Importe AR$]]/$N$1</f>
        <v>792.0792079207921</v>
      </c>
      <c r="M1065" s="76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1">
        <f>Gastos[[#This Row],[Importe AR$]]/$N$1</f>
        <v>528.0528052805281</v>
      </c>
      <c r="M1066" s="76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1">
        <f>Gastos[[#This Row],[Importe AR$]]/$N$1</f>
        <v>744.22442244224419</v>
      </c>
      <c r="M1067" s="76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1">
        <f>Gastos[[#This Row],[Importe AR$]]/$N$1</f>
        <v>552.55445544554459</v>
      </c>
      <c r="M1068" s="76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1">
        <f>Gastos[[#This Row],[Importe AR$]]/$N$1</f>
        <v>1281.0825082508252</v>
      </c>
      <c r="M1069" s="76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1">
        <f>Gastos[[#This Row],[Importe AR$]]/$N$1</f>
        <v>4620.4620462046205</v>
      </c>
      <c r="M1070" s="76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1">
        <f>Gastos[[#This Row],[Importe AR$]]/$N$1</f>
        <v>541.72541254125417</v>
      </c>
      <c r="M1071" s="76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1">
        <f>Gastos[[#This Row],[Importe AR$]]/$N$1</f>
        <v>987.45874587458741</v>
      </c>
      <c r="M1072" s="76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1">
        <f>Gastos[[#This Row],[Importe AR$]]/$N$1</f>
        <v>2001.9801980198019</v>
      </c>
      <c r="M1073" s="76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1">
        <f>Gastos[[#This Row],[Importe AR$]]/$N$1</f>
        <v>44.608580858085809</v>
      </c>
      <c r="M1074" s="76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1">
        <f>Gastos[[#This Row],[Importe AR$]]/$N$1</f>
        <v>20.257425742574256</v>
      </c>
      <c r="M1075" s="76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1">
        <f>Gastos[[#This Row],[Importe AR$]]/$N$1</f>
        <v>711.28491749174907</v>
      </c>
      <c r="M1076" s="76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1">
        <f>Gastos[[#This Row],[Importe AR$]]/$N$1</f>
        <v>77.291749174917499</v>
      </c>
      <c r="M1077" s="76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2">
        <f>Gastos[[#This Row],[Importe AR$]]/$N$1</f>
        <v>405.94059405940595</v>
      </c>
      <c r="M1078" s="76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1">
        <f>Gastos[[#This Row],[Importe AR$]]/$N$1</f>
        <v>1650.1650165016501</v>
      </c>
      <c r="M1079" s="76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1">
        <f>Gastos[[#This Row],[Importe AR$]]/$N$1</f>
        <v>1650.1650165016501</v>
      </c>
      <c r="M1080" s="76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1">
        <f>Gastos[[#This Row],[Importe AR$]]/$N$1</f>
        <v>1650.1650165016501</v>
      </c>
      <c r="M1081" s="76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1">
        <f>Gastos[[#This Row],[Importe AR$]]/$N$1</f>
        <v>1650.1650165016501</v>
      </c>
      <c r="M1082" s="76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1">
        <f>Gastos[[#This Row],[Importe AR$]]/$N$1</f>
        <v>1650.1650165016501</v>
      </c>
      <c r="M1083" s="76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1">
        <f>Gastos[[#This Row],[Importe AR$]]/$N$1</f>
        <v>800.85060726072606</v>
      </c>
      <c r="M1084" s="76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1">
        <f>Gastos[[#This Row],[Importe AR$]]/$N$1</f>
        <v>225.20048514851484</v>
      </c>
      <c r="L1085" t="s">
        <v>215</v>
      </c>
      <c r="M1085" s="76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1">
        <f>Gastos[[#This Row],[Importe AR$]]/$N$1</f>
        <v>225.20048514851484</v>
      </c>
      <c r="L1086" t="s">
        <v>1199</v>
      </c>
      <c r="M1086" s="76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1">
        <f>Gastos[[#This Row],[Importe AR$]]/$N$1</f>
        <v>424.25700330033004</v>
      </c>
      <c r="L1087" t="s">
        <v>215</v>
      </c>
      <c r="M1087" s="76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1">
        <f>Gastos[[#This Row],[Importe AR$]]/$N$1</f>
        <v>424.25700330033004</v>
      </c>
      <c r="L1088" t="s">
        <v>1199</v>
      </c>
      <c r="M1088" s="76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1">
        <f>Gastos[[#This Row],[Importe AR$]]/$N$1</f>
        <v>51.151188118811881</v>
      </c>
      <c r="M1089" s="76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1">
        <f>Gastos[[#This Row],[Importe AR$]]/$N$1</f>
        <v>51.151181518151809</v>
      </c>
      <c r="M1090" s="76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1">
        <f>Gastos[[#This Row],[Importe AR$]]/$N$1</f>
        <v>493.35183498349835</v>
      </c>
      <c r="M1091" s="76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1">
        <f>Gastos[[#This Row],[Importe AR$]]/$N$1</f>
        <v>493.35183498349835</v>
      </c>
      <c r="M1092" s="76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1">
        <f>Gastos[[#This Row],[Importe AR$]]/$N$1</f>
        <v>136.63366336633663</v>
      </c>
      <c r="M1093" s="76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1">
        <f>Gastos[[#This Row],[Importe AR$]]/$N$1</f>
        <v>279.5994785478548</v>
      </c>
      <c r="L1094" t="s">
        <v>277</v>
      </c>
      <c r="M1094" s="76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1">
        <f>Gastos[[#This Row],[Importe AR$]]/$N$1</f>
        <v>95.74672607260726</v>
      </c>
      <c r="M1095" s="76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1">
        <f>Gastos[[#This Row],[Importe AR$]]/$N$1</f>
        <v>16.237623762376238</v>
      </c>
      <c r="M1096" s="76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1">
        <f>Gastos[[#This Row],[Importe AR$]]/$N$1</f>
        <v>660.0660066006601</v>
      </c>
      <c r="M1097" s="76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1">
        <f>Gastos[[#This Row],[Importe AR$]]/$N$1</f>
        <v>111.77557755775578</v>
      </c>
      <c r="M1098" s="76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1">
        <f>Gastos[[#This Row],[Importe AR$]]/$N$1</f>
        <v>257.06916171617166</v>
      </c>
      <c r="M1099" s="76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1">
        <f>Gastos[[#This Row],[Importe AR$]]/$N$1</f>
        <v>296.50165016501649</v>
      </c>
      <c r="M1100" s="76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1">
        <f>Gastos[[#This Row],[Importe AR$]]/$N$1</f>
        <v>0.16242244224422442</v>
      </c>
      <c r="M1101" s="76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1">
        <f>Gastos[[#This Row],[Importe AR$]]/$N$1</f>
        <v>150.46732673267326</v>
      </c>
      <c r="M1102" s="76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1">
        <f>Gastos[[#This Row],[Importe AR$]]/$N$1</f>
        <v>316.83168316831683</v>
      </c>
      <c r="M1103" s="76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1">
        <f>Gastos[[#This Row],[Importe AR$]]/$N$1</f>
        <v>495.04950495049508</v>
      </c>
      <c r="M1104" s="76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1">
        <f>Gastos[[#This Row],[Importe AR$]]/$N$1</f>
        <v>778.87788778877882</v>
      </c>
      <c r="M1105" s="76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1">
        <f>Gastos[[#This Row],[Importe AR$]]/$N$1</f>
        <v>330.03300330033005</v>
      </c>
      <c r="M1106" s="76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1">
        <f>Gastos[[#This Row],[Importe AR$]]/$N$1</f>
        <v>198.01980198019803</v>
      </c>
      <c r="M1107" s="76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1">
        <f>Gastos[[#This Row],[Importe AR$]]/$N$1</f>
        <v>198.87524752475247</v>
      </c>
      <c r="M1108" s="76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1">
        <f>Gastos[[#This Row],[Importe AR$]]/$N$1</f>
        <v>3.3507458745874588</v>
      </c>
      <c r="L1109" t="s">
        <v>340</v>
      </c>
      <c r="M1109" s="76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1">
        <f>Gastos[[#This Row],[Importe AR$]]/$N$1</f>
        <v>32.856310231023102</v>
      </c>
      <c r="L1110" t="s">
        <v>340</v>
      </c>
      <c r="M1110" s="76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1">
        <f>Gastos[[#This Row],[Importe AR$]]/$N$1</f>
        <v>4353.9911287128707</v>
      </c>
      <c r="M1111" s="76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1">
        <f>Gastos[[#This Row],[Importe AR$]]/$N$1</f>
        <v>7630.9138943894395</v>
      </c>
      <c r="M1112" s="76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1">
        <f>Gastos[[#This Row],[Importe AR$]]/$N$1</f>
        <v>454.99383498349835</v>
      </c>
      <c r="M1113" s="76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1">
        <f>Gastos[[#This Row],[Importe AR$]]/$N$1</f>
        <v>454.99383498349835</v>
      </c>
      <c r="M1114" s="76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1">
        <f>Gastos[[#This Row],[Importe AR$]]/$N$1</f>
        <v>191.41914191419141</v>
      </c>
      <c r="M1115" s="76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1">
        <f>Gastos[[#This Row],[Importe AR$]]/$N$1</f>
        <v>1122.1122112211222</v>
      </c>
      <c r="M1116" s="76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1">
        <f>Gastos[[#This Row],[Importe AR$]]/$N$1</f>
        <v>29.702970297029704</v>
      </c>
      <c r="M1117" s="76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1">
        <f>Gastos[[#This Row],[Importe AR$]]/$N$1</f>
        <v>421.78217821782181</v>
      </c>
      <c r="L1118" t="s">
        <v>850</v>
      </c>
      <c r="M1118" s="76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1">
        <f>Gastos[[#This Row],[Importe AR$]]/$N$1</f>
        <v>1513.354587458746</v>
      </c>
      <c r="L1119" t="s">
        <v>1244</v>
      </c>
      <c r="M1119" s="76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1">
        <f>Gastos[[#This Row],[Importe AR$]]/$N$1</f>
        <v>283.93597359735975</v>
      </c>
      <c r="M1120" s="76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1">
        <f>Gastos[[#This Row],[Importe AR$]]/$N$1</f>
        <v>295.04950495049508</v>
      </c>
      <c r="M1121" s="76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1">
        <f>Gastos[[#This Row],[Importe AR$]]/$N$1</f>
        <v>297.02970297029702</v>
      </c>
      <c r="M1122" s="76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1">
        <f>Gastos[[#This Row],[Importe AR$]]/$N$1</f>
        <v>330.03300330033005</v>
      </c>
      <c r="M1123" s="76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1">
        <f>Gastos[[#This Row],[Importe AR$]]/$N$1</f>
        <v>330.03300330033005</v>
      </c>
      <c r="M1124" s="76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1">
        <f>Gastos[[#This Row],[Importe AR$]]/$N$1</f>
        <v>330.03300330033005</v>
      </c>
      <c r="M1125" s="76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1">
        <f>Gastos[[#This Row],[Importe AR$]]/$N$1</f>
        <v>336.63366336633663</v>
      </c>
      <c r="M1126" s="76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1">
        <f>Gastos[[#This Row],[Importe AR$]]/$N$1</f>
        <v>363.03630363036302</v>
      </c>
      <c r="M1127" s="76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1">
        <f>Gastos[[#This Row],[Importe AR$]]/$N$1</f>
        <v>363.03630363036302</v>
      </c>
      <c r="M1128" s="76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1">
        <f>Gastos[[#This Row],[Importe AR$]]/$N$1</f>
        <v>363.03630363036302</v>
      </c>
      <c r="M1129" s="76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1">
        <f>Gastos[[#This Row],[Importe AR$]]/$N$1</f>
        <v>375.0745874587459</v>
      </c>
      <c r="M1130" s="76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1">
        <f>Gastos[[#This Row],[Importe AR$]]/$N$1</f>
        <v>396.03960396039605</v>
      </c>
      <c r="M1131" s="76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1">
        <f>Gastos[[#This Row],[Importe AR$]]/$N$1</f>
        <v>405.02970297029702</v>
      </c>
      <c r="M1132" s="76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1">
        <f>Gastos[[#This Row],[Importe AR$]]/$N$1</f>
        <v>427.40594059405942</v>
      </c>
      <c r="M1133" s="76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1">
        <f>Gastos[[#This Row],[Importe AR$]]/$N$1</f>
        <v>442.24422442244224</v>
      </c>
      <c r="M1134" s="76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1">
        <f>Gastos[[#This Row],[Importe AR$]]/$N$1</f>
        <v>462.04620462046205</v>
      </c>
      <c r="M1135" s="76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1">
        <f>Gastos[[#This Row],[Importe AR$]]/$N$1</f>
        <v>528.0528052805281</v>
      </c>
      <c r="M1136" s="76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1">
        <f>Gastos[[#This Row],[Importe AR$]]/$N$1</f>
        <v>594.05940594059405</v>
      </c>
      <c r="M1137" s="76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1">
        <f>Gastos[[#This Row],[Importe AR$]]/$N$1</f>
        <v>29.312871287128711</v>
      </c>
      <c r="M1138" s="76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1">
        <f>Gastos[[#This Row],[Importe AR$]]/$N$1</f>
        <v>24.752475247524753</v>
      </c>
      <c r="M1139" s="76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1">
        <f>Gastos[[#This Row],[Importe AR$]]/$N$1</f>
        <v>626.65062706270623</v>
      </c>
      <c r="M1140" s="76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1">
        <f>Gastos[[#This Row],[Importe AR$]]/$N$1</f>
        <v>660.0660066006601</v>
      </c>
      <c r="M1141" s="76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1">
        <f>Gastos[[#This Row],[Importe AR$]]/$N$1</f>
        <v>1493.9933993399341</v>
      </c>
      <c r="M1142" s="76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1">
        <f>Gastos[[#This Row],[Importe AR$]]/$N$1</f>
        <v>1500</v>
      </c>
      <c r="M1143" s="76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1">
        <f>Gastos[[#This Row],[Importe AR$]]/$N$1</f>
        <v>1650.1650165016501</v>
      </c>
      <c r="M1144" s="76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1">
        <f>Gastos[[#This Row],[Importe AR$]]/$N$1</f>
        <v>1848.1848184818482</v>
      </c>
      <c r="M1145" s="76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1">
        <f>Gastos[[#This Row],[Importe AR$]]/$N$1</f>
        <v>1980.1980198019803</v>
      </c>
      <c r="M1146" s="76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1">
        <f>Gastos[[#This Row],[Importe AR$]]/$N$1</f>
        <v>1980.1980198019803</v>
      </c>
      <c r="M1147" s="76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1">
        <f>Gastos[[#This Row],[Importe AR$]]/$N$1</f>
        <v>1980.1980198019803</v>
      </c>
      <c r="M1148" s="76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1">
        <f>Gastos[[#This Row],[Importe AR$]]/$N$1</f>
        <v>2376.2376237623762</v>
      </c>
      <c r="M1149" s="76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1">
        <f>Gastos[[#This Row],[Importe AR$]]/$N$1</f>
        <v>2574.2574257425745</v>
      </c>
      <c r="M1150" s="76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1">
        <f>Gastos[[#This Row],[Importe AR$]]/$N$1</f>
        <v>115.58679867986798</v>
      </c>
      <c r="M1151" s="76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1">
        <f>Gastos[[#This Row],[Importe AR$]]/$N$1</f>
        <v>1287.1287128712872</v>
      </c>
      <c r="M1152" s="76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1">
        <f>Gastos[[#This Row],[Importe AR$]]/$N$1</f>
        <v>1287.1287128712872</v>
      </c>
      <c r="M1153" s="76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1">
        <f>Gastos[[#This Row],[Importe AR$]]/$N$1</f>
        <v>544.989201320132</v>
      </c>
      <c r="M1154" s="76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1">
        <f>Gastos[[#This Row],[Importe AR$]]/$N$1</f>
        <v>1444.7859273927395</v>
      </c>
      <c r="L1155" t="s">
        <v>1262</v>
      </c>
      <c r="M1155" s="76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1">
        <f>Gastos[[#This Row],[Importe AR$]]/$N$1</f>
        <v>1484.9455445544554</v>
      </c>
      <c r="L1156" t="s">
        <v>1265</v>
      </c>
      <c r="M1156" s="76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1">
        <f>Gastos[[#This Row],[Importe AR$]]/$N$1</f>
        <v>215.03630363036302</v>
      </c>
      <c r="M1157" s="76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1">
        <f>Gastos[[#This Row],[Importe AR$]]/$N$1</f>
        <v>330.03300330033005</v>
      </c>
      <c r="M1158" s="76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1">
        <f>Gastos[[#This Row],[Importe AR$]]/$N$1</f>
        <v>564.85148514851483</v>
      </c>
      <c r="M1159" s="76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1">
        <f>Gastos[[#This Row],[Importe AR$]]/$N$1</f>
        <v>1085.129188118812</v>
      </c>
      <c r="M1160" s="76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1">
        <f>Gastos[[#This Row],[Importe AR$]]/$N$1</f>
        <v>649.82178217821786</v>
      </c>
      <c r="M1161" s="76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1">
        <f>Gastos[[#This Row],[Importe AR$]]/$N$1</f>
        <v>495.04950495049508</v>
      </c>
      <c r="M1162" s="76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1">
        <f>Gastos[[#This Row],[Importe AR$]]/$N$1</f>
        <v>726.07260726072604</v>
      </c>
      <c r="M1163" s="76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1">
        <f>Gastos[[#This Row],[Importe AR$]]/$N$1</f>
        <v>726.07260726072604</v>
      </c>
      <c r="M1164" s="76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1">
        <f>Gastos[[#This Row],[Importe AR$]]/$N$1</f>
        <v>755.11551155115512</v>
      </c>
      <c r="M1165" s="76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1">
        <f>Gastos[[#This Row],[Importe AR$]]/$N$1</f>
        <v>1320.1320132013202</v>
      </c>
      <c r="M1166" s="76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1">
        <f>Gastos[[#This Row],[Importe AR$]]/$N$1</f>
        <v>1018.0837491749174</v>
      </c>
      <c r="M1167" s="76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1">
        <f>Gastos[[#This Row],[Importe AR$]]/$N$1</f>
        <v>1898.0946534653465</v>
      </c>
      <c r="M1168" s="76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1">
        <f>Gastos[[#This Row],[Importe AR$]]/$N$1</f>
        <v>583.65302310231016</v>
      </c>
      <c r="M1169" s="76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1">
        <f>Gastos[[#This Row],[Importe AR$]]/$N$1</f>
        <v>383.60615841584155</v>
      </c>
      <c r="M1170" s="76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1">
        <f>Gastos[[#This Row],[Importe AR$]]/$N$1</f>
        <v>23.405854785478549</v>
      </c>
      <c r="M1171" s="76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1">
        <f>Gastos[[#This Row],[Importe AR$]]/$N$1</f>
        <v>1160.1327722772276</v>
      </c>
      <c r="M1172" s="76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1">
        <f>Gastos[[#This Row],[Importe AR$]]/$N$1</f>
        <v>297.53726732673266</v>
      </c>
      <c r="M1173" s="76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1">
        <f>Gastos[[#This Row],[Importe AR$]]/$N$1</f>
        <v>1650.1650165016501</v>
      </c>
      <c r="M1174" s="76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1">
        <f>Gastos[[#This Row],[Importe AR$]]/$N$1</f>
        <v>174.22031023102312</v>
      </c>
      <c r="M1175" s="76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1">
        <f>Gastos[[#This Row],[Importe AR$]]/$N$1</f>
        <v>529.95165016501653</v>
      </c>
      <c r="M1176" s="76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1">
        <f>Gastos[[#This Row],[Importe AR$]]/$N$1</f>
        <v>529.95165016501653</v>
      </c>
      <c r="M1177" s="76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1">
        <f>Gastos[[#This Row],[Importe AR$]]/$N$1</f>
        <v>529.95165016501653</v>
      </c>
      <c r="M1178" s="76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1">
        <f>Gastos[[#This Row],[Importe AR$]]/$N$1</f>
        <v>1018.0837491749174</v>
      </c>
      <c r="M1179" s="76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1">
        <f>Gastos[[#This Row],[Importe AR$]]/$N$1</f>
        <v>1018.0837425742575</v>
      </c>
      <c r="M1180" s="76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1">
        <f>Gastos[[#This Row],[Importe AR$]]/$N$1</f>
        <v>674.10306930693071</v>
      </c>
      <c r="M1181" s="76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1">
        <f>Gastos[[#This Row],[Importe AR$]]/$N$1</f>
        <v>1630.477425742574</v>
      </c>
      <c r="M1182" s="76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1">
        <f>Gastos[[#This Row],[Importe AR$]]/$N$1</f>
        <v>835.49669966996703</v>
      </c>
      <c r="L1183" t="s">
        <v>215</v>
      </c>
      <c r="M1183" s="76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1">
        <f>Gastos[[#This Row],[Importe AR$]]/$N$1</f>
        <v>27.724191419141913</v>
      </c>
      <c r="M1184" s="76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1">
        <f>Gastos[[#This Row],[Importe AR$]]/$N$1</f>
        <v>495.04950495049508</v>
      </c>
      <c r="M1185" s="76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1">
        <f>Gastos[[#This Row],[Importe AR$]]/$N$1</f>
        <v>602.28712871287132</v>
      </c>
      <c r="M1186" s="76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1">
        <f>Gastos[[#This Row],[Importe AR$]]/$N$1</f>
        <v>1654.125412541254</v>
      </c>
      <c r="M1187" s="76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1">
        <f>Gastos[[#This Row],[Importe AR$]]/$N$1</f>
        <v>435.81188118811883</v>
      </c>
      <c r="M1188" s="76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1">
        <f>Gastos[[#This Row],[Importe AR$]]/$N$1</f>
        <v>352.62838283828381</v>
      </c>
      <c r="M1189" s="76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1">
        <f>Gastos[[#This Row],[Importe AR$]]/$N$1</f>
        <v>101.67062706270627</v>
      </c>
      <c r="M1190" s="76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1">
        <f>Gastos[[#This Row],[Importe AR$]]/$N$1</f>
        <v>248.62046204620461</v>
      </c>
      <c r="M1191" s="76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1">
        <f>Gastos[[#This Row],[Importe AR$]]/$N$1</f>
        <v>251.10767656765677</v>
      </c>
      <c r="M1192" s="76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1">
        <f>Gastos[[#This Row],[Importe AR$]]/$N$1</f>
        <v>310.24286468646864</v>
      </c>
      <c r="L1193" t="s">
        <v>645</v>
      </c>
      <c r="M1193" s="76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1">
        <f>Gastos[[#This Row],[Importe AR$]]/$N$1</f>
        <v>429.61201980198018</v>
      </c>
      <c r="L1194" t="s">
        <v>215</v>
      </c>
      <c r="M1194" s="76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1">
        <f>Gastos[[#This Row],[Importe AR$]]/$N$1</f>
        <v>422.46860066006604</v>
      </c>
      <c r="M1195" s="76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1">
        <f>Gastos[[#This Row],[Importe AR$]]/$N$1</f>
        <v>223.19108910891089</v>
      </c>
      <c r="L1196" t="s">
        <v>215</v>
      </c>
      <c r="M1196" s="76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1">
        <f>Gastos[[#This Row],[Importe AR$]]/$N$1</f>
        <v>108.52062706270627</v>
      </c>
      <c r="M1197" s="76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1">
        <f>Gastos[[#This Row],[Importe AR$]]/$N$1</f>
        <v>231.02310231023102</v>
      </c>
      <c r="M1198" s="76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1">
        <f>Gastos[[#This Row],[Importe AR$]]/$N$1</f>
        <v>660.0660066006601</v>
      </c>
      <c r="M1199" s="76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1">
        <f>Gastos[[#This Row],[Importe AR$]]/$N$1</f>
        <v>2129.5423102310233</v>
      </c>
      <c r="M1200" s="76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1">
        <f>Gastos[[#This Row],[Importe AR$]]/$N$1</f>
        <v>10999.656765676567</v>
      </c>
      <c r="M1201" s="76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1">
        <f>Gastos[[#This Row],[Importe AR$]]/$N$1</f>
        <v>15939.480871287129</v>
      </c>
      <c r="M1202" s="76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1">
        <f>Gastos[[#This Row],[Importe AR$]]/$N$1</f>
        <v>6600.6600660066006</v>
      </c>
      <c r="M1203" s="76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1">
        <f>Gastos[[#This Row],[Importe AR$]]/$N$1</f>
        <v>6600.6600660066006</v>
      </c>
      <c r="M1204" s="76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1">
        <f>Gastos[[#This Row],[Importe AR$]]/$N$1</f>
        <v>3960.3960396039606</v>
      </c>
      <c r="M1205" s="76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1">
        <f>Gastos[[#This Row],[Importe AR$]]/$N$1</f>
        <v>6471.6039603960398</v>
      </c>
      <c r="M1206" s="76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1">
        <f>Gastos[[#This Row],[Importe AR$]]/$N$1</f>
        <v>6471.6039603960398</v>
      </c>
      <c r="M1207" s="76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1">
        <f>Gastos[[#This Row],[Importe AR$]]/$N$1</f>
        <v>6468.6468646864687</v>
      </c>
      <c r="M1208" s="76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1">
        <f>Gastos[[#This Row],[Importe AR$]]/$N$1</f>
        <v>1943.5511551155116</v>
      </c>
      <c r="M1209" s="76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1">
        <f>Gastos[[#This Row],[Importe AR$]]/$N$1</f>
        <v>1940.5940594059407</v>
      </c>
      <c r="M1210" s="76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1">
        <f>Gastos[[#This Row],[Importe AR$]]/$N$1</f>
        <v>10528.052805280528</v>
      </c>
      <c r="M1211" s="76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1">
        <f>Gastos[[#This Row],[Importe AR$]]/$N$1</f>
        <v>5177.8745874587457</v>
      </c>
      <c r="L1212" s="8"/>
      <c r="M1212" s="76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1">
        <f>Gastos[[#This Row],[Importe AR$]]/$N$1</f>
        <v>4950.4950495049507</v>
      </c>
      <c r="L1213" s="8"/>
      <c r="M1213" s="76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1">
        <f>Gastos[[#This Row],[Importe AR$]]/$N$1</f>
        <v>9301.63696369637</v>
      </c>
      <c r="L1214" s="8"/>
      <c r="M1214" s="76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1">
        <f>Gastos[[#This Row],[Importe AR$]]/$N$1</f>
        <v>33.007920792079204</v>
      </c>
      <c r="M1215" s="76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1">
        <f>Gastos[[#This Row],[Importe AR$]]/$N$1</f>
        <v>7310.8910891089108</v>
      </c>
      <c r="L1216" s="8"/>
      <c r="M1216" s="76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1">
        <f>Gastos[[#This Row],[Importe AR$]]/$N$1</f>
        <v>6593.2547194719473</v>
      </c>
      <c r="L1217" t="s">
        <v>1349</v>
      </c>
      <c r="M1217" s="76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1">
        <f>Gastos[[#This Row],[Importe AR$]]/$N$1</f>
        <v>1456.0593333333334</v>
      </c>
      <c r="L1218" t="s">
        <v>215</v>
      </c>
      <c r="M1218" s="76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1">
        <f>Gastos[[#This Row],[Importe AR$]]/$N$1</f>
        <v>2640.2640264026404</v>
      </c>
      <c r="M1219" s="76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1">
        <f>Gastos[[#This Row],[Importe AR$]]/$N$1</f>
        <v>363.03630363036302</v>
      </c>
      <c r="M1220" s="76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1">
        <f>Gastos[[#This Row],[Importe AR$]]/$N$1</f>
        <v>363.03630363036302</v>
      </c>
      <c r="M1221" s="76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1">
        <f>Gastos[[#This Row],[Importe AR$]]/$N$1</f>
        <v>1287.1287128712872</v>
      </c>
      <c r="M1222" s="76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1">
        <f>Gastos[[#This Row],[Importe AR$]]/$N$1</f>
        <v>1287.1287128712872</v>
      </c>
      <c r="M1223" s="76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1">
        <f>Gastos[[#This Row],[Importe AR$]]/$N$1</f>
        <v>534.65346534653463</v>
      </c>
      <c r="M1224" s="76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1">
        <f>Gastos[[#This Row],[Importe AR$]]/$N$1</f>
        <v>2.6386930693069308</v>
      </c>
      <c r="L1225" t="s">
        <v>215</v>
      </c>
      <c r="M1225" s="76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1">
        <f>Gastos[[#This Row],[Importe AR$]]/$N$1</f>
        <v>2657.8349174917489</v>
      </c>
      <c r="M1226" s="76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1">
        <f>Gastos[[#This Row],[Importe AR$]]/$N$1</f>
        <v>1739.6529372937296</v>
      </c>
      <c r="M1227" s="76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1">
        <f>Gastos[[#This Row],[Importe AR$]]/$N$1</f>
        <v>1739.6529372937296</v>
      </c>
      <c r="M1228" s="76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1">
        <f>Gastos[[#This Row],[Importe AR$]]/$N$1</f>
        <v>1739.6529372937296</v>
      </c>
      <c r="M1229" s="76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1">
        <f>Gastos[[#This Row],[Importe AR$]]/$N$1</f>
        <v>300.34310231023102</v>
      </c>
      <c r="M1230" s="76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1">
        <f>Gastos[[#This Row],[Importe AR$]]/$N$1</f>
        <v>7.7914191419141918</v>
      </c>
      <c r="M1231" s="76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1">
        <f>Gastos[[#This Row],[Importe AR$]]/$N$1</f>
        <v>8.9287128712871286</v>
      </c>
      <c r="M1232" s="76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1">
        <f>Gastos[[#This Row],[Importe AR$]]/$N$1</f>
        <v>250.82508250825083</v>
      </c>
      <c r="L1233" t="s">
        <v>1199</v>
      </c>
      <c r="M1233" s="76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1">
        <f>Gastos[[#This Row],[Importe AR$]]/$N$1</f>
        <v>1880.9817293729373</v>
      </c>
      <c r="M1234" s="76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1">
        <f>Gastos[[#This Row],[Importe AR$]]/$N$1</f>
        <v>624.63926732673269</v>
      </c>
      <c r="M1235" s="76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1">
        <f>Gastos[[#This Row],[Importe AR$]]/$N$1</f>
        <v>1650.1650165016501</v>
      </c>
      <c r="M1236" s="76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1">
        <f>Gastos[[#This Row],[Importe AR$]]/$N$1</f>
        <v>585.7667920792079</v>
      </c>
      <c r="M1237" s="76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1">
        <f>Gastos[[#This Row],[Importe AR$]]/$N$1</f>
        <v>1650.1650165016501</v>
      </c>
      <c r="M1238" s="76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1">
        <f>Gastos[[#This Row],[Importe AR$]]/$N$1</f>
        <v>2013.2013201320133</v>
      </c>
      <c r="M1239" s="76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1">
        <f>Gastos[[#This Row],[Importe AR$]]/$N$1</f>
        <v>10452.43898349835</v>
      </c>
      <c r="M1240" s="76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1">
        <f>Gastos[[#This Row],[Importe AR$]]/$N$1</f>
        <v>9900.9900990099013</v>
      </c>
      <c r="M1241" s="76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1">
        <f>Gastos[[#This Row],[Importe AR$]]/$N$1</f>
        <v>30.068699669966996</v>
      </c>
      <c r="M1242" s="76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1">
        <f>Gastos[[#This Row],[Importe AR$]]/$N$1</f>
        <v>198.01980198019803</v>
      </c>
      <c r="M1243" s="76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1">
        <f>Gastos[[#This Row],[Importe AR$]]/$N$1</f>
        <v>178.21782178217822</v>
      </c>
      <c r="M1244" s="76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1">
        <f>Gastos[[#This Row],[Importe AR$]]/$N$1</f>
        <v>199.63028382838283</v>
      </c>
      <c r="M1245" s="76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1">
        <f>Gastos[[#This Row],[Importe AR$]]/$N$1</f>
        <v>89.584158415841586</v>
      </c>
      <c r="M1246" s="76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1">
        <f>Gastos[[#This Row],[Importe AR$]]/$N$1</f>
        <v>129.76105610561055</v>
      </c>
      <c r="M1247" s="76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1">
        <f>Gastos[[#This Row],[Importe AR$]]/$N$1</f>
        <v>392.03324092409241</v>
      </c>
      <c r="M1248" s="76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1">
        <f>Gastos[[#This Row],[Importe AR$]]/$N$1</f>
        <v>198.34983498349834</v>
      </c>
      <c r="M1249" s="76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1">
        <f>Gastos[[#This Row],[Importe AR$]]/$N$1</f>
        <v>646.86468646864682</v>
      </c>
      <c r="M1250" s="76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1">
        <f>Gastos[[#This Row],[Importe AR$]]/$N$1</f>
        <v>249.70297029702971</v>
      </c>
      <c r="M1251" s="76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1">
        <f>Gastos[[#This Row],[Importe AR$]]/$N$1</f>
        <v>72.60726072607261</v>
      </c>
      <c r="M1252" s="76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1">
        <f>Gastos[[#This Row],[Importe AR$]]/$N$1</f>
        <v>324.93838283828387</v>
      </c>
      <c r="M1253" s="76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1">
        <f>Gastos[[#This Row],[Importe AR$]]/$N$1</f>
        <v>264.44950495049505</v>
      </c>
      <c r="M1254" s="76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2">
        <f>Gastos[[#This Row],[Importe AR$]]/$N$1</f>
        <v>2521.3597359735973</v>
      </c>
      <c r="M1255" s="76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1">
        <f>Gastos[[#This Row],[Importe AR$]]/$N$1</f>
        <v>330.03300330033005</v>
      </c>
      <c r="M1256" s="76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1">
        <f>Gastos[[#This Row],[Importe AR$]]/$N$1</f>
        <v>330.03300330033005</v>
      </c>
      <c r="M1257" s="76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1">
        <f>Gastos[[#This Row],[Importe AR$]]/$N$1</f>
        <v>330.03300330033005</v>
      </c>
      <c r="M1258" s="76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1">
        <f>Gastos[[#This Row],[Importe AR$]]/$N$1</f>
        <v>330.03300330033005</v>
      </c>
      <c r="M1259" s="76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1">
        <f>Gastos[[#This Row],[Importe AR$]]/$N$1</f>
        <v>330.03300330033005</v>
      </c>
      <c r="M1260" s="76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1">
        <f>Gastos[[#This Row],[Importe AR$]]/$N$1</f>
        <v>330.03300330033005</v>
      </c>
      <c r="M1261" s="76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1">
        <f>Gastos[[#This Row],[Importe AR$]]/$N$1</f>
        <v>660.0660066006601</v>
      </c>
      <c r="M1262" s="76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1">
        <f>Gastos[[#This Row],[Importe AR$]]/$N$1</f>
        <v>35.646858085808582</v>
      </c>
      <c r="M1263" s="76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1">
        <f>Gastos[[#This Row],[Importe AR$]]/$N$1</f>
        <v>611.38448184818481</v>
      </c>
      <c r="M1264" s="76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1">
        <f>Gastos[[#This Row],[Importe AR$]]/$N$1</f>
        <v>552.010501650165</v>
      </c>
      <c r="M1265" s="76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1">
        <f>Gastos[[#This Row],[Importe AR$]]/$N$1</f>
        <v>42.904290429042902</v>
      </c>
      <c r="M1266" s="76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1">
        <f>Gastos[[#This Row],[Importe AR$]]/$N$1</f>
        <v>27.78877887788779</v>
      </c>
      <c r="M1267" s="76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1">
        <f>Gastos[[#This Row],[Importe AR$]]/$N$1</f>
        <v>1118.1518151815183</v>
      </c>
      <c r="L1268" t="s">
        <v>1416</v>
      </c>
      <c r="M1268" s="76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1">
        <f>Gastos[[#This Row],[Importe AR$]]/$N$1</f>
        <v>1346.5346534653465</v>
      </c>
      <c r="L1269" t="s">
        <v>1419</v>
      </c>
      <c r="M1269" s="76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1">
        <f>Gastos[[#This Row],[Importe AR$]]/$N$1</f>
        <v>2539.8019801980199</v>
      </c>
      <c r="L1270" t="s">
        <v>1244</v>
      </c>
      <c r="M1270" s="76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1">
        <f>Gastos[[#This Row],[Importe AR$]]/$N$1</f>
        <v>226.40737293729373</v>
      </c>
      <c r="L1271" t="s">
        <v>150</v>
      </c>
      <c r="M1271" s="76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1">
        <f>Gastos[[#This Row],[Importe AR$]]/$N$1</f>
        <v>422.36986798679868</v>
      </c>
      <c r="L1272" t="s">
        <v>1426</v>
      </c>
      <c r="M1272" s="76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1">
        <f>Gastos[[#This Row],[Importe AR$]]/$N$1</f>
        <v>313.03458745874588</v>
      </c>
      <c r="M1273" s="76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1">
        <f>Gastos[[#This Row],[Importe AR$]]/$N$1</f>
        <v>71.04290429042905</v>
      </c>
      <c r="M1274" s="76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1">
        <f>Gastos[[#This Row],[Importe AR$]]/$N$1</f>
        <v>99.009900990099013</v>
      </c>
      <c r="M1275" s="76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1">
        <f>Gastos[[#This Row],[Importe AR$]]/$N$1</f>
        <v>147.47502970297032</v>
      </c>
      <c r="M1276" s="76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1">
        <f>Gastos[[#This Row],[Importe AR$]]/$N$1</f>
        <v>158.21759735973598</v>
      </c>
      <c r="M1277" s="76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1">
        <f>Gastos[[#This Row],[Importe AR$]]/$N$1</f>
        <v>748.97807260726074</v>
      </c>
      <c r="M1278" s="76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1">
        <f>Gastos[[#This Row],[Importe AR$]]/$N$1</f>
        <v>1000.5709570957096</v>
      </c>
      <c r="L1279" t="s">
        <v>1244</v>
      </c>
      <c r="M1279" s="76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1">
        <f>Gastos[[#This Row],[Importe AR$]]/$N$1</f>
        <v>335.99518811881188</v>
      </c>
      <c r="M1280" s="76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1">
        <f>Gastos[[#This Row],[Importe AR$]]/$N$1</f>
        <v>429.04290429042902</v>
      </c>
      <c r="M1281" s="76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1">
        <f>Gastos[[#This Row],[Importe AR$]]/$N$1</f>
        <v>1650.1650165016501</v>
      </c>
      <c r="M1282" s="76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1">
        <f>Gastos[[#This Row],[Importe AR$]]/$N$1</f>
        <v>15.841584158415841</v>
      </c>
      <c r="M1283" s="76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1">
        <f>Gastos[[#This Row],[Importe AR$]]/$N$1</f>
        <v>13.201320132013201</v>
      </c>
      <c r="M1284" s="76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1">
        <f>Gastos[[#This Row],[Importe AR$]]/$N$1</f>
        <v>391.44826402640263</v>
      </c>
      <c r="M1285" s="76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1">
        <f>Gastos[[#This Row],[Importe AR$]]/$N$1</f>
        <v>444.11594719471947</v>
      </c>
      <c r="M1286" s="76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1">
        <f>Gastos[[#This Row],[Importe AR$]]/$N$1</f>
        <v>444.11594719471947</v>
      </c>
      <c r="M1287" s="76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1">
        <f>Gastos[[#This Row],[Importe AR$]]/$N$1</f>
        <v>1768.4884488448845</v>
      </c>
      <c r="M1288" s="76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1">
        <f>Gastos[[#This Row],[Importe AR$]]/$N$1</f>
        <v>1768.4884488448845</v>
      </c>
      <c r="M1289" s="76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1">
        <f>Gastos[[#This Row],[Importe AR$]]/$N$1</f>
        <v>818.64686468646869</v>
      </c>
      <c r="M1290" s="76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1">
        <f>Gastos[[#This Row],[Importe AR$]]/$N$1</f>
        <v>405.94059405940595</v>
      </c>
      <c r="M1291" s="76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1">
        <f>Gastos[[#This Row],[Importe AR$]]/$N$1</f>
        <v>2791.4268712871285</v>
      </c>
      <c r="L1292" t="s">
        <v>957</v>
      </c>
      <c r="M1292" s="76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1">
        <f>Gastos[[#This Row],[Importe AR$]]/$N$1</f>
        <v>209.45940594059405</v>
      </c>
      <c r="L1293" t="s">
        <v>215</v>
      </c>
      <c r="M1293" s="76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1">
        <f>Gastos[[#This Row],[Importe AR$]]/$N$1</f>
        <v>3400.8587458745874</v>
      </c>
      <c r="M1294" s="76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1">
        <f>Gastos[[#This Row],[Importe AR$]]/$N$1</f>
        <v>2936.6576039603956</v>
      </c>
      <c r="L1295" t="s">
        <v>1452</v>
      </c>
      <c r="M1295" s="76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1">
        <f>Gastos[[#This Row],[Importe AR$]]/$N$1</f>
        <v>72.545848184818482</v>
      </c>
      <c r="M1296" s="76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1">
        <f>Gastos[[#This Row],[Importe AR$]]/$N$1</f>
        <v>297.53330693069307</v>
      </c>
      <c r="M1297" s="76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1">
        <f>Gastos[[#This Row],[Importe AR$]]/$N$1</f>
        <v>464.892501650165</v>
      </c>
      <c r="M1298" s="76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1">
        <f>Gastos[[#This Row],[Importe AR$]]/$N$1</f>
        <v>849.00122772277234</v>
      </c>
      <c r="M1299" s="76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1">
        <f>Gastos[[#This Row],[Importe AR$]]/$N$1</f>
        <v>597.83448184818485</v>
      </c>
      <c r="M1300" s="76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1">
        <f>Gastos[[#This Row],[Importe AR$]]/$N$1</f>
        <v>342.63366336633663</v>
      </c>
      <c r="M1301" s="76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1">
        <f>Gastos[[#This Row],[Importe AR$]]/$N$1</f>
        <v>39.603960396039604</v>
      </c>
      <c r="M1302" s="76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1">
        <f>Gastos[[#This Row],[Importe AR$]]/$N$1</f>
        <v>39.603960396039604</v>
      </c>
      <c r="M1303" s="76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1">
        <f>Gastos[[#This Row],[Importe AR$]]/$N$1</f>
        <v>342.63366336633663</v>
      </c>
      <c r="M1304" s="76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1">
        <f>Gastos[[#This Row],[Importe AR$]]/$N$1</f>
        <v>39.603960396039604</v>
      </c>
      <c r="M1305" s="76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1">
        <f>Gastos[[#This Row],[Importe AR$]]/$N$1</f>
        <v>39.603960396039604</v>
      </c>
      <c r="M1306" s="76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1">
        <f>Gastos[[#This Row],[Importe AR$]]/$N$1</f>
        <v>342.63366336633663</v>
      </c>
      <c r="M1307" s="76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1">
        <f>Gastos[[#This Row],[Importe AR$]]/$N$1</f>
        <v>39.603960396039604</v>
      </c>
      <c r="M1308" s="76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1">
        <f>Gastos[[#This Row],[Importe AR$]]/$N$1</f>
        <v>337.85702970297029</v>
      </c>
      <c r="M1309" s="76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1">
        <f>Gastos[[#This Row],[Importe AR$]]/$N$1</f>
        <v>44.903960396039601</v>
      </c>
      <c r="M1310" s="76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1">
        <f>Gastos[[#This Row],[Importe AR$]]/$N$1</f>
        <v>342.63366336633663</v>
      </c>
      <c r="M1311" s="76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1">
        <f>Gastos[[#This Row],[Importe AR$]]/$N$1</f>
        <v>342.63366336633663</v>
      </c>
      <c r="M1312" s="76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1">
        <f>Gastos[[#This Row],[Importe AR$]]/$N$1</f>
        <v>47.920792079207921</v>
      </c>
      <c r="M1313" s="76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1">
        <f>Gastos[[#This Row],[Importe AR$]]/$N$1</f>
        <v>337.85702970297029</v>
      </c>
      <c r="M1314" s="76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1">
        <f>Gastos[[#This Row],[Importe AR$]]/$N$1</f>
        <v>52.805280528052805</v>
      </c>
      <c r="M1315" s="76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1">
        <f>Gastos[[#This Row],[Importe AR$]]/$N$1</f>
        <v>51.485148514851488</v>
      </c>
      <c r="M1316" s="76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1">
        <f>Gastos[[#This Row],[Importe AR$]]/$N$1</f>
        <v>479.20792079207922</v>
      </c>
      <c r="M1317" s="76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1">
        <f>Gastos[[#This Row],[Importe AR$]]/$N$1</f>
        <v>479.20792079207922</v>
      </c>
      <c r="M1318" s="76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1">
        <f>Gastos[[#This Row],[Importe AR$]]/$N$1</f>
        <v>485.8085808580858</v>
      </c>
      <c r="M1319" s="76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1">
        <f>Gastos[[#This Row],[Importe AR$]]/$N$1</f>
        <v>485.8085808580858</v>
      </c>
      <c r="M1320" s="76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1">
        <f>Gastos[[#This Row],[Importe AR$]]/$N$1</f>
        <v>94.023894389438951</v>
      </c>
      <c r="M1321" s="76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1">
        <f>Gastos[[#This Row],[Importe AR$]]/$N$1</f>
        <v>446.08855445544555</v>
      </c>
      <c r="M1322" s="76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1">
        <f>Gastos[[#This Row],[Importe AR$]]/$N$1</f>
        <v>27.610217821782179</v>
      </c>
      <c r="M1323" s="76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1">
        <f>Gastos[[#This Row],[Importe AR$]]/$N$1</f>
        <v>44.308910891089106</v>
      </c>
      <c r="M1324" s="76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1">
        <f>Gastos[[#This Row],[Importe AR$]]/$N$1</f>
        <v>45.28052805280528</v>
      </c>
      <c r="M1325" s="76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1">
        <f>Gastos[[#This Row],[Importe AR$]]/$N$1</f>
        <v>24.922600660066006</v>
      </c>
      <c r="M1326" s="76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1">
        <f>Gastos[[#This Row],[Importe AR$]]/$N$1</f>
        <v>54.418158415841582</v>
      </c>
      <c r="M1327" s="76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1">
        <f>Gastos[[#This Row],[Importe AR$]]/$N$1</f>
        <v>141.12128712871288</v>
      </c>
      <c r="M1328" s="76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1">
        <f>Gastos[[#This Row],[Importe AR$]]/$N$1</f>
        <v>511.42330033003304</v>
      </c>
      <c r="M1329" s="76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1">
        <f>Gastos[[#This Row],[Importe AR$]]/$N$1</f>
        <v>199.42112211221121</v>
      </c>
      <c r="M1330" s="76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1">
        <f>Gastos[[#This Row],[Importe AR$]]/$N$1</f>
        <v>1163.29900330033</v>
      </c>
      <c r="M1331" s="76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1">
        <f>Gastos[[#This Row],[Importe AR$]]/$N$1</f>
        <v>72.343234323432341</v>
      </c>
      <c r="M1332" s="76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1">
        <f>Gastos[[#This Row],[Importe AR$]]/$N$1</f>
        <v>1287.1287128712872</v>
      </c>
      <c r="M1333" s="76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1">
        <f>Gastos[[#This Row],[Importe AR$]]/$N$1</f>
        <v>129.68976897689768</v>
      </c>
      <c r="M1334" s="76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1">
        <f>Gastos[[#This Row],[Importe AR$]]/$N$1</f>
        <v>1768.2772277227723</v>
      </c>
      <c r="L1335" t="s">
        <v>1508</v>
      </c>
      <c r="M1335" s="76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1">
        <f>Gastos[[#This Row],[Importe AR$]]/$N$1</f>
        <v>81.784818481848191</v>
      </c>
      <c r="M1336" s="76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1">
        <f>Gastos[[#This Row],[Importe AR$]]/$N$1</f>
        <v>33.003300330033007</v>
      </c>
      <c r="M1337" s="76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1">
        <f>Gastos[[#This Row],[Importe AR$]]/$N$1</f>
        <v>32.67326732673267</v>
      </c>
      <c r="M1338" s="76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1">
        <f>Gastos[[#This Row],[Importe AR$]]/$N$1</f>
        <v>293.06938613861388</v>
      </c>
      <c r="L1339" t="s">
        <v>1517</v>
      </c>
      <c r="M1339" s="76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1">
        <f>Gastos[[#This Row],[Importe AR$]]/$N$1</f>
        <v>27.59081188118812</v>
      </c>
      <c r="M1340" s="76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1">
        <f>Gastos[[#This Row],[Importe AR$]]/$N$1</f>
        <v>23.234323432343235</v>
      </c>
      <c r="M1341" s="76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1">
        <f>Gastos[[#This Row],[Importe AR$]]/$N$1</f>
        <v>472.36879207920788</v>
      </c>
      <c r="M1342" s="76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1">
        <f>Gastos[[#This Row],[Importe AR$]]/$N$1</f>
        <v>161.71617161716171</v>
      </c>
      <c r="M1343" s="76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1">
        <f>Gastos[[#This Row],[Importe AR$]]/$N$1</f>
        <v>161.71617161716171</v>
      </c>
      <c r="M1344" s="76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1">
        <f>Gastos[[#This Row],[Importe AR$]]/$N$1</f>
        <v>161.71617161716171</v>
      </c>
      <c r="M1345" s="76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1">
        <f>Gastos[[#This Row],[Importe AR$]]/$N$1</f>
        <v>161.71617161716171</v>
      </c>
      <c r="M1346" s="76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1">
        <f>Gastos[[#This Row],[Importe AR$]]/$N$1</f>
        <v>161.71617161716171</v>
      </c>
      <c r="M1347" s="76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1">
        <f>Gastos[[#This Row],[Importe AR$]]/$N$1</f>
        <v>161.71617161716171</v>
      </c>
      <c r="M1348" s="76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1">
        <f>Gastos[[#This Row],[Importe AR$]]/$N$1</f>
        <v>161.71617161716171</v>
      </c>
      <c r="M1349" s="76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1">
        <f>Gastos[[#This Row],[Importe AR$]]/$N$1</f>
        <v>149.12688448844887</v>
      </c>
      <c r="M1350" s="76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2">
        <f>Gastos[[#This Row],[Importe AR$]]/$N$1</f>
        <v>4620.4620462046205</v>
      </c>
      <c r="M1351" s="76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1">
        <f>Gastos[[#This Row],[Importe AR$]]/$N$1</f>
        <v>3300.3300330033003</v>
      </c>
      <c r="M1352" s="76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1">
        <f>Gastos[[#This Row],[Importe AR$]]/$N$1</f>
        <v>3300.3300330033003</v>
      </c>
      <c r="M1353" s="76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2">
        <f>Gastos[[#This Row],[Importe AR$]]/$N$1</f>
        <v>3300.3300330033003</v>
      </c>
      <c r="M1354" s="76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1">
        <f>Gastos[[#This Row],[Importe AR$]]/$N$1</f>
        <v>3300.3300330033003</v>
      </c>
      <c r="M1355" s="76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1">
        <f>Gastos[[#This Row],[Importe AR$]]/$N$1</f>
        <v>1312.7392739273928</v>
      </c>
      <c r="M1356" s="76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1">
        <f>Gastos[[#This Row],[Importe AR$]]/$N$1</f>
        <v>3901.1519933993395</v>
      </c>
      <c r="L1357" t="s">
        <v>1544</v>
      </c>
      <c r="M1357" s="76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1">
        <f>Gastos[[#This Row],[Importe AR$]]/$N$1</f>
        <v>726.07260726072604</v>
      </c>
      <c r="M1358" s="77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1">
        <f>Gastos[[#This Row],[Importe AR$]]/$N$1</f>
        <v>1111.5511551155116</v>
      </c>
      <c r="M1359" s="77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1">
        <f>Gastos[[#This Row],[Importe AR$]]/$N$1</f>
        <v>1122.1122112211222</v>
      </c>
      <c r="M1360" s="77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1">
        <f>Gastos[[#This Row],[Importe AR$]]/$N$1</f>
        <v>1468.1973597359736</v>
      </c>
      <c r="M1361" s="77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1">
        <f>Gastos[[#This Row],[Importe AR$]]/$N$1</f>
        <v>990.09900990099015</v>
      </c>
      <c r="M1362" s="76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1">
        <f>Gastos[[#This Row],[Importe AR$]]/$N$1</f>
        <v>990.09900990099015</v>
      </c>
      <c r="M1363" s="76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1">
        <f>Gastos[[#This Row],[Importe AR$]]/$N$1</f>
        <v>435.64356435643566</v>
      </c>
      <c r="M1364" s="76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1">
        <f>Gastos[[#This Row],[Importe AR$]]/$N$1</f>
        <v>1650.1650165016501</v>
      </c>
      <c r="M1365" s="76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1">
        <f>Gastos[[#This Row],[Importe AR$]]/$N$1</f>
        <v>3300.3300330033003</v>
      </c>
      <c r="M1366" s="76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1">
        <f>Gastos[[#This Row],[Importe AR$]]/$N$1</f>
        <v>6600.6600660066006</v>
      </c>
      <c r="M1367" s="76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1">
        <f>Gastos[[#This Row],[Importe AR$]]/$N$1</f>
        <v>3300.3300330033003</v>
      </c>
      <c r="M1368" s="76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1">
        <f>Gastos[[#This Row],[Importe AR$]]/$N$1</f>
        <v>660.0660066006601</v>
      </c>
      <c r="M1369" s="76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1">
        <f>Gastos[[#This Row],[Importe AR$]]/$N$1</f>
        <v>528.0528052805281</v>
      </c>
      <c r="M1370" s="76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1">
        <f>Gastos[[#This Row],[Importe AR$]]/$N$1</f>
        <v>1320.1320132013202</v>
      </c>
      <c r="M1371" s="76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1">
        <f>Gastos[[#This Row],[Importe AR$]]/$N$1</f>
        <v>303.32871287128711</v>
      </c>
      <c r="M1372" s="76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1">
        <f>Gastos[[#This Row],[Importe AR$]]/$N$1</f>
        <v>62.706270627062707</v>
      </c>
      <c r="M1373" s="76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1">
        <f>Gastos[[#This Row],[Importe AR$]]/$N$1</f>
        <v>264.02640264026405</v>
      </c>
      <c r="M1374" s="76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1">
        <f>Gastos[[#This Row],[Importe AR$]]/$N$1</f>
        <v>165.01650165016503</v>
      </c>
      <c r="M1375" s="76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1">
        <f>Gastos[[#This Row],[Importe AR$]]/$N$1</f>
        <v>42.499669966996699</v>
      </c>
      <c r="M1376" s="76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1">
        <f>Gastos[[#This Row],[Importe AR$]]/$N$1</f>
        <v>226.07260726072607</v>
      </c>
      <c r="M1377" s="76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1">
        <f>Gastos[[#This Row],[Importe AR$]]/$N$1</f>
        <v>396.03960396039605</v>
      </c>
      <c r="L1378" t="s">
        <v>1426</v>
      </c>
      <c r="M1378" s="76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1">
        <f>Gastos[[#This Row],[Importe AR$]]/$N$1</f>
        <v>396.03960396039605</v>
      </c>
      <c r="M1379" s="76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1">
        <f>Gastos[[#This Row],[Importe AR$]]/$N$1</f>
        <v>71.287128712871294</v>
      </c>
      <c r="M1380" s="76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2">
        <f>Gastos[[#This Row],[Importe AR$]]/$N$1</f>
        <v>79.207920792079207</v>
      </c>
      <c r="M1381" s="76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2">
        <f>Gastos[[#This Row],[Importe AR$]]/$N$1</f>
        <v>79.207920792079207</v>
      </c>
      <c r="M1382" s="76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2">
        <f>Gastos[[#This Row],[Importe AR$]]/$N$1</f>
        <v>79.207920792079207</v>
      </c>
      <c r="M1383" s="76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1">
        <f>Gastos[[#This Row],[Importe AR$]]/$N$1</f>
        <v>80.534653465346537</v>
      </c>
      <c r="M1384" s="76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1">
        <f>Gastos[[#This Row],[Importe AR$]]/$N$1</f>
        <v>79.207920792079207</v>
      </c>
      <c r="M1385" s="76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1">
        <f>Gastos[[#This Row],[Importe AR$]]/$N$1</f>
        <v>73.930679867986797</v>
      </c>
      <c r="M1386" s="76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1">
        <f>Gastos[[#This Row],[Importe AR$]]/$N$1</f>
        <v>79.207920792079207</v>
      </c>
      <c r="M1387" s="76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1">
        <f>Gastos[[#This Row],[Importe AR$]]/$N$1</f>
        <v>71.949841584158406</v>
      </c>
      <c r="M1388" s="76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1">
        <f>Gastos[[#This Row],[Importe AR$]]/$N$1</f>
        <v>79.93131353135314</v>
      </c>
      <c r="M1389" s="76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1">
        <f>Gastos[[#This Row],[Importe AR$]]/$N$1</f>
        <v>38.943894389438945</v>
      </c>
      <c r="M1390" s="76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1">
        <f>Gastos[[#This Row],[Importe AR$]]/$N$1</f>
        <v>92.409240924092416</v>
      </c>
      <c r="M1391" s="76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1">
        <f>Gastos[[#This Row],[Importe AR$]]/$N$1</f>
        <v>92.409240924092416</v>
      </c>
      <c r="M1392" s="76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1">
        <f>Gastos[[#This Row],[Importe AR$]]/$N$1</f>
        <v>92.411881188118812</v>
      </c>
      <c r="M1393" s="76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1">
        <f>Gastos[[#This Row],[Importe AR$]]/$N$1</f>
        <v>92.409240924092416</v>
      </c>
      <c r="M1394" s="76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1">
        <f>Gastos[[#This Row],[Importe AR$]]/$N$1</f>
        <v>90.429042904290426</v>
      </c>
      <c r="M1395" s="76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1">
        <f>Gastos[[#This Row],[Importe AR$]]/$N$1</f>
        <v>280.52805280528054</v>
      </c>
      <c r="M1396" s="76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1">
        <f>Gastos[[#This Row],[Importe AR$]]/$N$1</f>
        <v>522.15264026402645</v>
      </c>
      <c r="M1397" s="76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1">
        <f>Gastos[[#This Row],[Importe AR$]]/$N$1</f>
        <v>530.92834323432339</v>
      </c>
      <c r="M1398" s="76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1">
        <f>Gastos[[#This Row],[Importe AR$]]/$N$1</f>
        <v>561.05610561056108</v>
      </c>
      <c r="L1399" t="s">
        <v>1582</v>
      </c>
      <c r="M1399" s="76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1">
        <f>Gastos[[#This Row],[Importe AR$]]/$N$1</f>
        <v>165.01650165016503</v>
      </c>
      <c r="M1400" s="76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1">
        <f>Gastos[[#This Row],[Importe AR$]]/$N$1</f>
        <v>1042.9042904290429</v>
      </c>
      <c r="M1401" s="76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1">
        <f>Gastos[[#This Row],[Importe AR$]]/$N$1</f>
        <v>72.60726072607261</v>
      </c>
      <c r="M1402" s="76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1">
        <f>Gastos[[#This Row],[Importe AR$]]/$N$1</f>
        <v>46.204620462046208</v>
      </c>
      <c r="M1403" s="76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1">
        <f>Gastos[[#This Row],[Importe AR$]]/$N$1</f>
        <v>132.01320132013203</v>
      </c>
      <c r="M1404" s="76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1">
        <f>Gastos[[#This Row],[Importe AR$]]/$N$1</f>
        <v>198.01980198019803</v>
      </c>
      <c r="M1405" s="76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1">
        <f>Gastos[[#This Row],[Importe AR$]]/$N$1</f>
        <v>561.05610561056108</v>
      </c>
      <c r="M1406" s="76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1">
        <f>Gastos[[#This Row],[Importe AR$]]/$N$1</f>
        <v>92.409240924092416</v>
      </c>
      <c r="M1407" s="76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1">
        <f>Gastos[[#This Row],[Importe AR$]]/$N$1</f>
        <v>297.02970297029702</v>
      </c>
      <c r="M1408" s="76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1">
        <f>Gastos[[#This Row],[Importe AR$]]/$N$1</f>
        <v>396.03960396039605</v>
      </c>
      <c r="M1409" s="76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1">
        <f>Gastos[[#This Row],[Importe AR$]]/$N$1</f>
        <v>219.00000660066007</v>
      </c>
      <c r="M1410" s="76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1">
        <f>Gastos[[#This Row],[Importe AR$]]/$N$1</f>
        <v>2904.2904290429042</v>
      </c>
      <c r="M1411" s="76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1">
        <f>Gastos[[#This Row],[Importe AR$]]/$N$1</f>
        <v>102.31089108910891</v>
      </c>
      <c r="M1412" s="76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1">
        <f>Gastos[[#This Row],[Importe AR$]]/$N$1</f>
        <v>79.207920792079207</v>
      </c>
      <c r="M1413" s="76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1">
        <f>Gastos[[#This Row],[Importe AR$]]/$N$1</f>
        <v>660.0660066006601</v>
      </c>
      <c r="M1414" s="76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1">
        <f>Gastos[[#This Row],[Importe AR$]]/$N$1</f>
        <v>1866.957491749175</v>
      </c>
      <c r="M1415" s="76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1">
        <f>Gastos[[#This Row],[Importe AR$]]/$N$1</f>
        <v>1818.5365280528051</v>
      </c>
      <c r="L1416" t="s">
        <v>150</v>
      </c>
      <c r="M1416" s="76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1">
        <f>Gastos[[#This Row],[Importe AR$]]/$N$1</f>
        <v>583.03630363036302</v>
      </c>
      <c r="L1417" t="s">
        <v>983</v>
      </c>
      <c r="M1417" s="76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1">
        <f>Gastos[[#This Row],[Importe AR$]]/$N$1</f>
        <v>183.69636963696371</v>
      </c>
      <c r="M1418" s="76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1">
        <f>Gastos[[#This Row],[Importe AR$]]/$N$1</f>
        <v>85.808580858085804</v>
      </c>
      <c r="M1419" s="76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1">
        <f>Gastos[[#This Row],[Importe AR$]]/$N$1</f>
        <v>81.824019801980199</v>
      </c>
      <c r="M1420" s="76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1">
        <f>Gastos[[#This Row],[Importe AR$]]/$N$1</f>
        <v>191.41914191419141</v>
      </c>
      <c r="L1421" t="s">
        <v>215</v>
      </c>
      <c r="M1421" s="76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1">
        <f>Gastos[[#This Row],[Importe AR$]]/$N$1</f>
        <v>7630.9138943894395</v>
      </c>
      <c r="M1422" s="76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1">
        <f>Gastos[[#This Row],[Importe AR$]]/$N$1</f>
        <v>745.87458745874585</v>
      </c>
      <c r="M1423" s="76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1">
        <f>Gastos[[#This Row],[Importe AR$]]/$N$1</f>
        <v>858.08580858085804</v>
      </c>
      <c r="M1424" s="76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1">
        <f>Gastos[[#This Row],[Importe AR$]]/$N$1</f>
        <v>745.87458745874585</v>
      </c>
      <c r="M1425" s="76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1">
        <f>Gastos[[#This Row],[Importe AR$]]/$N$1</f>
        <v>745.87458745874585</v>
      </c>
      <c r="M1426" s="76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1">
        <f>Gastos[[#This Row],[Importe AR$]]/$N$1</f>
        <v>250.82508250825083</v>
      </c>
      <c r="M1427" s="76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1">
        <f>Gastos[[#This Row],[Importe AR$]]/$N$1</f>
        <v>3846.7483498349834</v>
      </c>
      <c r="M1428" s="76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1">
        <f>Gastos[[#This Row],[Importe AR$]]/$N$1</f>
        <v>1883.6066006600661</v>
      </c>
      <c r="M1429" s="76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1">
        <f>Gastos[[#This Row],[Importe AR$]]/$N$1</f>
        <v>3378.637412541254</v>
      </c>
      <c r="M1430" s="76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1">
        <f>Gastos[[#This Row],[Importe AR$]]/$N$1</f>
        <v>7771.8087260726079</v>
      </c>
      <c r="M1431" s="76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1">
        <f>Gastos[[#This Row],[Importe AR$]]/$N$1</f>
        <v>1448.9871881188117</v>
      </c>
      <c r="M1432" s="76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2">
        <f>Gastos[[#This Row],[Importe AR$]]/$N$1</f>
        <v>264.02640264026405</v>
      </c>
      <c r="M1433" s="76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2">
        <f>Gastos[[#This Row],[Importe AR$]]/$N$1</f>
        <v>52.805280528052805</v>
      </c>
      <c r="M1434" s="76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1">
        <f>Gastos[[#This Row],[Importe AR$]]/$N$1</f>
        <v>265.67656765676566</v>
      </c>
      <c r="M1435" s="76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1">
        <f>Gastos[[#This Row],[Importe AR$]]/$N$1</f>
        <v>125.41254125412541</v>
      </c>
      <c r="M1436" s="76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1">
        <f>Gastos[[#This Row],[Importe AR$]]/$N$1</f>
        <v>433.68490429042907</v>
      </c>
      <c r="M1437" s="76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1">
        <f>Gastos[[#This Row],[Importe AR$]]/$N$1</f>
        <v>3595.6896897689767</v>
      </c>
      <c r="M1438" s="76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1">
        <f>Gastos[[#This Row],[Importe AR$]]/$N$1</f>
        <v>1000.4808580858086</v>
      </c>
      <c r="M1439" s="76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1">
        <f>Gastos[[#This Row],[Importe AR$]]/$N$1</f>
        <v>900.62970297029699</v>
      </c>
      <c r="M1440" s="76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1">
        <f>Gastos[[#This Row],[Importe AR$]]/$N$1</f>
        <v>7718.4636171617167</v>
      </c>
      <c r="M1441" s="76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1">
        <f>Gastos[[#This Row],[Importe AR$]]/$N$1</f>
        <v>9665.4574257425738</v>
      </c>
      <c r="M1442" s="76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1">
        <f>Gastos[[#This Row],[Importe AR$]]/$N$1</f>
        <v>9665.4574257425738</v>
      </c>
      <c r="M1443" s="76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1">
        <f>Gastos[[#This Row],[Importe AR$]]/$N$1</f>
        <v>9665.4574257425738</v>
      </c>
      <c r="M1444" s="76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1">
        <f>Gastos[[#This Row],[Importe AR$]]/$N$1</f>
        <v>9665.4574257425738</v>
      </c>
      <c r="M1445" s="76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1">
        <f>Gastos[[#This Row],[Importe AR$]]/$N$1</f>
        <v>9665.4574257425738</v>
      </c>
      <c r="M1446" s="76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1">
        <f>Gastos[[#This Row],[Importe AR$]]/$N$1</f>
        <v>9665.4574257425738</v>
      </c>
      <c r="M1447" s="76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1">
        <f>Gastos[[#This Row],[Importe AR$]]/$N$1</f>
        <v>9665.4574257425738</v>
      </c>
      <c r="M1448" s="76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1">
        <f>Gastos[[#This Row],[Importe AR$]]/$N$1</f>
        <v>9665.4574257425738</v>
      </c>
      <c r="M1449" s="76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1">
        <f>Gastos[[#This Row],[Importe AR$]]/$N$1</f>
        <v>9665.4574257425738</v>
      </c>
      <c r="M1450" s="76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1">
        <f>Gastos[[#This Row],[Importe AR$]]/$N$1</f>
        <v>42.086171617161718</v>
      </c>
      <c r="M1451" s="76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1">
        <f>Gastos[[#This Row],[Importe AR$]]/$N$1</f>
        <v>462.04620462046205</v>
      </c>
      <c r="M1452" s="76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1">
        <f>Gastos[[#This Row],[Importe AR$]]/$N$1</f>
        <v>1672.6072607260726</v>
      </c>
      <c r="M1453" s="76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1">
        <f>Gastos[[#This Row],[Importe AR$]]/$N$1</f>
        <v>3300.3300330033003</v>
      </c>
      <c r="M1454" s="76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1">
        <f>Gastos[[#This Row],[Importe AR$]]/$N$1</f>
        <v>7630.9138943894395</v>
      </c>
      <c r="M1455" s="76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1">
        <f>Gastos[[#This Row],[Importe AR$]]/$N$1</f>
        <v>1980.1980198019803</v>
      </c>
      <c r="M1456" s="76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1">
        <f>Gastos[[#This Row],[Importe AR$]]/$N$1</f>
        <v>290.68792739273931</v>
      </c>
      <c r="M1457" s="76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1">
        <f>Gastos[[#This Row],[Importe AR$]]/$N$1</f>
        <v>296.14235643564353</v>
      </c>
      <c r="M1458" s="76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1">
        <f>Gastos[[#This Row],[Importe AR$]]/$N$1</f>
        <v>302.29104290429041</v>
      </c>
      <c r="M1459" s="76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1">
        <f>Gastos[[#This Row],[Importe AR$]]/$N$1</f>
        <v>303.63036303630361</v>
      </c>
      <c r="M1460" s="76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1">
        <f>Gastos[[#This Row],[Importe AR$]]/$N$1</f>
        <v>322.17953795379537</v>
      </c>
      <c r="M1461" s="76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1">
        <f>Gastos[[#This Row],[Importe AR$]]/$N$1</f>
        <v>95.346534653465341</v>
      </c>
      <c r="M1462" s="76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1">
        <f>Gastos[[#This Row],[Importe AR$]]/$N$1</f>
        <v>26.402640264026402</v>
      </c>
      <c r="M1463" s="76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1">
        <f>Gastos[[#This Row],[Importe AR$]]/$N$1</f>
        <v>93.181518151815183</v>
      </c>
      <c r="M1464" s="76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1">
        <f>Gastos[[#This Row],[Importe AR$]]/$N$1</f>
        <v>94.871161716171613</v>
      </c>
      <c r="M1465" s="76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1">
        <f>Gastos[[#This Row],[Importe AR$]]/$N$1</f>
        <v>396.03960396039605</v>
      </c>
      <c r="M1466" s="76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1">
        <f>Gastos[[#This Row],[Importe AR$]]/$N$1</f>
        <v>326.39616501650164</v>
      </c>
      <c r="M1467" s="76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1">
        <f>Gastos[[#This Row],[Importe AR$]]/$N$1</f>
        <v>495.04950495049508</v>
      </c>
      <c r="M1468" s="76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1">
        <f>Gastos[[#This Row],[Importe AR$]]/$N$1</f>
        <v>8.5808580858085808</v>
      </c>
      <c r="M1469" s="76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1">
        <f>Gastos[[#This Row],[Importe AR$]]/$N$1</f>
        <v>3514.8514851485147</v>
      </c>
      <c r="M1470" s="76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1">
        <f>Gastos[[#This Row],[Importe AR$]]/$N$1</f>
        <v>1023.1023102310231</v>
      </c>
      <c r="M1471" s="76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1">
        <f>Gastos[[#This Row],[Importe AR$]]/$N$1</f>
        <v>1320.1320132013202</v>
      </c>
      <c r="L1472" t="s">
        <v>277</v>
      </c>
      <c r="M1472" s="76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1">
        <f>Gastos[[#This Row],[Importe AR$]]/$N$1</f>
        <v>331.46766996699671</v>
      </c>
      <c r="M1473" s="76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1">
        <f>Gastos[[#This Row],[Importe AR$]]/$N$1</f>
        <v>59.405940594059409</v>
      </c>
      <c r="M1474" s="76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1">
        <f>Gastos[[#This Row],[Importe AR$]]/$N$1</f>
        <v>11.221122112211221</v>
      </c>
      <c r="M1475" s="76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1">
        <f>Gastos[[#This Row],[Importe AR$]]/$N$1</f>
        <v>1320.1320132013202</v>
      </c>
      <c r="M1476" s="76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1">
        <f>Gastos[[#This Row],[Importe AR$]]/$N$1</f>
        <v>2640.2640264026404</v>
      </c>
      <c r="M1477" s="76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1">
        <f>Gastos[[#This Row],[Importe AR$]]/$N$1</f>
        <v>2640.2640264026404</v>
      </c>
      <c r="M1478" s="76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1">
        <f>Gastos[[#This Row],[Importe AR$]]/$N$1</f>
        <v>215.84158415841586</v>
      </c>
      <c r="M1479" s="76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1">
        <f>Gastos[[#This Row],[Importe AR$]]/$N$1</f>
        <v>6600.6600660066006</v>
      </c>
      <c r="M1480" s="76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1">
        <f>Gastos[[#This Row],[Importe AR$]]/$N$1</f>
        <v>1320.1320132013202</v>
      </c>
      <c r="M1481" s="76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1">
        <f>Gastos[[#This Row],[Importe AR$]]/$N$1</f>
        <v>1650.1650165016501</v>
      </c>
      <c r="M1482" s="76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1">
        <f>Gastos[[#This Row],[Importe AR$]]/$N$1</f>
        <v>1650.1650165016501</v>
      </c>
      <c r="M1483" s="76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1">
        <f>Gastos[[#This Row],[Importe AR$]]/$N$1</f>
        <v>752.47524752475249</v>
      </c>
      <c r="M1484" s="76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1">
        <f>Gastos[[#This Row],[Importe AR$]]/$N$1</f>
        <v>1980.1980198019803</v>
      </c>
      <c r="M1485" s="76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1">
        <f>Gastos[[#This Row],[Importe AR$]]/$N$1</f>
        <v>1320.1320132013202</v>
      </c>
      <c r="M1486" s="76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1">
        <f>Gastos[[#This Row],[Importe AR$]]/$N$1</f>
        <v>330.03300330033005</v>
      </c>
      <c r="M1487" s="76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1">
        <f>Gastos[[#This Row],[Importe AR$]]/$N$1</f>
        <v>330.03300330033005</v>
      </c>
      <c r="M1488" s="76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1">
        <f>Gastos[[#This Row],[Importe AR$]]/$N$1</f>
        <v>330.03300330033005</v>
      </c>
      <c r="M1489" s="76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1">
        <f>Gastos[[#This Row],[Importe AR$]]/$N$1</f>
        <v>330.03300330033005</v>
      </c>
      <c r="M1490" s="76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1">
        <f>Gastos[[#This Row],[Importe AR$]]/$N$1</f>
        <v>46.204620462046208</v>
      </c>
      <c r="M1491" s="76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1">
        <f>Gastos[[#This Row],[Importe AR$]]/$N$1</f>
        <v>46.204620462046208</v>
      </c>
      <c r="M1492" s="76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1">
        <f>Gastos[[#This Row],[Importe AR$]]/$N$1</f>
        <v>46.204620462046208</v>
      </c>
      <c r="M1493" s="76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1">
        <f>Gastos[[#This Row],[Importe AR$]]/$N$1</f>
        <v>39.603960396039604</v>
      </c>
      <c r="M1494" s="76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1">
        <f>Gastos[[#This Row],[Importe AR$]]/$N$1</f>
        <v>0</v>
      </c>
      <c r="M1495" s="76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1">
        <f>Gastos[[#This Row],[Importe AR$]]/$N$1</f>
        <v>104.29042904290429</v>
      </c>
      <c r="M1496" s="76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1">
        <f>Gastos[[#This Row],[Importe AR$]]/$N$1</f>
        <v>124.0924092409241</v>
      </c>
      <c r="M1497" s="76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1">
        <f>Gastos[[#This Row],[Importe AR$]]/$N$1</f>
        <v>95.049504950495049</v>
      </c>
      <c r="M1498" s="76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1">
        <f>Gastos[[#This Row],[Importe AR$]]/$N$1</f>
        <v>105.61056105610561</v>
      </c>
      <c r="M1499" s="76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1">
        <f>Gastos[[#This Row],[Importe AR$]]/$N$1</f>
        <v>105.61056105610561</v>
      </c>
      <c r="M1500" s="76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1">
        <f>Gastos[[#This Row],[Importe AR$]]/$N$1</f>
        <v>125.41254125412541</v>
      </c>
      <c r="M1501" s="76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1">
        <f>Gastos[[#This Row],[Importe AR$]]/$N$1</f>
        <v>87.215841584158412</v>
      </c>
      <c r="L1502" t="s">
        <v>215</v>
      </c>
      <c r="M1502" s="76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1">
        <f>Gastos[[#This Row],[Importe AR$]]/$N$1</f>
        <v>321.9194191419142</v>
      </c>
      <c r="L1503" t="s">
        <v>1713</v>
      </c>
      <c r="M1503" s="76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1">
        <f>Gastos[[#This Row],[Importe AR$]]/$N$1</f>
        <v>144.45243564356437</v>
      </c>
      <c r="M1504" s="76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1">
        <f>Gastos[[#This Row],[Importe AR$]]/$N$1</f>
        <v>234.3039207920792</v>
      </c>
      <c r="M1505" s="76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1">
        <f>Gastos[[#This Row],[Importe AR$]]/$N$1</f>
        <v>89.851485148514854</v>
      </c>
      <c r="M1506" s="76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1">
        <f>Gastos[[#This Row],[Importe AR$]]/$N$1</f>
        <v>233.55693729372939</v>
      </c>
      <c r="M1507" s="76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1">
        <f>Gastos[[#This Row],[Importe AR$]]/$N$1</f>
        <v>198.01980198019803</v>
      </c>
      <c r="M1508" s="76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1">
        <f>Gastos[[#This Row],[Importe AR$]]/$N$1</f>
        <v>156.9887788778878</v>
      </c>
      <c r="M1509" s="76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1">
        <f>Gastos[[#This Row],[Importe AR$]]/$N$1</f>
        <v>15.522290429042904</v>
      </c>
      <c r="M1510" s="76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1">
        <f>Gastos[[#This Row],[Importe AR$]]/$N$1</f>
        <v>309.18770957095711</v>
      </c>
      <c r="M1511" s="76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1">
        <f>Gastos[[#This Row],[Importe AR$]]/$N$1</f>
        <v>92.720349834983494</v>
      </c>
      <c r="M1512" s="76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1">
        <f>Gastos[[#This Row],[Importe AR$]]/$N$1</f>
        <v>220.01823102310232</v>
      </c>
      <c r="M1513" s="76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1">
        <f>Gastos[[#This Row],[Importe AR$]]/$N$1</f>
        <v>90.09309570957096</v>
      </c>
      <c r="M1514" s="76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1">
        <f>Gastos[[#This Row],[Importe AR$]]/$N$1</f>
        <v>652.11291749174916</v>
      </c>
      <c r="M1515" s="76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1">
        <f>Gastos[[#This Row],[Importe AR$]]/$N$1</f>
        <v>638.94389438943892</v>
      </c>
      <c r="L1516" t="s">
        <v>983</v>
      </c>
      <c r="M1516" s="76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1">
        <f>Gastos[[#This Row],[Importe AR$]]/$N$1</f>
        <v>349.83498349834986</v>
      </c>
      <c r="M1517" s="76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1">
        <f>Gastos[[#This Row],[Importe AR$]]/$N$1</f>
        <v>499.5187722772277</v>
      </c>
      <c r="M1518" s="76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1">
        <f>Gastos[[#This Row],[Importe AR$]]/$N$1</f>
        <v>561.00660066006606</v>
      </c>
      <c r="M1519" s="76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1">
        <f>Gastos[[#This Row],[Importe AR$]]/$N$1</f>
        <v>6.4581254125412535</v>
      </c>
      <c r="M1520" s="76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1">
        <f>Gastos[[#This Row],[Importe AR$]]/$N$1</f>
        <v>458.0858085808581</v>
      </c>
      <c r="M1521" s="76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1">
        <f>Gastos[[#This Row],[Importe AR$]]/$N$1</f>
        <v>249.50495049504951</v>
      </c>
      <c r="M1522" s="76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1">
        <f>Gastos[[#This Row],[Importe AR$]]/$N$1</f>
        <v>192.40924092409242</v>
      </c>
      <c r="M1523" s="76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1">
        <f>Gastos[[#This Row],[Importe AR$]]/$N$1</f>
        <v>192.40924092409242</v>
      </c>
      <c r="M1524" s="76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1">
        <f>Gastos[[#This Row],[Importe AR$]]/$N$1</f>
        <v>142.57425742574259</v>
      </c>
      <c r="M1525" s="76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1">
        <f>Gastos[[#This Row],[Importe AR$]]/$N$1</f>
        <v>142.57425742574259</v>
      </c>
      <c r="M1526" s="76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1">
        <f>Gastos[[#This Row],[Importe AR$]]/$N$1</f>
        <v>66.006600660066013</v>
      </c>
      <c r="M1527" s="76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1">
        <f>Gastos[[#This Row],[Importe AR$]]/$N$1</f>
        <v>66.006600660066013</v>
      </c>
      <c r="M1528" s="76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1">
        <f>Gastos[[#This Row],[Importe AR$]]/$N$1</f>
        <v>92.409240924092416</v>
      </c>
      <c r="M1529" s="76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1">
        <f>Gastos[[#This Row],[Importe AR$]]/$N$1</f>
        <v>33.003300330033007</v>
      </c>
      <c r="M1530" s="76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1">
        <f>Gastos[[#This Row],[Importe AR$]]/$N$1</f>
        <v>92.409240924092416</v>
      </c>
      <c r="M1531" s="76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1">
        <f>Gastos[[#This Row],[Importe AR$]]/$N$1</f>
        <v>92.409240924092416</v>
      </c>
      <c r="M1532" s="76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1">
        <f>Gastos[[#This Row],[Importe AR$]]/$N$1</f>
        <v>92.409240924092416</v>
      </c>
      <c r="M1533" s="76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1">
        <f>Gastos[[#This Row],[Importe AR$]]/$N$1</f>
        <v>92.409240924092416</v>
      </c>
      <c r="M1534" s="76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1">
        <f>Gastos[[#This Row],[Importe AR$]]/$N$1</f>
        <v>92.409240924092416</v>
      </c>
      <c r="M1535" s="76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1">
        <f>Gastos[[#This Row],[Importe AR$]]/$N$1</f>
        <v>92.409240924092416</v>
      </c>
      <c r="M1536" s="76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1">
        <f>Gastos[[#This Row],[Importe AR$]]/$N$1</f>
        <v>59.405940594059409</v>
      </c>
      <c r="M1537" s="76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1">
        <f>Gastos[[#This Row],[Importe AR$]]/$N$1</f>
        <v>92.409240924092416</v>
      </c>
      <c r="M1538" s="76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1">
        <f>Gastos[[#This Row],[Importe AR$]]/$N$1</f>
        <v>92.409240924092416</v>
      </c>
      <c r="M1539" s="76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1">
        <f>Gastos[[#This Row],[Importe AR$]]/$N$1</f>
        <v>92.409240924092416</v>
      </c>
      <c r="M1540" s="76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1">
        <f>Gastos[[#This Row],[Importe AR$]]/$N$1</f>
        <v>92.409240924092416</v>
      </c>
      <c r="M1541" s="76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1">
        <f>Gastos[[#This Row],[Importe AR$]]/$N$1</f>
        <v>1267.0627062706271</v>
      </c>
      <c r="M1542" s="76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1">
        <f>Gastos[[#This Row],[Importe AR$]]/$N$1</f>
        <v>92.409240924092416</v>
      </c>
      <c r="M1543" s="76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1">
        <f>Gastos[[#This Row],[Importe AR$]]/$N$1</f>
        <v>514.85148514851483</v>
      </c>
      <c r="L1544" t="s">
        <v>361</v>
      </c>
      <c r="M1544" s="76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1">
        <f>Gastos[[#This Row],[Importe AR$]]/$N$1</f>
        <v>681.58415841584156</v>
      </c>
      <c r="L1545" t="s">
        <v>150</v>
      </c>
      <c r="M1545" s="76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1">
        <f>Gastos[[#This Row],[Importe AR$]]/$N$1</f>
        <v>118.81188118811882</v>
      </c>
      <c r="L1546" t="s">
        <v>42</v>
      </c>
      <c r="M1546" s="76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1">
        <f>Gastos[[#This Row],[Importe AR$]]/$N$1</f>
        <v>588.97689768976898</v>
      </c>
      <c r="M1547" s="76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1">
        <f>Gastos[[#This Row],[Importe AR$]]/$N$1</f>
        <v>33.003300330033007</v>
      </c>
      <c r="M1548" s="76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1">
        <f>Gastos[[#This Row],[Importe AR$]]/$N$1</f>
        <v>108.91089108910892</v>
      </c>
      <c r="M1549" s="76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1">
        <f>Gastos[[#This Row],[Importe AR$]]/$N$1</f>
        <v>35.604825082508249</v>
      </c>
      <c r="M1550" s="76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1">
        <f>Gastos[[#This Row],[Importe AR$]]/$N$1</f>
        <v>990.09900990099015</v>
      </c>
      <c r="L1551" t="s">
        <v>361</v>
      </c>
      <c r="M1551" s="76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1">
        <f>Gastos[[#This Row],[Importe AR$]]/$N$1</f>
        <v>363.03630363036302</v>
      </c>
      <c r="M1552" s="76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1">
        <f>Gastos[[#This Row],[Importe AR$]]/$N$1</f>
        <v>337.33333333333331</v>
      </c>
      <c r="M1553" s="76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1">
        <f>Gastos[[#This Row],[Importe AR$]]/$N$1</f>
        <v>116.23102310231023</v>
      </c>
      <c r="M1554" s="76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1">
        <f>Gastos[[#This Row],[Importe AR$]]/$N$1</f>
        <v>493.62028382838281</v>
      </c>
      <c r="M1555" s="76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1">
        <f>Gastos[[#This Row],[Importe AR$]]/$N$1</f>
        <v>201.6335181518152</v>
      </c>
      <c r="M1556" s="76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1">
        <f>Gastos[[#This Row],[Importe AR$]]/$N$1</f>
        <v>116.16533993399339</v>
      </c>
      <c r="M1557" s="76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1">
        <f>Gastos[[#This Row],[Importe AR$]]/$N$1</f>
        <v>132.01320132013203</v>
      </c>
      <c r="M1558" s="76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1">
        <f>Gastos[[#This Row],[Importe AR$]]/$N$1</f>
        <v>528.0528052805281</v>
      </c>
      <c r="M1559" s="76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1">
        <f>Gastos[[#This Row],[Importe AR$]]/$N$1</f>
        <v>528.0528052805281</v>
      </c>
      <c r="L1560" t="s">
        <v>361</v>
      </c>
      <c r="M1560" s="76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1">
        <f>Gastos[[#This Row],[Importe AR$]]/$N$1</f>
        <v>330.03300330033005</v>
      </c>
      <c r="M1561" s="76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1">
        <f>Gastos[[#This Row],[Importe AR$]]/$N$1</f>
        <v>231.02310231023102</v>
      </c>
      <c r="M1562" s="76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1">
        <f>Gastos[[#This Row],[Importe AR$]]/$N$1</f>
        <v>10.957095709570957</v>
      </c>
      <c r="M1563" s="76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1">
        <f>Gastos[[#This Row],[Importe AR$]]/$N$1</f>
        <v>574.78547854785484</v>
      </c>
      <c r="M1564" s="76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1">
        <f>Gastos[[#This Row],[Importe AR$]]/$N$1</f>
        <v>50.125412541254128</v>
      </c>
      <c r="M1565" s="76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1">
        <f>Gastos[[#This Row],[Importe AR$]]/$N$1</f>
        <v>267.00066006600662</v>
      </c>
      <c r="M1566" s="76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1">
        <f>Gastos[[#This Row],[Importe AR$]]/$N$1</f>
        <v>9.6066006600660074</v>
      </c>
      <c r="M1567" s="76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1">
        <f>Gastos[[#This Row],[Importe AR$]]/$N$1</f>
        <v>22.970297029702969</v>
      </c>
      <c r="M1568" s="76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1">
        <f>Gastos[[#This Row],[Importe AR$]]/$N$1</f>
        <v>196.03960396039605</v>
      </c>
      <c r="M1569" s="76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1">
        <f>Gastos[[#This Row],[Importe AR$]]/$N$1</f>
        <v>231.02310231023102</v>
      </c>
      <c r="M1570" s="76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1">
        <f>Gastos[[#This Row],[Importe AR$]]/$N$1</f>
        <v>48.382838283828384</v>
      </c>
      <c r="M1571" s="76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1">
        <f>Gastos[[#This Row],[Importe AR$]]/$N$1</f>
        <v>613.86138613861385</v>
      </c>
      <c r="M1572" s="76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1">
        <f>Gastos[[#This Row],[Importe AR$]]/$N$1</f>
        <v>772.2772277227723</v>
      </c>
      <c r="M1573" s="76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1">
        <f>Gastos[[#This Row],[Importe AR$]]/$N$1</f>
        <v>330.03300330033005</v>
      </c>
      <c r="M1574" s="76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1">
        <f>Gastos[[#This Row],[Importe AR$]]/$N$1</f>
        <v>183.76237623762376</v>
      </c>
      <c r="M1575" s="76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1">
        <f>Gastos[[#This Row],[Importe AR$]]/$N$1</f>
        <v>198.01980198019803</v>
      </c>
      <c r="M1576" s="76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1">
        <f>Gastos[[#This Row],[Importe AR$]]/$N$1</f>
        <v>75.973597359735976</v>
      </c>
      <c r="M1577" s="76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1">
        <f>Gastos[[#This Row],[Importe AR$]]/$N$1</f>
        <v>132.01320132013203</v>
      </c>
      <c r="M1578" s="76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1">
        <f>Gastos[[#This Row],[Importe AR$]]/$N$1</f>
        <v>396.03960396039605</v>
      </c>
      <c r="M1579" s="76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1">
        <f>Gastos[[#This Row],[Importe AR$]]/$N$1</f>
        <v>73.234323432343231</v>
      </c>
      <c r="L1580" s="64"/>
      <c r="M1580" s="76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1">
        <f>Gastos[[#This Row],[Importe AR$]]/$N$1</f>
        <v>279.44554455445547</v>
      </c>
      <c r="M1581" s="76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1">
        <f>Gastos[[#This Row],[Importe AR$]]/$N$1</f>
        <v>1259.6308910891089</v>
      </c>
      <c r="L1582" t="s">
        <v>850</v>
      </c>
      <c r="M1582" s="76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1">
        <f>Gastos[[#This Row],[Importe AR$]]/$N$1</f>
        <v>37.259405940594057</v>
      </c>
      <c r="M1583" s="76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1">
        <f>Gastos[[#This Row],[Importe AR$]]/$N$1</f>
        <v>635.17729372937288</v>
      </c>
      <c r="M1584" s="76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1">
        <f>Gastos[[#This Row],[Importe AR$]]/$N$1</f>
        <v>700.00660066006606</v>
      </c>
      <c r="M1585" s="76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1">
        <f>Gastos[[#This Row],[Importe AR$]]/$N$1</f>
        <v>726.07260726072604</v>
      </c>
      <c r="M1586" s="76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1">
        <f>Gastos[[#This Row],[Importe AR$]]/$N$1</f>
        <v>1287.1287128712872</v>
      </c>
      <c r="M1587" s="76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1">
        <f>Gastos[[#This Row],[Importe AR$]]/$N$1</f>
        <v>211.37953795379539</v>
      </c>
      <c r="M1588" s="76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1">
        <f>Gastos[[#This Row],[Importe AR$]]/$N$1</f>
        <v>1122.1122112211222</v>
      </c>
      <c r="L1589" s="64"/>
      <c r="M1589" s="76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1">
        <f>Gastos[[#This Row],[Importe AR$]]/$N$1</f>
        <v>330.03300330033005</v>
      </c>
      <c r="M1590" s="76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1">
        <f>Gastos[[#This Row],[Importe AR$]]/$N$1</f>
        <v>361.05610561056108</v>
      </c>
      <c r="M1591" s="76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1">
        <f>Gastos[[#This Row],[Importe AR$]]/$N$1</f>
        <v>363.03630363036302</v>
      </c>
      <c r="M1592" s="76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1">
        <f>Gastos[[#This Row],[Importe AR$]]/$N$1</f>
        <v>594.74191419141914</v>
      </c>
      <c r="M1593" s="76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1">
        <f>Gastos[[#This Row],[Importe AR$]]/$N$1</f>
        <v>671.9471947194719</v>
      </c>
      <c r="M1594" s="76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1">
        <f>Gastos[[#This Row],[Importe AR$]]/$N$1</f>
        <v>118.81188118811882</v>
      </c>
      <c r="M1595" s="76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1">
        <f>Gastos[[#This Row],[Importe AR$]]/$N$1</f>
        <v>118.81188118811882</v>
      </c>
      <c r="M1596" s="76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1">
        <f>Gastos[[#This Row],[Importe AR$]]/$N$1</f>
        <v>118.81188118811882</v>
      </c>
      <c r="M1597" s="76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1">
        <f>Gastos[[#This Row],[Importe AR$]]/$N$1</f>
        <v>132.01320132013203</v>
      </c>
      <c r="M1598" s="76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1">
        <f>Gastos[[#This Row],[Importe AR$]]/$N$1</f>
        <v>132.01320132013203</v>
      </c>
      <c r="M1599" s="76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1">
        <f>Gastos[[#This Row],[Importe AR$]]/$N$1</f>
        <v>132.01320132013203</v>
      </c>
      <c r="M1600" s="76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1">
        <f>Gastos[[#This Row],[Importe AR$]]/$N$1</f>
        <v>132.01320132013203</v>
      </c>
      <c r="M1601" s="76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1">
        <f>Gastos[[#This Row],[Importe AR$]]/$N$1</f>
        <v>132.01320132013203</v>
      </c>
      <c r="M1602" s="76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1">
        <f>Gastos[[#This Row],[Importe AR$]]/$N$1</f>
        <v>660.0660066006601</v>
      </c>
      <c r="L1603" s="8"/>
      <c r="M1603" s="76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1">
        <f>Gastos[[#This Row],[Importe AR$]]/$N$1</f>
        <v>660.0660066006601</v>
      </c>
      <c r="M1604" s="76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1">
        <f>Gastos[[#This Row],[Importe AR$]]/$N$1</f>
        <v>660.0660066006601</v>
      </c>
      <c r="M1605" s="76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1">
        <f>Gastos[[#This Row],[Importe AR$]]/$N$1</f>
        <v>660.0660066006601</v>
      </c>
      <c r="M1606" s="76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1">
        <f>Gastos[[#This Row],[Importe AR$]]/$N$1</f>
        <v>660.0660066006601</v>
      </c>
      <c r="M1607" s="76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1">
        <f>Gastos[[#This Row],[Importe AR$]]/$N$1</f>
        <v>660.0660066006601</v>
      </c>
      <c r="M1608" s="76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1">
        <f>Gastos[[#This Row],[Importe AR$]]/$N$1</f>
        <v>5785.2587458745875</v>
      </c>
      <c r="L1609" s="64"/>
      <c r="M1609" s="76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1">
        <f>Gastos[[#This Row],[Importe AR$]]/$N$1</f>
        <v>743.20472607260717</v>
      </c>
      <c r="M1610" s="76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1">
        <f>Gastos[[#This Row],[Importe AR$]]/$N$1</f>
        <v>238.93564356435644</v>
      </c>
      <c r="M1611" s="76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1">
        <f>Gastos[[#This Row],[Importe AR$]]/$N$1</f>
        <v>63.930792079207919</v>
      </c>
      <c r="M1612" s="76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1">
        <f>Gastos[[#This Row],[Importe AR$]]/$N$1</f>
        <v>508.42745874587456</v>
      </c>
      <c r="M1613" s="76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1">
        <f>Gastos[[#This Row],[Importe AR$]]/$N$1</f>
        <v>110.5062706270627</v>
      </c>
      <c r="M1614" s="76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1">
        <f>Gastos[[#This Row],[Importe AR$]]/$N$1</f>
        <v>660.0660066006601</v>
      </c>
      <c r="L1615" s="8"/>
      <c r="M1615" s="76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1">
        <f>Gastos[[#This Row],[Importe AR$]]/$N$1</f>
        <v>660.0660066006601</v>
      </c>
      <c r="M1616" s="76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1">
        <f>Gastos[[#This Row],[Importe AR$]]/$N$1</f>
        <v>660.0660066006601</v>
      </c>
      <c r="M1617" s="76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1">
        <f>Gastos[[#This Row],[Importe AR$]]/$N$1</f>
        <v>66.006600660066013</v>
      </c>
      <c r="M1618" s="76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1">
        <f>Gastos[[#This Row],[Importe AR$]]/$N$1</f>
        <v>21.782178217821784</v>
      </c>
      <c r="M1619" s="76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1">
        <f>Gastos[[#This Row],[Importe AR$]]/$N$1</f>
        <v>46.204620462046208</v>
      </c>
      <c r="M1620" s="76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1">
        <f>Gastos[[#This Row],[Importe AR$]]/$N$1</f>
        <v>19.801980198019802</v>
      </c>
      <c r="M1621" s="76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1">
        <f>Gastos[[#This Row],[Importe AR$]]/$N$1</f>
        <v>19.801980198019802</v>
      </c>
      <c r="M1622" s="76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1">
        <f>Gastos[[#This Row],[Importe AR$]]/$N$1</f>
        <v>95.049504950495049</v>
      </c>
      <c r="M1623" s="76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1">
        <f>Gastos[[#This Row],[Importe AR$]]/$N$1</f>
        <v>249.50495049504951</v>
      </c>
      <c r="M1624" s="76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1">
        <f>Gastos[[#This Row],[Importe AR$]]/$N$1</f>
        <v>190.0990099009901</v>
      </c>
      <c r="M1625" s="76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1">
        <f>Gastos[[#This Row],[Importe AR$]]/$N$1</f>
        <v>73.927392739273927</v>
      </c>
      <c r="M1626" s="76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1">
        <f>Gastos[[#This Row],[Importe AR$]]/$N$1</f>
        <v>924.0924092409241</v>
      </c>
      <c r="M1627" s="76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1">
        <f>Gastos[[#This Row],[Importe AR$]]/$N$1</f>
        <v>990.09900990099015</v>
      </c>
      <c r="M1628" s="76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1">
        <f>Gastos[[#This Row],[Importe AR$]]/$N$1</f>
        <v>63.366336633663366</v>
      </c>
      <c r="M1629" s="76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1">
        <f>Gastos[[#This Row],[Importe AR$]]/$N$1</f>
        <v>59.14191419141914</v>
      </c>
      <c r="M1630" s="76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1">
        <f>Gastos[[#This Row],[Importe AR$]]/$N$1</f>
        <v>678.04026402640261</v>
      </c>
      <c r="M1631" s="76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1">
        <f>Gastos[[#This Row],[Importe AR$]]/$N$1</f>
        <v>3635.3135313531352</v>
      </c>
      <c r="M1632" s="76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1">
        <f>Gastos[[#This Row],[Importe AR$]]/$N$1</f>
        <v>418.48184818481849</v>
      </c>
      <c r="M1633" s="76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1">
        <f>Gastos[[#This Row],[Importe AR$]]/$N$1</f>
        <v>446.86468646864688</v>
      </c>
      <c r="M1634" s="76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1">
        <f>Gastos[[#This Row],[Importe AR$]]/$N$1</f>
        <v>660.0660066006601</v>
      </c>
      <c r="M1635" s="76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1">
        <f>Gastos[[#This Row],[Importe AR$]]/$N$1</f>
        <v>660.0660066006601</v>
      </c>
      <c r="M1636" s="76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1">
        <f>Gastos[[#This Row],[Importe AR$]]/$N$1</f>
        <v>779.1527392739273</v>
      </c>
      <c r="M1637" s="76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1">
        <f>Gastos[[#This Row],[Importe AR$]]/$N$1</f>
        <v>804.71287128712868</v>
      </c>
      <c r="M1638" s="76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1">
        <f>Gastos[[#This Row],[Importe AR$]]/$N$1</f>
        <v>1320.1320132013202</v>
      </c>
      <c r="M1639" s="76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1">
        <f>Gastos[[#This Row],[Importe AR$]]/$N$1</f>
        <v>1622.7062706270626</v>
      </c>
      <c r="M1640" s="76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1">
        <f>Gastos[[#This Row],[Importe AR$]]/$N$1</f>
        <v>660.0660066006601</v>
      </c>
      <c r="M1641" s="76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1">
        <f>Gastos[[#This Row],[Importe AR$]]/$N$1</f>
        <v>82.60726072607261</v>
      </c>
      <c r="M1642" s="76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1">
        <f>Gastos[[#This Row],[Importe AR$]]/$N$1</f>
        <v>98.714191419141912</v>
      </c>
      <c r="M1643" s="76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1">
        <f>Gastos[[#This Row],[Importe AR$]]/$N$1</f>
        <v>98.714191419141912</v>
      </c>
      <c r="M1644" s="76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1">
        <f>Gastos[[#This Row],[Importe AR$]]/$N$1</f>
        <v>112.21122112211221</v>
      </c>
      <c r="M1645" s="76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1">
        <f>Gastos[[#This Row],[Importe AR$]]/$N$1</f>
        <v>130.03300330033002</v>
      </c>
      <c r="M1646" s="76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1">
        <f>Gastos[[#This Row],[Importe AR$]]/$N$1</f>
        <v>138.61386138613861</v>
      </c>
      <c r="M1647" s="76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1">
        <f>Gastos[[#This Row],[Importe AR$]]/$N$1</f>
        <v>517.91502310231022</v>
      </c>
      <c r="M1648" s="76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1">
        <f>Gastos[[#This Row],[Importe AR$]]/$N$1</f>
        <v>770.95709570957092</v>
      </c>
      <c r="M1649" s="76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1">
        <f>Gastos[[#This Row],[Importe AR$]]/$N$1</f>
        <v>792.0792079207921</v>
      </c>
      <c r="M1650" s="76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1">
        <f>Gastos[[#This Row],[Importe AR$]]/$N$1</f>
        <v>990.09900990099015</v>
      </c>
      <c r="M1651" s="76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1">
        <f>Gastos[[#This Row],[Importe AR$]]/$N$1</f>
        <v>399.55775577557756</v>
      </c>
      <c r="M1652" s="76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1">
        <f>Gastos[[#This Row],[Importe AR$]]/$N$1</f>
        <v>587.45874587458741</v>
      </c>
      <c r="M1653" s="76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1">
        <f>Gastos[[#This Row],[Importe AR$]]/$N$1</f>
        <v>3696.3696369636964</v>
      </c>
      <c r="M1654" s="76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1">
        <f>Gastos[[#This Row],[Importe AR$]]/$N$1</f>
        <v>441.58415841584156</v>
      </c>
      <c r="M1655" s="76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1">
        <f>Gastos[[#This Row],[Importe AR$]]/$N$1</f>
        <v>2640.2640264026404</v>
      </c>
      <c r="M1656" s="76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1">
        <f>Gastos[[#This Row],[Importe AR$]]/$N$1</f>
        <v>855.23166336633665</v>
      </c>
      <c r="M1657" s="76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1">
        <f>Gastos[[#This Row],[Importe AR$]]/$N$1</f>
        <v>1415.2161188118812</v>
      </c>
      <c r="M1658" s="76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1">
        <f>Gastos[[#This Row],[Importe AR$]]/$N$1</f>
        <v>1814.5704884488448</v>
      </c>
      <c r="M1659" s="76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1">
        <f>Gastos[[#This Row],[Importe AR$]]/$N$1</f>
        <v>7.6205214521452147</v>
      </c>
      <c r="M1660" s="76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1">
        <f>Gastos[[#This Row],[Importe AR$]]/$N$1</f>
        <v>186.13861386138615</v>
      </c>
      <c r="M1661" s="76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1">
        <f>Gastos[[#This Row],[Importe AR$]]/$N$1</f>
        <v>186.32745874587457</v>
      </c>
      <c r="M1662" s="76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1">
        <f>Gastos[[#This Row],[Importe AR$]]/$N$1</f>
        <v>528.0528052805281</v>
      </c>
      <c r="M1663" s="76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1">
        <f>Gastos[[#This Row],[Importe AR$]]/$N$1</f>
        <v>528.0528052805281</v>
      </c>
      <c r="M1664" s="76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1">
        <f>Gastos[[#This Row],[Importe AR$]]/$N$1</f>
        <v>528.0528052805281</v>
      </c>
      <c r="M1665" s="76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1">
        <f>Gastos[[#This Row],[Importe AR$]]/$N$1</f>
        <v>496.64224422442243</v>
      </c>
      <c r="M1666" s="76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1">
        <f>Gastos[[#This Row],[Importe AR$]]/$N$1</f>
        <v>594.05940594059405</v>
      </c>
      <c r="M1667" s="76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1">
        <f>Gastos[[#This Row],[Importe AR$]]/$N$1</f>
        <v>621.82178217821786</v>
      </c>
      <c r="M1668" s="76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1">
        <f>Gastos[[#This Row],[Importe AR$]]/$N$1</f>
        <v>501.65016501650166</v>
      </c>
      <c r="M1669" s="76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1">
        <f>Gastos[[#This Row],[Importe AR$]]/$N$1</f>
        <v>132.01320132013203</v>
      </c>
      <c r="M1670" s="76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1">
        <f>Gastos[[#This Row],[Importe AR$]]/$N$1</f>
        <v>857.82574257425745</v>
      </c>
      <c r="M1671" s="76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1">
        <f>Gastos[[#This Row],[Importe AR$]]/$N$1</f>
        <v>413.34612541254126</v>
      </c>
      <c r="M1672" s="76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1">
        <f>Gastos[[#This Row],[Importe AR$]]/$N$1</f>
        <v>223.67524752475248</v>
      </c>
      <c r="M1673" s="76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1">
        <f>Gastos[[#This Row],[Importe AR$]]/$N$1</f>
        <v>8433.8969504950492</v>
      </c>
      <c r="M1674" s="76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1">
        <f>Gastos[[#This Row],[Importe AR$]]/$N$1</f>
        <v>1787.4587458745875</v>
      </c>
      <c r="M1675" s="76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1">
        <f>Gastos[[#This Row],[Importe AR$]]/$N$1</f>
        <v>2479.2079207920792</v>
      </c>
      <c r="M1676" s="76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1">
        <f>Gastos[[#This Row],[Importe AR$]]/$N$1</f>
        <v>386.79867986798678</v>
      </c>
      <c r="M1677" s="76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1">
        <f>Gastos[[#This Row],[Importe AR$]]/$N$1</f>
        <v>396.04488448844887</v>
      </c>
      <c r="M1678" s="76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1">
        <f>Gastos[[#This Row],[Importe AR$]]/$N$1</f>
        <v>1980.1980198019803</v>
      </c>
      <c r="M1679" s="76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1">
        <f>Gastos[[#This Row],[Importe AR$]]/$N$1</f>
        <v>198.01980198019803</v>
      </c>
      <c r="M1680" s="76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1">
        <f>Gastos[[#This Row],[Importe AR$]]/$N$1</f>
        <v>1980.1980198019803</v>
      </c>
      <c r="M1681" s="76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1">
        <f>Gastos[[#This Row],[Importe AR$]]/$N$1</f>
        <v>1089.1089108910892</v>
      </c>
      <c r="M1682" s="76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1">
        <f>Gastos[[#This Row],[Importe AR$]]/$N$1</f>
        <v>1654.125412541254</v>
      </c>
      <c r="M1683" s="76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1">
        <f>Gastos[[#This Row],[Importe AR$]]/$N$1</f>
        <v>2310.2310231023102</v>
      </c>
      <c r="M1684" s="76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1">
        <f>Gastos[[#This Row],[Importe AR$]]/$N$1</f>
        <v>1089.1089108910892</v>
      </c>
      <c r="M1685" s="76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1">
        <f>Gastos[[#This Row],[Importe AR$]]/$N$1</f>
        <v>600.66006600660069</v>
      </c>
      <c r="M1686" s="76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1">
        <f>Gastos[[#This Row],[Importe AR$]]/$N$1</f>
        <v>636.63366336633658</v>
      </c>
      <c r="M1687" s="76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1">
        <f>Gastos[[#This Row],[Importe AR$]]/$N$1</f>
        <v>2123.7029702970299</v>
      </c>
      <c r="M1688" s="76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1">
        <f>Gastos[[#This Row],[Importe AR$]]/$N$1</f>
        <v>636.63366336633658</v>
      </c>
      <c r="M1689" s="76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1">
        <f>Gastos[[#This Row],[Importe AR$]]/$N$1</f>
        <v>3300.3300330033003</v>
      </c>
      <c r="M1690" s="76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1">
        <f>Gastos[[#This Row],[Importe AR$]]/$N$1</f>
        <v>1980.1980198019803</v>
      </c>
      <c r="M1691" s="76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1">
        <f>Gastos[[#This Row],[Importe AR$]]/$N$1</f>
        <v>1539.2739273927393</v>
      </c>
      <c r="M1692" s="76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1">
        <f>Gastos[[#This Row],[Importe AR$]]/$N$1</f>
        <v>2310.2310231023102</v>
      </c>
      <c r="M1693" s="76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1">
        <f>Gastos[[#This Row],[Importe AR$]]/$N$1</f>
        <v>225.01828382838283</v>
      </c>
      <c r="M1694" s="76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1">
        <f>Gastos[[#This Row],[Importe AR$]]/$N$1</f>
        <v>291.74917491749176</v>
      </c>
      <c r="M1695" s="76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1">
        <f>Gastos[[#This Row],[Importe AR$]]/$N$1</f>
        <v>1650.1650165016501</v>
      </c>
      <c r="M1696" s="76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1">
        <f>Gastos[[#This Row],[Importe AR$]]/$N$1</f>
        <v>668.0792079207921</v>
      </c>
      <c r="M1697" s="76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1">
        <f>Gastos[[#This Row],[Importe AR$]]/$N$1</f>
        <v>696.36963696369639</v>
      </c>
      <c r="M1698" s="76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1">
        <f>Gastos[[#This Row],[Importe AR$]]/$N$1</f>
        <v>1320.1320132013202</v>
      </c>
      <c r="M1699" s="76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1">
        <f>Gastos[[#This Row],[Importe AR$]]/$N$1</f>
        <v>1320.1320132013202</v>
      </c>
      <c r="M1700" s="76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1">
        <f>Gastos[[#This Row],[Importe AR$]]/$N$1</f>
        <v>2640.2640264026404</v>
      </c>
      <c r="M1701" s="76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1">
        <f>Gastos[[#This Row],[Importe AR$]]/$N$1</f>
        <v>3300.3300330033003</v>
      </c>
      <c r="L1702" s="8"/>
      <c r="M1702" s="76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1">
        <f>Gastos[[#This Row],[Importe AR$]]/$N$1</f>
        <v>171.61716171617161</v>
      </c>
      <c r="M1703" s="76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1">
        <f>Gastos[[#This Row],[Importe AR$]]/$N$1</f>
        <v>660.0660066006601</v>
      </c>
      <c r="M1704" s="76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1">
        <f>Gastos[[#This Row],[Importe AR$]]/$N$1</f>
        <v>660.0660066006601</v>
      </c>
      <c r="M1705" s="76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1">
        <f>Gastos[[#This Row],[Importe AR$]]/$N$1</f>
        <v>1881.1881188118812</v>
      </c>
      <c r="M1706" s="76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1">
        <f>Gastos[[#This Row],[Importe AR$]]/$N$1</f>
        <v>1914.1914191419141</v>
      </c>
      <c r="L1707" s="8"/>
      <c r="M1707" s="76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1">
        <f>Gastos[[#This Row],[Importe AR$]]/$N$1</f>
        <v>71.287128712871294</v>
      </c>
      <c r="L1708" s="8"/>
      <c r="M1708" s="76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1">
        <f>Gastos[[#This Row],[Importe AR$]]/$N$1</f>
        <v>254.03168316831682</v>
      </c>
      <c r="L1709" s="8"/>
      <c r="M1709" s="76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1">
        <f>Gastos[[#This Row],[Importe AR$]]/$N$1</f>
        <v>366.33663366336634</v>
      </c>
      <c r="L1710" s="8"/>
      <c r="M1710" s="76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1">
        <f>Gastos[[#This Row],[Importe AR$]]/$N$1</f>
        <v>1320.1320132013202</v>
      </c>
      <c r="L1711" s="8"/>
      <c r="M1711" s="76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1">
        <f>Gastos[[#This Row],[Importe AR$]]/$N$1</f>
        <v>1369.3993399339934</v>
      </c>
      <c r="L1712" s="8"/>
      <c r="M1712" s="76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1">
        <f>Gastos[[#This Row],[Importe AR$]]/$N$1</f>
        <v>1650.1650165016501</v>
      </c>
      <c r="L1713" s="8"/>
      <c r="M1713" s="76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1">
        <f>Gastos[[#This Row],[Importe AR$]]/$N$1</f>
        <v>1493.7293729372936</v>
      </c>
      <c r="L1714" s="8"/>
      <c r="M1714" s="76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1">
        <f>Gastos[[#This Row],[Importe AR$]]/$N$1</f>
        <v>1493.7293729372936</v>
      </c>
      <c r="L1715" s="8"/>
      <c r="M1715" s="76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1">
        <f>Gastos[[#This Row],[Importe AR$]]/$N$1</f>
        <v>130.69306930693068</v>
      </c>
      <c r="L1716" s="8"/>
      <c r="M1716" s="76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1">
        <f>Gastos[[#This Row],[Importe AR$]]/$N$1</f>
        <v>1493.7293729372936</v>
      </c>
      <c r="L1717" s="8"/>
      <c r="M1717" s="76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1">
        <f>Gastos[[#This Row],[Importe AR$]]/$N$1</f>
        <v>1493.7293729372936</v>
      </c>
      <c r="L1718" s="8"/>
      <c r="M1718" s="76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1">
        <f>Gastos[[#This Row],[Importe AR$]]/$N$1</f>
        <v>1493.7293729372936</v>
      </c>
      <c r="L1719" s="8"/>
      <c r="M1719" s="76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1">
        <f>Gastos[[#This Row],[Importe AR$]]/$N$1</f>
        <v>1493.7293729372936</v>
      </c>
      <c r="L1720" s="8"/>
      <c r="M1720" s="76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1">
        <f>Gastos[[#This Row],[Importe AR$]]/$N$1</f>
        <v>1650.1650165016501</v>
      </c>
      <c r="L1721" s="8"/>
      <c r="M1721" s="76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1">
        <f>Gastos[[#This Row],[Importe AR$]]/$N$1</f>
        <v>990.09900990099015</v>
      </c>
      <c r="M1722" s="76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1">
        <f>Gastos[[#This Row],[Importe AR$]]/$N$1</f>
        <v>249.78151815181519</v>
      </c>
      <c r="M1723" s="76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1">
        <f>Gastos[[#This Row],[Importe AR$]]/$N$1</f>
        <v>250.82508250825083</v>
      </c>
      <c r="M1724" s="76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1">
        <f>Gastos[[#This Row],[Importe AR$]]/$N$1</f>
        <v>396.03960396039605</v>
      </c>
      <c r="M1725" s="76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1">
        <f>Gastos[[#This Row],[Importe AR$]]/$N$1</f>
        <v>396.03960396039605</v>
      </c>
      <c r="M1726" s="76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1">
        <f>Gastos[[#This Row],[Importe AR$]]/$N$1</f>
        <v>660.0660066006601</v>
      </c>
      <c r="M1727" s="76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1">
        <f>Gastos[[#This Row],[Importe AR$]]/$N$1</f>
        <v>914.52541254125413</v>
      </c>
      <c r="M1728" s="76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1">
        <f>Gastos[[#This Row],[Importe AR$]]/$N$1</f>
        <v>1493.7293729372936</v>
      </c>
      <c r="M1729" s="76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1">
        <f>Gastos[[#This Row],[Importe AR$]]/$N$1</f>
        <v>157.80198019801981</v>
      </c>
      <c r="M1730" s="76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1">
        <f>Gastos[[#This Row],[Importe AR$]]/$N$1</f>
        <v>774.66033003300322</v>
      </c>
      <c r="M1731" s="76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1">
        <f>Gastos[[#This Row],[Importe AR$]]/$N$1</f>
        <v>1195.8561056105611</v>
      </c>
      <c r="M1732" s="76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1">
        <f>Gastos[[#This Row],[Importe AR$]]/$N$1</f>
        <v>990.09900990099015</v>
      </c>
      <c r="M1733" s="76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1">
        <f>Gastos[[#This Row],[Importe AR$]]/$N$1</f>
        <v>172.27722772277227</v>
      </c>
      <c r="M1734" s="76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1">
        <f>Gastos[[#This Row],[Importe AR$]]/$N$1</f>
        <v>6600.6600660066006</v>
      </c>
      <c r="L1735" s="64"/>
      <c r="M1735" s="76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1">
        <f>Gastos[[#This Row],[Importe AR$]]/$N$1</f>
        <v>660.0660066006601</v>
      </c>
      <c r="M1736" s="76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1">
        <f>Gastos[[#This Row],[Importe AR$]]/$N$1</f>
        <v>244.92802640264028</v>
      </c>
      <c r="M1737" s="76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1">
        <f>Gastos[[#This Row],[Importe AR$]]/$N$1</f>
        <v>99.009900990099013</v>
      </c>
      <c r="M1738" s="76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1">
        <f>Gastos[[#This Row],[Importe AR$]]/$N$1</f>
        <v>1234.3234323432343</v>
      </c>
      <c r="M1739" s="76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1">
        <f>Gastos[[#This Row],[Importe AR$]]/$N$1</f>
        <v>264.02640264026405</v>
      </c>
      <c r="M1740" s="76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1">
        <f>Gastos[[#This Row],[Importe AR$]]/$N$1</f>
        <v>264.02640264026405</v>
      </c>
      <c r="M1741" s="76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1">
        <f>Gastos[[#This Row],[Importe AR$]]/$N$1</f>
        <v>264.02640264026405</v>
      </c>
      <c r="M1742" s="76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1">
        <f>Gastos[[#This Row],[Importe AR$]]/$N$1</f>
        <v>271.94719471947195</v>
      </c>
      <c r="M1743" s="76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1">
        <f>Gastos[[#This Row],[Importe AR$]]/$N$1</f>
        <v>462.04620462046205</v>
      </c>
      <c r="M1744" s="76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1">
        <f>Gastos[[#This Row],[Importe AR$]]/$N$1</f>
        <v>613.86138613861385</v>
      </c>
      <c r="M1745" s="76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1">
        <f>Gastos[[#This Row],[Importe AR$]]/$N$1</f>
        <v>11.617069306930693</v>
      </c>
      <c r="L1746" t="s">
        <v>340</v>
      </c>
      <c r="M1746" s="76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1">
        <f>Gastos[[#This Row],[Importe AR$]]/$N$1</f>
        <v>388.8765676567657</v>
      </c>
      <c r="M1747" s="76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1">
        <f>Gastos[[#This Row],[Importe AR$]]/$N$1</f>
        <v>388.8765676567657</v>
      </c>
      <c r="M1748" s="76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1">
        <f>Gastos[[#This Row],[Importe AR$]]/$N$1</f>
        <v>1383.7128712871288</v>
      </c>
      <c r="M1749" s="76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1">
        <f>Gastos[[#This Row],[Importe AR$]]/$N$1</f>
        <v>3300.3300330033003</v>
      </c>
      <c r="M1750" s="76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1">
        <f>Gastos[[#This Row],[Importe AR$]]/$N$1</f>
        <v>330.27801980198018</v>
      </c>
      <c r="M1751" s="76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1">
        <f>Gastos[[#This Row],[Importe AR$]]/$N$1</f>
        <v>985.72059405940593</v>
      </c>
      <c r="M1752" s="76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1">
        <f>Gastos[[#This Row],[Importe AR$]]/$N$1</f>
        <v>213.86666666666667</v>
      </c>
      <c r="M1753" s="76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1">
        <f>Gastos[[#This Row],[Importe AR$]]/$N$1</f>
        <v>267.1005082508251</v>
      </c>
      <c r="M1754" s="76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1">
        <f>Gastos[[#This Row],[Importe AR$]]/$N$1</f>
        <v>223.76674587458746</v>
      </c>
      <c r="M1755" s="76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1">
        <f>Gastos[[#This Row],[Importe AR$]]/$N$1</f>
        <v>823.1976303630363</v>
      </c>
      <c r="M1756" s="76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1">
        <f>Gastos[[#This Row],[Importe AR$]]/$N$1</f>
        <v>933.45924752475253</v>
      </c>
      <c r="L1757" t="s">
        <v>215</v>
      </c>
      <c r="M1757" s="76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1">
        <f>Gastos[[#This Row],[Importe AR$]]/$N$1</f>
        <v>1248.8578745874588</v>
      </c>
      <c r="M1758" s="76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1">
        <f>Gastos[[#This Row],[Importe AR$]]/$N$1</f>
        <v>673.60854785478546</v>
      </c>
      <c r="M1759" s="76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1">
        <f>Gastos[[#This Row],[Importe AR$]]/$N$1</f>
        <v>677.00351155115504</v>
      </c>
      <c r="M1760" s="76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1">
        <f>Gastos[[#This Row],[Importe AR$]]/$N$1</f>
        <v>1650.1650165016501</v>
      </c>
      <c r="M1761" s="76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1">
        <f>Gastos[[#This Row],[Importe AR$]]/$N$1</f>
        <v>7630.9138943894395</v>
      </c>
      <c r="M1762" s="76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1">
        <f>Gastos[[#This Row],[Importe AR$]]/$N$1</f>
        <v>7630.9185478547852</v>
      </c>
      <c r="M1763" s="76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1">
        <f>Gastos[[#This Row],[Importe AR$]]/$N$1</f>
        <v>210.38943894389439</v>
      </c>
      <c r="M1764" s="76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1">
        <f>Gastos[[#This Row],[Importe AR$]]/$N$1</f>
        <v>221.78217821782178</v>
      </c>
      <c r="M1765" s="76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1">
        <f>Gastos[[#This Row],[Importe AR$]]/$N$1</f>
        <v>279.86798679867985</v>
      </c>
      <c r="M1766" s="76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1">
        <f>Gastos[[#This Row],[Importe AR$]]/$N$1</f>
        <v>62.135920792079162</v>
      </c>
      <c r="M1767" s="76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1">
        <f>Gastos[[#This Row],[Importe AR$]]/$N$1</f>
        <v>1320.1320132013202</v>
      </c>
      <c r="M1768" s="76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1">
        <f>Gastos[[#This Row],[Importe AR$]]/$N$1</f>
        <v>280.52805280528054</v>
      </c>
      <c r="L1769" s="26">
        <v>46074</v>
      </c>
      <c r="M1769" s="76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1">
        <f>Gastos[[#This Row],[Importe AR$]]/$N$1</f>
        <v>55.445544554455445</v>
      </c>
      <c r="M1770" s="76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1">
        <f>Gastos[[#This Row],[Importe AR$]]/$N$1</f>
        <v>423.20049504950492</v>
      </c>
      <c r="M1771" s="76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1">
        <f>Gastos[[#This Row],[Importe AR$]]/$N$1</f>
        <v>412.54125412541254</v>
      </c>
      <c r="L1772" s="26">
        <v>46069</v>
      </c>
      <c r="M1772" s="76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1">
        <f>Gastos[[#This Row],[Importe AR$]]/$N$1</f>
        <v>1808.5808580858086</v>
      </c>
      <c r="M1773" s="76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1">
        <f>Gastos[[#This Row],[Importe AR$]]/$N$1</f>
        <v>157.71655445544553</v>
      </c>
      <c r="M1774" s="76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1">
        <f>Gastos[[#This Row],[Importe AR$]]/$N$1</f>
        <v>8.4985940594059404</v>
      </c>
      <c r="L1775" s="26"/>
      <c r="M1775" s="76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1">
        <f>Gastos[[#This Row],[Importe AR$]]/$N$1</f>
        <v>132.01320132013203</v>
      </c>
      <c r="M1776" s="76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1">
        <f>Gastos[[#This Row],[Importe AR$]]/$N$1</f>
        <v>396.03960396039605</v>
      </c>
      <c r="M1777" s="76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1">
        <f>Gastos[[#This Row],[Importe AR$]]/$N$1</f>
        <v>472.62013201320133</v>
      </c>
      <c r="M1778" s="76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1">
        <f>Gastos[[#This Row],[Importe AR$]]/$N$1</f>
        <v>815.63960396039602</v>
      </c>
      <c r="M1779" s="76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1">
        <f>Gastos[[#This Row],[Importe AR$]]/$N$1</f>
        <v>815.63960396039602</v>
      </c>
      <c r="M1780" s="76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1">
        <f>Gastos[[#This Row],[Importe AR$]]/$N$1</f>
        <v>1261.9405940594058</v>
      </c>
      <c r="M1781" s="76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1">
        <f>Gastos[[#This Row],[Importe AR$]]/$N$1</f>
        <v>535.6435643564356</v>
      </c>
      <c r="M1782" s="76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1">
        <f>Gastos[[#This Row],[Importe AR$]]/$N$1</f>
        <v>539.27392739273932</v>
      </c>
      <c r="M1783" s="76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1">
        <f>Gastos[[#This Row],[Importe AR$]]/$N$1</f>
        <v>582.83828382838283</v>
      </c>
      <c r="M1784" s="76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1">
        <f>Gastos[[#This Row],[Importe AR$]]/$N$1</f>
        <v>759.40594059405942</v>
      </c>
      <c r="M1785" s="76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1">
        <f>Gastos[[#This Row],[Importe AR$]]/$N$1</f>
        <v>1320.1320132013202</v>
      </c>
      <c r="M1786" s="76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1">
        <f>Gastos[[#This Row],[Importe AR$]]/$N$1</f>
        <v>3943.894389438944</v>
      </c>
      <c r="M1787" s="76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1">
        <f>Gastos[[#This Row],[Importe AR$]]/$N$1</f>
        <v>222.82918151815184</v>
      </c>
      <c r="M1788" s="76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1">
        <f>Gastos[[#This Row],[Importe AR$]]/$N$1</f>
        <v>117.19075907590759</v>
      </c>
      <c r="M1789" s="76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1">
        <f>Gastos[[#This Row],[Importe AR$]]/$N$1</f>
        <v>551.61320132013202</v>
      </c>
      <c r="M1790" s="76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1">
        <f>Gastos[[#This Row],[Importe AR$]]/$N$1</f>
        <v>660.0660066006601</v>
      </c>
      <c r="M1791" s="76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1">
        <f>Gastos[[#This Row],[Importe AR$]]/$N$1</f>
        <v>815.63960396039602</v>
      </c>
      <c r="M1792" s="76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1">
        <f>Gastos[[#This Row],[Importe AR$]]/$N$1</f>
        <v>990.09900990099015</v>
      </c>
      <c r="M1793" s="76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1">
        <f>Gastos[[#This Row],[Importe AR$]]/$N$1</f>
        <v>990.09900990099015</v>
      </c>
      <c r="M1794" s="76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1">
        <f>Gastos[[#This Row],[Importe AR$]]/$N$1</f>
        <v>946.85266666666666</v>
      </c>
      <c r="M1795" s="76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1">
        <f>Gastos[[#This Row],[Importe AR$]]/$N$1</f>
        <v>86.746534653465346</v>
      </c>
      <c r="M1796" s="76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1">
        <f>Gastos[[#This Row],[Importe AR$]]/$N$1</f>
        <v>624.45610561056105</v>
      </c>
      <c r="M1797" s="76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1">
        <f>Gastos[[#This Row],[Importe AR$]]/$N$1</f>
        <v>660.0660066006601</v>
      </c>
      <c r="M1798" s="76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1">
        <f>Gastos[[#This Row],[Importe AR$]]/$N$1</f>
        <v>204.31023102310232</v>
      </c>
      <c r="M1799" s="76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1">
        <f>Gastos[[#This Row],[Importe AR$]]/$N$1</f>
        <v>213.12871287128712</v>
      </c>
      <c r="M1800" s="76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1">
        <f>Gastos[[#This Row],[Importe AR$]]/$N$1</f>
        <v>9240.924092409241</v>
      </c>
      <c r="L1801" s="8"/>
      <c r="M1801" s="76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1">
        <f>Gastos[[#This Row],[Importe AR$]]/$N$1</f>
        <v>264.02640264026405</v>
      </c>
      <c r="M1802" s="76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1">
        <f>Gastos[[#This Row],[Importe AR$]]/$N$1</f>
        <v>669.38943894389433</v>
      </c>
      <c r="M1803" s="76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1">
        <f>Gastos[[#This Row],[Importe AR$]]/$N$1</f>
        <v>183.13531353135315</v>
      </c>
      <c r="M1804" s="76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1">
        <f>Gastos[[#This Row],[Importe AR$]]/$N$1</f>
        <v>192.53267326732674</v>
      </c>
      <c r="M1805" s="76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1">
        <f>Gastos[[#This Row],[Importe AR$]]/$N$1</f>
        <v>330.03300330033005</v>
      </c>
      <c r="M1806" s="76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1">
        <f>Gastos[[#This Row],[Importe AR$]]/$N$1</f>
        <v>528.0528052805281</v>
      </c>
      <c r="M1807" s="76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1">
        <f>Gastos[[#This Row],[Importe AR$]]/$N$1</f>
        <v>755.11551155115512</v>
      </c>
      <c r="M1808" s="76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1">
        <f>Gastos[[#This Row],[Importe AR$]]/$N$1</f>
        <v>36.813861386138612</v>
      </c>
      <c r="M1809" s="76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1">
        <f>Gastos[[#This Row],[Importe AR$]]/$N$1</f>
        <v>171.61716171617161</v>
      </c>
      <c r="M1810" s="76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1">
        <f>Gastos[[#This Row],[Importe AR$]]/$N$1</f>
        <v>172.39603960396039</v>
      </c>
      <c r="M1811" s="76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1">
        <f>Gastos[[#This Row],[Importe AR$]]/$N$1</f>
        <v>544.68456765676569</v>
      </c>
      <c r="M1812" s="76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1">
        <f>Gastos[[#This Row],[Importe AR$]]/$N$1</f>
        <v>132.01320132013203</v>
      </c>
      <c r="M1813" s="76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1">
        <f>Gastos[[#This Row],[Importe AR$]]/$N$1</f>
        <v>198.01980198019803</v>
      </c>
      <c r="M1814" s="76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1">
        <f>Gastos[[#This Row],[Importe AR$]]/$N$1</f>
        <v>309.75907590759078</v>
      </c>
      <c r="M1815" s="76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1">
        <f>Gastos[[#This Row],[Importe AR$]]/$N$1</f>
        <v>360.56105610561059</v>
      </c>
      <c r="M1816" s="76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1">
        <f>Gastos[[#This Row],[Importe AR$]]/$N$1</f>
        <v>465.37730033003299</v>
      </c>
      <c r="M1817" s="76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1">
        <f>Gastos[[#This Row],[Importe AR$]]/$N$1</f>
        <v>605.54785478547853</v>
      </c>
      <c r="M1818" s="76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1">
        <f>Gastos[[#This Row],[Importe AR$]]/$N$1</f>
        <v>726.07260726072604</v>
      </c>
      <c r="M1819" s="76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1">
        <f>Gastos[[#This Row],[Importe AR$]]/$N$1</f>
        <v>5.0237557755775573</v>
      </c>
      <c r="M1820" s="76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1">
        <f>Gastos[[#This Row],[Importe AR$]]/$N$1</f>
        <v>544.68456105610562</v>
      </c>
      <c r="M1821" s="76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1">
        <f>Gastos[[#This Row],[Importe AR$]]/$N$1</f>
        <v>12.471267326732674</v>
      </c>
      <c r="L1822" t="s">
        <v>340</v>
      </c>
      <c r="M1822" s="76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1">
        <f>Gastos[[#This Row],[Importe AR$]]/$N$1</f>
        <v>1320.1320132013202</v>
      </c>
      <c r="M1823" s="76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1">
        <f>Gastos[[#This Row],[Importe AR$]]/$N$1</f>
        <v>3300.3300330033003</v>
      </c>
      <c r="M1824" s="76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1">
        <f>Gastos[[#This Row],[Importe AR$]]/$N$1</f>
        <v>232.29851485148515</v>
      </c>
      <c r="M1825" s="76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1">
        <f>Gastos[[#This Row],[Importe AR$]]/$N$1</f>
        <v>807.35973597359737</v>
      </c>
      <c r="M1826" s="76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1">
        <f>Gastos[[#This Row],[Importe AR$]]/$N$1</f>
        <v>10.064838283828383</v>
      </c>
      <c r="M1827" s="76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1">
        <f>Gastos[[#This Row],[Importe AR$]]/$N$1</f>
        <v>118.81188118811882</v>
      </c>
      <c r="M1828" s="76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1">
        <f>Gastos[[#This Row],[Importe AR$]]/$N$1</f>
        <v>7582.9126336633672</v>
      </c>
      <c r="M1829" s="76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1">
        <f>Gastos[[#This Row],[Importe AR$]]/$N$1</f>
        <v>53.148521452145211</v>
      </c>
      <c r="M1830" s="76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1">
        <f>Gastos[[#This Row],[Importe AR$]]/$N$1</f>
        <v>54.145049504950492</v>
      </c>
      <c r="M1831" s="76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1">
        <f>Gastos[[#This Row],[Importe AR$]]/$N$1</f>
        <v>100.33004620462046</v>
      </c>
      <c r="M1832" s="76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1">
        <f>Gastos[[#This Row],[Importe AR$]]/$N$1</f>
        <v>330.03300330033005</v>
      </c>
      <c r="M1833" s="76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1">
        <f>Gastos[[#This Row],[Importe AR$]]/$N$1</f>
        <v>97.03366336633664</v>
      </c>
      <c r="M1834" s="76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1">
        <f>Gastos[[#This Row],[Importe AR$]]/$N$1</f>
        <v>448.84488448844883</v>
      </c>
      <c r="M1835" s="76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1">
        <f>Gastos[[#This Row],[Importe AR$]]/$N$1</f>
        <v>102.86996699669967</v>
      </c>
      <c r="M1836" s="76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1">
        <f>Gastos[[#This Row],[Importe AR$]]/$N$1</f>
        <v>795.49625742574267</v>
      </c>
      <c r="M1837" s="76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1">
        <f>Gastos[[#This Row],[Importe AR$]]/$N$1</f>
        <v>5.2805280528052805</v>
      </c>
      <c r="M1838" s="76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1">
        <f>Gastos[[#This Row],[Importe AR$]]/$N$1</f>
        <v>566.43128712871294</v>
      </c>
      <c r="M1839" s="76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1">
        <f>Gastos[[#This Row],[Importe AR$]]/$N$1</f>
        <v>951.3157755775577</v>
      </c>
      <c r="M1840" s="76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1">
        <f>Gastos[[#This Row],[Importe AR$]]/$N$1</f>
        <v>800.12044884488444</v>
      </c>
      <c r="M1841" s="76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1">
        <f>Gastos[[#This Row],[Importe AR$]]/$N$1</f>
        <v>660.60726072607258</v>
      </c>
      <c r="M1842" s="76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1">
        <f>Gastos[[#This Row],[Importe AR$]]/$N$1</f>
        <v>209.27306270627062</v>
      </c>
      <c r="M1843" s="76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1">
        <f>Gastos[[#This Row],[Importe AR$]]/$N$1</f>
        <v>236.34329372937296</v>
      </c>
      <c r="M1844" s="76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1">
        <f>Gastos[[#This Row],[Importe AR$]]/$N$1</f>
        <v>75.756580858085812</v>
      </c>
      <c r="M1845" s="76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1">
        <f>Gastos[[#This Row],[Importe AR$]]/$N$1</f>
        <v>951.3157755775577</v>
      </c>
      <c r="M1846" s="76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1">
        <f>Gastos[[#This Row],[Importe AR$]]/$N$1</f>
        <v>795.49625742574267</v>
      </c>
      <c r="M1847" s="76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1">
        <f>Gastos[[#This Row],[Importe AR$]]/$N$1</f>
        <v>136.42840264026404</v>
      </c>
      <c r="M1848" s="76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1">
        <f>Gastos[[#This Row],[Importe AR$]]/$N$1</f>
        <v>72.675557755775571</v>
      </c>
      <c r="M1849" s="76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1">
        <f>Gastos[[#This Row],[Importe AR$]]/$N$1</f>
        <v>496.31552475247526</v>
      </c>
      <c r="M1850" s="76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2">
        <f>Gastos[[#This Row],[Importe AR$]]/$N$1</f>
        <v>39.603960396039604</v>
      </c>
      <c r="M1851" s="76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1">
        <f>Gastos[[#This Row],[Importe AR$]]/$N$1</f>
        <v>39.604382838283826</v>
      </c>
      <c r="M1852" s="76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2">
        <f>Gastos[[#This Row],[Importe AR$]]/$N$1</f>
        <v>39.603960396039604</v>
      </c>
      <c r="M1853" s="76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1">
        <f>Gastos[[#This Row],[Importe AR$]]/$N$1</f>
        <v>39.603960396039604</v>
      </c>
      <c r="M1854" s="76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1">
        <f>Gastos[[#This Row],[Importe AR$]]/$N$1</f>
        <v>39.603960396039604</v>
      </c>
      <c r="M1855" s="76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1">
        <f>Gastos[[#This Row],[Importe AR$]]/$N$1</f>
        <v>39.603960396039604</v>
      </c>
      <c r="M1856" s="76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1">
        <f>Gastos[[#This Row],[Importe AR$]]/$N$1</f>
        <v>39.603933993399338</v>
      </c>
      <c r="M1857" s="76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1">
        <f>Gastos[[#This Row],[Importe AR$]]/$N$1</f>
        <v>39.603960396039604</v>
      </c>
      <c r="M1858" s="76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1">
        <f>Gastos[[#This Row],[Importe AR$]]/$N$1</f>
        <v>39.603960396039604</v>
      </c>
      <c r="M1859" s="76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1">
        <f>Gastos[[#This Row],[Importe AR$]]/$N$1</f>
        <v>42.909386138613861</v>
      </c>
      <c r="M1860" s="76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1">
        <f>Gastos[[#This Row],[Importe AR$]]/$N$1</f>
        <v>39.603960396039604</v>
      </c>
      <c r="M1861" s="76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1">
        <f>Gastos[[#This Row],[Importe AR$]]/$N$1</f>
        <v>39.603960396039604</v>
      </c>
      <c r="M1862" s="76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1">
        <f>Gastos[[#This Row],[Importe AR$]]/$N$1</f>
        <v>42.904290429042902</v>
      </c>
      <c r="M1863" s="76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1">
        <f>Gastos[[#This Row],[Importe AR$]]/$N$1</f>
        <v>42.904290429042902</v>
      </c>
      <c r="M1864" s="76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1">
        <f>Gastos[[#This Row],[Importe AR$]]/$N$1</f>
        <v>44.884488448844884</v>
      </c>
      <c r="M1865" s="76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1">
        <f>Gastos[[#This Row],[Importe AR$]]/$N$1</f>
        <v>42.904290429042902</v>
      </c>
      <c r="M1866" s="76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1">
        <f>Gastos[[#This Row],[Importe AR$]]/$N$1</f>
        <v>42.904290429042902</v>
      </c>
      <c r="M1867" s="76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1">
        <f>Gastos[[#This Row],[Importe AR$]]/$N$1</f>
        <v>42.904290429042902</v>
      </c>
      <c r="M1868" s="76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1">
        <f>Gastos[[#This Row],[Importe AR$]]/$N$1</f>
        <v>42.904290429042902</v>
      </c>
      <c r="M1869" s="76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1">
        <f>Gastos[[#This Row],[Importe AR$]]/$N$1</f>
        <v>42.904290429042902</v>
      </c>
      <c r="M1870" s="76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1">
        <f>Gastos[[#This Row],[Importe AR$]]/$N$1</f>
        <v>49.504950495049506</v>
      </c>
      <c r="M1871" s="76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1">
        <f>Gastos[[#This Row],[Importe AR$]]/$N$1</f>
        <v>49.504904290429039</v>
      </c>
      <c r="M1872" s="76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1">
        <f>Gastos[[#This Row],[Importe AR$]]/$N$1</f>
        <v>49.504917491749175</v>
      </c>
      <c r="M1873" s="76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1">
        <f>Gastos[[#This Row],[Importe AR$]]/$N$1</f>
        <v>49.504950495049506</v>
      </c>
      <c r="M1874" s="76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1">
        <f>Gastos[[#This Row],[Importe AR$]]/$N$1</f>
        <v>49.504924092409247</v>
      </c>
      <c r="M1875" s="76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1">
        <f>Gastos[[#This Row],[Importe AR$]]/$N$1</f>
        <v>49.504950495049506</v>
      </c>
      <c r="M1876" s="76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1">
        <f>Gastos[[#This Row],[Importe AR$]]/$N$1</f>
        <v>49.504950495049506</v>
      </c>
      <c r="M1877" s="76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1">
        <f>Gastos[[#This Row],[Importe AR$]]/$N$1</f>
        <v>49.504950495049506</v>
      </c>
      <c r="M1878" s="76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1">
        <f>Gastos[[#This Row],[Importe AR$]]/$N$1</f>
        <v>51.48511551155115</v>
      </c>
      <c r="M1879" s="76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1">
        <f>Gastos[[#This Row],[Importe AR$]]/$N$1</f>
        <v>51.48511551155115</v>
      </c>
      <c r="M1880" s="76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1">
        <f>Gastos[[#This Row],[Importe AR$]]/$N$1</f>
        <v>51.485174917491747</v>
      </c>
      <c r="M1881" s="76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1">
        <f>Gastos[[#This Row],[Importe AR$]]/$N$1</f>
        <v>23.732580858085807</v>
      </c>
      <c r="M1882" s="76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1">
        <f>Gastos[[#This Row],[Importe AR$]]/$N$1</f>
        <v>7582.9126336633672</v>
      </c>
      <c r="M1883" s="76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1">
        <f>Gastos[[#This Row],[Importe AR$]]/$N$1</f>
        <v>100.66006600660066</v>
      </c>
      <c r="L1884" t="s">
        <v>1426</v>
      </c>
      <c r="M1884" s="76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1">
        <f>Gastos[[#This Row],[Importe AR$]]/$N$1</f>
        <v>368.97689768976898</v>
      </c>
      <c r="L1885" t="s">
        <v>1426</v>
      </c>
      <c r="M1885" s="76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1">
        <f>Gastos[[#This Row],[Importe AR$]]/$N$1</f>
        <v>2546.0726072607263</v>
      </c>
      <c r="L1886" t="s">
        <v>2006</v>
      </c>
      <c r="M1886" s="76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1">
        <f>Gastos[[#This Row],[Importe AR$]]/$N$1</f>
        <v>174.91749174917493</v>
      </c>
      <c r="M1887" s="76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1">
        <f>Gastos[[#This Row],[Importe AR$]]/$N$1</f>
        <v>297.53330693069307</v>
      </c>
      <c r="M1888" s="76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1">
        <f>Gastos[[#This Row],[Importe AR$]]/$N$1</f>
        <v>174.08385478547854</v>
      </c>
      <c r="M1889" s="76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1">
        <f>Gastos[[#This Row],[Importe AR$]]/$N$1</f>
        <v>37.72957095709571</v>
      </c>
      <c r="M1890" s="76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1">
        <f>Gastos[[#This Row],[Importe AR$]]/$N$1</f>
        <v>21.295122112211221</v>
      </c>
      <c r="M1891" s="76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1">
        <f>Gastos[[#This Row],[Importe AR$]]/$N$1</f>
        <v>84.89108910891089</v>
      </c>
      <c r="M1892" s="76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1">
        <f>Gastos[[#This Row],[Importe AR$]]/$N$1</f>
        <v>440.42151815181518</v>
      </c>
      <c r="M1893" s="76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1">
        <f>Gastos[[#This Row],[Importe AR$]]/$N$1</f>
        <v>50.168316831683171</v>
      </c>
      <c r="M1894" s="76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1">
        <f>Gastos[[#This Row],[Importe AR$]]/$N$1</f>
        <v>46.868693069306936</v>
      </c>
      <c r="M1895" s="76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1">
        <f>Gastos[[#This Row],[Importe AR$]]/$N$1</f>
        <v>46.207234323432345</v>
      </c>
      <c r="M1896" s="76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1">
        <f>Gastos[[#This Row],[Importe AR$]]/$N$1</f>
        <v>46.204620462046208</v>
      </c>
      <c r="M1897" s="76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1">
        <f>Gastos[[#This Row],[Importe AR$]]/$N$1</f>
        <v>25.747201320132014</v>
      </c>
      <c r="M1898" s="76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1">
        <f>Gastos[[#This Row],[Importe AR$]]/$N$1</f>
        <v>48.858785478547851</v>
      </c>
      <c r="M1899" s="76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1">
        <f>Gastos[[#This Row],[Importe AR$]]/$N$1</f>
        <v>49.504950495049506</v>
      </c>
      <c r="M1900" s="76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1">
        <f>Gastos[[#This Row],[Importe AR$]]/$N$1</f>
        <v>40.924092409240927</v>
      </c>
      <c r="M1901" s="76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1">
        <f>Gastos[[#This Row],[Importe AR$]]/$N$1</f>
        <v>46.204620462046208</v>
      </c>
      <c r="M1902" s="76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1">
        <f>Gastos[[#This Row],[Importe AR$]]/$N$1</f>
        <v>42.904290429042902</v>
      </c>
      <c r="M1903" s="76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1">
        <f>Gastos[[#This Row],[Importe AR$]]/$N$1</f>
        <v>59.420798679867985</v>
      </c>
      <c r="M1904" s="76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1">
        <f>Gastos[[#This Row],[Importe AR$]]/$N$1</f>
        <v>58.745874587458744</v>
      </c>
      <c r="M1905" s="76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1">
        <f>Gastos[[#This Row],[Importe AR$]]/$N$1</f>
        <v>56.107590759075904</v>
      </c>
      <c r="M1906" s="76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1">
        <f>Gastos[[#This Row],[Importe AR$]]/$N$1</f>
        <v>57.431023102310228</v>
      </c>
      <c r="M1907" s="76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1">
        <f>Gastos[[#This Row],[Importe AR$]]/$N$1</f>
        <v>66.009940594059401</v>
      </c>
      <c r="M1908" s="76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1">
        <f>Gastos[[#This Row],[Importe AR$]]/$N$1</f>
        <v>66.006600660066013</v>
      </c>
      <c r="M1909" s="76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1">
        <f>Gastos[[#This Row],[Importe AR$]]/$N$1</f>
        <v>61.387419141914194</v>
      </c>
      <c r="M1910" s="76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1">
        <f>Gastos[[#This Row],[Importe AR$]]/$N$1</f>
        <v>174.43168316831682</v>
      </c>
      <c r="M1911" s="76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1">
        <f>Gastos[[#This Row],[Importe AR$]]/$N$1</f>
        <v>2401.5504950495051</v>
      </c>
      <c r="L1912" t="s">
        <v>1083</v>
      </c>
      <c r="M1912" s="76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1">
        <f>Gastos[[#This Row],[Importe AR$]]/$N$1</f>
        <v>2401.5504950495051</v>
      </c>
      <c r="L1913" t="s">
        <v>1083</v>
      </c>
      <c r="M1913" s="76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1">
        <f>Gastos[[#This Row],[Importe AR$]]/$N$1</f>
        <v>2007.2607260726072</v>
      </c>
      <c r="M1914" s="76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1">
        <f>Gastos[[#This Row],[Importe AR$]]/$N$1</f>
        <v>217.82178217821783</v>
      </c>
      <c r="M1915" s="76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1">
        <f>Gastos[[#This Row],[Importe AR$]]/$N$1</f>
        <v>310.23102310231025</v>
      </c>
      <c r="M1916" s="76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1">
        <f>Gastos[[#This Row],[Importe AR$]]/$N$1</f>
        <v>349.83498349834986</v>
      </c>
      <c r="M1917" s="76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1">
        <f>Gastos[[#This Row],[Importe AR$]]/$N$1</f>
        <v>377.77557755775575</v>
      </c>
      <c r="M1918" s="76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1">
        <f>Gastos[[#This Row],[Importe AR$]]/$N$1</f>
        <v>660.0660066006601</v>
      </c>
      <c r="M1919" s="76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1">
        <f>Gastos[[#This Row],[Importe AR$]]/$N$1</f>
        <v>365.01650165016503</v>
      </c>
      <c r="M1920" s="76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1">
        <f>Gastos[[#This Row],[Importe AR$]]/$N$1</f>
        <v>189.3025808580858</v>
      </c>
      <c r="M1921" s="76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1">
        <f>Gastos[[#This Row],[Importe AR$]]/$N$1</f>
        <v>1650.1650165016501</v>
      </c>
      <c r="M1922" s="76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1">
        <f>Gastos[[#This Row],[Importe AR$]]/$N$1</f>
        <v>1650.1650165016501</v>
      </c>
      <c r="M1923" s="76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1">
        <f>Gastos[[#This Row],[Importe AR$]]/$N$1</f>
        <v>138.56024422442243</v>
      </c>
      <c r="M1924" s="76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1">
        <f>Gastos[[#This Row],[Importe AR$]]/$N$1</f>
        <v>3300.3300330033003</v>
      </c>
      <c r="M1925" s="76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1">
        <f>Gastos[[#This Row],[Importe AR$]]/$N$1</f>
        <v>9900.9900990099013</v>
      </c>
      <c r="L1926" t="s">
        <v>215</v>
      </c>
      <c r="M1926" s="76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1">
        <f>Gastos[[#This Row],[Importe AR$]]/$N$1</f>
        <v>9900.9900990099013</v>
      </c>
      <c r="L1927" t="s">
        <v>289</v>
      </c>
      <c r="M1927" s="76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1">
        <f>Gastos[[#This Row],[Importe AR$]]/$N$1</f>
        <v>6600.6600660066006</v>
      </c>
      <c r="L1928" t="s">
        <v>215</v>
      </c>
      <c r="M1928" s="76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2">
        <f>Gastos[[#This Row],[Importe AR$]]/$N$1</f>
        <v>5971.9678877887791</v>
      </c>
      <c r="L1929" t="s">
        <v>2052</v>
      </c>
      <c r="M1929" s="76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1">
        <f>Gastos[[#This Row],[Importe AR$]]/$N$1</f>
        <v>1980.1980198019803</v>
      </c>
      <c r="M1930" s="76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1">
        <f>Gastos[[#This Row],[Importe AR$]]/$N$1</f>
        <v>82.009900990099013</v>
      </c>
      <c r="M1931" s="76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1">
        <f>Gastos[[#This Row],[Importe AR$]]/$N$1</f>
        <v>255.09873927392741</v>
      </c>
      <c r="M1932" s="76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1">
        <f>Gastos[[#This Row],[Importe AR$]]/$N$1</f>
        <v>1321.1221122112211</v>
      </c>
      <c r="M1933" s="76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1">
        <f>Gastos[[#This Row],[Importe AR$]]/$N$1</f>
        <v>1321.1221122112211</v>
      </c>
      <c r="M1934" s="76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1">
        <f>Gastos[[#This Row],[Importe AR$]]/$N$1</f>
        <v>1321.1221122112211</v>
      </c>
      <c r="M1935" s="76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1">
        <f>Gastos[[#This Row],[Importe AR$]]/$N$1</f>
        <v>1321.1221122112211</v>
      </c>
      <c r="M1936" s="76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1">
        <f>Gastos[[#This Row],[Importe AR$]]/$N$1</f>
        <v>1321.1221122112211</v>
      </c>
      <c r="M1937" s="76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1">
        <f>Gastos[[#This Row],[Importe AR$]]/$N$1</f>
        <v>1321.1221122112211</v>
      </c>
      <c r="M1938" s="76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1">
        <f>Gastos[[#This Row],[Importe AR$]]/$N$1</f>
        <v>1321.1221122112211</v>
      </c>
      <c r="M1939" s="76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1">
        <f>Gastos[[#This Row],[Importe AR$]]/$N$1</f>
        <v>1321.1221122112211</v>
      </c>
      <c r="M1940" s="76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1">
        <f>Gastos[[#This Row],[Importe AR$]]/$N$1</f>
        <v>5111.1990099009899</v>
      </c>
      <c r="M1941" s="76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1">
        <f>Gastos[[#This Row],[Importe AR$]]/$N$1</f>
        <v>385.88159075907589</v>
      </c>
      <c r="M1942" s="76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1">
        <f>Gastos[[#This Row],[Importe AR$]]/$N$1</f>
        <v>7665.1745808580863</v>
      </c>
      <c r="M1943" s="76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1">
        <f>Gastos[[#This Row],[Importe AR$]]/$N$1</f>
        <v>9537.7361452145215</v>
      </c>
      <c r="M1944" s="76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1">
        <f>Gastos[[#This Row],[Importe AR$]]/$N$1</f>
        <v>9537.7361386138618</v>
      </c>
      <c r="M1945" s="76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1">
        <f>Gastos[[#This Row],[Importe AR$]]/$N$1</f>
        <v>121.02099009900989</v>
      </c>
      <c r="M1946" s="76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1">
        <f>Gastos[[#This Row],[Importe AR$]]/$N$1</f>
        <v>367.52475247524751</v>
      </c>
      <c r="M1947" s="76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2">
        <f>Gastos[[#This Row],[Importe AR$]]/$N$1</f>
        <v>259.4101188118812</v>
      </c>
      <c r="M1948" s="76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1">
        <f>Gastos[[#This Row],[Importe AR$]]/$N$1</f>
        <v>264.02640264026405</v>
      </c>
      <c r="M1949" s="76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1">
        <f>Gastos[[#This Row],[Importe AR$]]/$N$1</f>
        <v>274.19520792079209</v>
      </c>
      <c r="M1950" s="76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1">
        <f>Gastos[[#This Row],[Importe AR$]]/$N$1</f>
        <v>179.70297029702971</v>
      </c>
      <c r="L1951" t="s">
        <v>983</v>
      </c>
      <c r="M1951" s="76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1">
        <f>Gastos[[#This Row],[Importe AR$]]/$N$1</f>
        <v>353.79537953795381</v>
      </c>
      <c r="M1952" s="76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1">
        <f>Gastos[[#This Row],[Importe AR$]]/$N$1</f>
        <v>130.71789438943892</v>
      </c>
      <c r="M1953" s="76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1">
        <f>Gastos[[#This Row],[Importe AR$]]/$N$1</f>
        <v>132.01320132013203</v>
      </c>
      <c r="M1954" s="76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1">
        <f>Gastos[[#This Row],[Importe AR$]]/$N$1</f>
        <v>330.03300330033005</v>
      </c>
      <c r="M1955" s="76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1">
        <f>Gastos[[#This Row],[Importe AR$]]/$N$1</f>
        <v>330.03300330033005</v>
      </c>
      <c r="M1956" s="76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1">
        <f>Gastos[[#This Row],[Importe AR$]]/$N$1</f>
        <v>32.041848184818484</v>
      </c>
      <c r="M1957" s="76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1">
        <f>Gastos[[#This Row],[Importe AR$]]/$N$1</f>
        <v>1263.3663366336634</v>
      </c>
      <c r="M1958" s="76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1">
        <f>Gastos[[#This Row],[Importe AR$]]/$N$1</f>
        <v>130.95709570957095</v>
      </c>
      <c r="M1959" s="76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1">
        <f>Gastos[[#This Row],[Importe AR$]]/$N$1</f>
        <v>257.42574257425741</v>
      </c>
      <c r="M1960" s="76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1">
        <f>Gastos[[#This Row],[Importe AR$]]/$N$1</f>
        <v>112.65424422442244</v>
      </c>
      <c r="M1961" s="76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1">
        <f>Gastos[[#This Row],[Importe AR$]]/$N$1</f>
        <v>350.19112211221125</v>
      </c>
      <c r="M1962" s="76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1">
        <f>Gastos[[#This Row],[Importe AR$]]/$N$1</f>
        <v>30.3416501650165</v>
      </c>
      <c r="M1963" s="76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1">
        <f>Gastos[[#This Row],[Importe AR$]]/$N$1</f>
        <v>495.04950495049508</v>
      </c>
      <c r="M1964" s="76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1">
        <f>Gastos[[#This Row],[Importe AR$]]/$N$1</f>
        <v>495.04950495049508</v>
      </c>
      <c r="M1965" s="76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1">
        <f>Gastos[[#This Row],[Importe AR$]]/$N$1</f>
        <v>858.08580858085804</v>
      </c>
      <c r="L1966" t="s">
        <v>215</v>
      </c>
      <c r="M1966" s="76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1">
        <f>Gastos[[#This Row],[Importe AR$]]/$N$1</f>
        <v>454.45544554455444</v>
      </c>
      <c r="M1967" s="76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1">
        <f>Gastos[[#This Row],[Importe AR$]]/$N$1</f>
        <v>125.41254125412541</v>
      </c>
      <c r="M1968" s="76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1">
        <f>Gastos[[#This Row],[Importe AR$]]/$N$1</f>
        <v>998.44884488448849</v>
      </c>
      <c r="M1969" s="76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1">
        <f>Gastos[[#This Row],[Importe AR$]]/$N$1</f>
        <v>1343.8943894389438</v>
      </c>
      <c r="M1970" s="76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1">
        <f>Gastos[[#This Row],[Importe AR$]]/$N$1</f>
        <v>1357.5522112211222</v>
      </c>
      <c r="M1971" s="76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1">
        <f>Gastos[[#This Row],[Importe AR$]]/$N$1</f>
        <v>646.64026402640263</v>
      </c>
      <c r="M1972" s="76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1">
        <f>Gastos[[#This Row],[Importe AR$]]/$N$1</f>
        <v>3356.2436963696373</v>
      </c>
      <c r="M1973" s="76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1">
        <f>Gastos[[#This Row],[Importe AR$]]/$N$1</f>
        <v>1562.2310231023102</v>
      </c>
      <c r="M1974" s="76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1">
        <f>Gastos[[#This Row],[Importe AR$]]/$N$1</f>
        <v>451.55475907590755</v>
      </c>
      <c r="M1975" s="76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1">
        <f>Gastos[[#This Row],[Importe AR$]]/$N$1</f>
        <v>199.09966996699669</v>
      </c>
      <c r="M1976" s="76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1">
        <f>Gastos[[#This Row],[Importe AR$]]/$N$1</f>
        <v>396.03960396039605</v>
      </c>
      <c r="M1977" s="76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1">
        <f>Gastos[[#This Row],[Importe AR$]]/$N$1</f>
        <v>584.97953795379533</v>
      </c>
      <c r="M1978" s="76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1">
        <f>Gastos[[#This Row],[Importe AR$]]/$N$1</f>
        <v>7582.9126336633672</v>
      </c>
      <c r="M1979" s="76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1">
        <f>Gastos[[#This Row],[Importe AR$]]/$N$1</f>
        <v>807.24422442244224</v>
      </c>
      <c r="M1980" s="76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1">
        <f>Gastos[[#This Row],[Importe AR$]]/$N$1</f>
        <v>2772.2772277227723</v>
      </c>
      <c r="M1981" s="76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1">
        <f>Gastos[[#This Row],[Importe AR$]]/$N$1</f>
        <v>4705.342396039604</v>
      </c>
      <c r="M1982" s="76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1">
        <f>Gastos[[#This Row],[Importe AR$]]/$N$1</f>
        <v>4705.342396039604</v>
      </c>
      <c r="M1983" s="76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1">
        <f>Gastos[[#This Row],[Importe AR$]]/$N$1</f>
        <v>528.0528052805281</v>
      </c>
      <c r="M1984" s="76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1">
        <f>Gastos[[#This Row],[Importe AR$]]/$N$1</f>
        <v>4.4884488448844886</v>
      </c>
      <c r="M1985" s="76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1">
        <f>Gastos[[#This Row],[Importe AR$]]/$N$1</f>
        <v>4705.3424026402645</v>
      </c>
      <c r="M1986" s="76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1">
        <f>Gastos[[#This Row],[Importe AR$]]/$N$1</f>
        <v>96.041254125412536</v>
      </c>
      <c r="M1987" s="76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2">
        <f>Gastos[[#This Row],[Importe AR$]]/$N$1</f>
        <v>3300.3300330033003</v>
      </c>
      <c r="M1988" s="76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1">
        <f>Gastos[[#This Row],[Importe AR$]]/$N$1</f>
        <v>330.03300330033005</v>
      </c>
      <c r="M1989" s="76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1">
        <f>Gastos[[#This Row],[Importe AR$]]/$N$1</f>
        <v>11156.831419141916</v>
      </c>
      <c r="M1990" s="76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1">
        <f>Gastos[[#This Row],[Importe AR$]]/$N$1</f>
        <v>80.905557755775575</v>
      </c>
      <c r="L1991" t="s">
        <v>215</v>
      </c>
      <c r="M1991" s="76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1">
        <f>Gastos[[#This Row],[Importe AR$]]/$N$1</f>
        <v>229.41172937293732</v>
      </c>
      <c r="L1992" t="s">
        <v>215</v>
      </c>
      <c r="M1992" s="76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1">
        <f>Gastos[[#This Row],[Importe AR$]]/$N$1</f>
        <v>255.97543894389437</v>
      </c>
      <c r="L1993" t="s">
        <v>215</v>
      </c>
      <c r="M1993" s="76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1">
        <f>Gastos[[#This Row],[Importe AR$]]/$N$1</f>
        <v>1199.518613861386</v>
      </c>
      <c r="L1994" t="s">
        <v>299</v>
      </c>
      <c r="M1994" s="76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1">
        <f>Gastos[[#This Row],[Importe AR$]]/$N$1</f>
        <v>63.515359735973597</v>
      </c>
      <c r="L1995" t="s">
        <v>299</v>
      </c>
      <c r="M1995" s="76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1">
        <f>Gastos[[#This Row],[Importe AR$]]/$N$1</f>
        <v>131.89105610561057</v>
      </c>
      <c r="L1996" t="s">
        <v>215</v>
      </c>
      <c r="M1996" s="76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1">
        <f>Gastos[[#This Row],[Importe AR$]]/$N$1</f>
        <v>826.90407920792074</v>
      </c>
      <c r="M1997" s="76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1">
        <f>Gastos[[#This Row],[Importe AR$]]/$N$1</f>
        <v>826.90407920792074</v>
      </c>
      <c r="M1998" s="76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1">
        <f>Gastos[[#This Row],[Importe AR$]]/$N$1</f>
        <v>1209.1059273927392</v>
      </c>
      <c r="M1999" s="76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1">
        <f>Gastos[[#This Row],[Importe AR$]]/$N$1</f>
        <v>112.20990099009902</v>
      </c>
      <c r="M2000" s="76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1">
        <f>Gastos[[#This Row],[Importe AR$]]/$N$1</f>
        <v>368.31683168316829</v>
      </c>
      <c r="M2001" s="76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1">
        <f>Gastos[[#This Row],[Importe AR$]]/$N$1</f>
        <v>17.093069306930694</v>
      </c>
      <c r="M2002" s="76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1">
        <f>Gastos[[#This Row],[Importe AR$]]/$N$1</f>
        <v>275.80422442244225</v>
      </c>
      <c r="M2003" s="76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1">
        <f>Gastos[[#This Row],[Importe AR$]]/$N$1</f>
        <v>361.87175577557753</v>
      </c>
      <c r="M2004" s="76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1">
        <f>Gastos[[#This Row],[Importe AR$]]/$N$1</f>
        <v>534.61899009900992</v>
      </c>
      <c r="M2005" s="76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1">
        <f>Gastos[[#This Row],[Importe AR$]]/$N$1</f>
        <v>122.49532013201321</v>
      </c>
      <c r="M2006" s="76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1">
        <f>Gastos[[#This Row],[Importe AR$]]/$N$1</f>
        <v>1506.3421782178218</v>
      </c>
      <c r="L2007" t="s">
        <v>215</v>
      </c>
      <c r="M2007" s="76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1">
        <f>Gastos[[#This Row],[Importe AR$]]/$N$1</f>
        <v>185.04625082508252</v>
      </c>
      <c r="M2008" s="76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1">
        <f>Gastos[[#This Row],[Importe AR$]]/$N$1</f>
        <v>221.80799999999999</v>
      </c>
      <c r="M2009" s="76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1">
        <f>Gastos[[#This Row],[Importe AR$]]/$N$1</f>
        <v>227.78036303630364</v>
      </c>
      <c r="M2010" s="76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1">
        <f>Gastos[[#This Row],[Importe AR$]]/$N$1</f>
        <v>9.0814257425742575</v>
      </c>
      <c r="M2011" s="76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1">
        <f>Gastos[[#This Row],[Importe AR$]]/$N$1</f>
        <v>1287.1287128712872</v>
      </c>
      <c r="M2012" s="76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1">
        <f>Gastos[[#This Row],[Importe AR$]]/$N$1</f>
        <v>459.3708250825083</v>
      </c>
      <c r="M2013" s="76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1">
        <f>Gastos[[#This Row],[Importe AR$]]/$N$1</f>
        <v>410.24343234323436</v>
      </c>
      <c r="M2014" s="76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1">
        <f>Gastos[[#This Row],[Importe AR$]]/$N$1</f>
        <v>165.01650165016503</v>
      </c>
      <c r="M2015" s="76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1">
        <f>Gastos[[#This Row],[Importe AR$]]/$N$1</f>
        <v>13.201320132013201</v>
      </c>
      <c r="M2016" s="76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1">
        <f>Gastos[[#This Row],[Importe AR$]]/$N$1</f>
        <v>13.201320132013201</v>
      </c>
      <c r="M2017" s="76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1">
        <f>Gastos[[#This Row],[Importe AR$]]/$N$1</f>
        <v>26.402640264026402</v>
      </c>
      <c r="M2018" s="76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1">
        <f>Gastos[[#This Row],[Importe AR$]]/$N$1</f>
        <v>83.828382838283829</v>
      </c>
      <c r="M2019" s="76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1">
        <f>Gastos[[#This Row],[Importe AR$]]/$N$1</f>
        <v>74.590099009900996</v>
      </c>
      <c r="M2020" s="76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1">
        <f>Gastos[[#This Row],[Importe AR$]]/$N$1</f>
        <v>85.808580858085804</v>
      </c>
      <c r="M2021" s="76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1">
        <f>Gastos[[#This Row],[Importe AR$]]/$N$1</f>
        <v>33.663366336633665</v>
      </c>
      <c r="M2022" s="76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1">
        <f>Gastos[[#This Row],[Importe AR$]]/$N$1</f>
        <v>94.394059405940595</v>
      </c>
      <c r="M2023" s="76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1">
        <f>Gastos[[#This Row],[Importe AR$]]/$N$1</f>
        <v>104.29042904290429</v>
      </c>
      <c r="M2024" s="76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1">
        <f>Gastos[[#This Row],[Importe AR$]]/$N$1</f>
        <v>105.63163036303631</v>
      </c>
      <c r="M2025" s="76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1">
        <f>Gastos[[#This Row],[Importe AR$]]/$N$1</f>
        <v>104.95247524752476</v>
      </c>
      <c r="M2026" s="76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1">
        <f>Gastos[[#This Row],[Importe AR$]]/$N$1</f>
        <v>66.023353135313528</v>
      </c>
      <c r="M2027" s="76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1">
        <f>Gastos[[#This Row],[Importe AR$]]/$N$1</f>
        <v>67.991419141914193</v>
      </c>
      <c r="M2028" s="76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1">
        <f>Gastos[[#This Row],[Importe AR$]]/$N$1</f>
        <v>67.955782178217817</v>
      </c>
      <c r="M2029" s="76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1">
        <f>Gastos[[#This Row],[Importe AR$]]/$N$1</f>
        <v>26.402640264026402</v>
      </c>
      <c r="M2030" s="76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1">
        <f>Gastos[[#This Row],[Importe AR$]]/$N$1</f>
        <v>1399.1375115511551</v>
      </c>
      <c r="M2031" s="76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1">
        <f>Gastos[[#This Row],[Importe AR$]]/$N$1</f>
        <v>1399.1375115511551</v>
      </c>
      <c r="M2032" s="76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1">
        <f>Gastos[[#This Row],[Importe AR$]]/$N$1</f>
        <v>1399.1375181518151</v>
      </c>
      <c r="M2033" s="76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1">
        <f>Gastos[[#This Row],[Importe AR$]]/$N$1</f>
        <v>3503.8646864686471</v>
      </c>
      <c r="L2034" t="s">
        <v>2173</v>
      </c>
      <c r="M2034" s="76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1">
        <f>Gastos[[#This Row],[Importe AR$]]/$N$1</f>
        <v>11384.745240924092</v>
      </c>
      <c r="L2035" t="s">
        <v>215</v>
      </c>
      <c r="M2035" s="76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1">
        <f>Gastos[[#This Row],[Importe AR$]]/$N$1</f>
        <v>11384.745240924092</v>
      </c>
      <c r="L2036" t="s">
        <v>1199</v>
      </c>
      <c r="M2036" s="76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1">
        <f>Gastos[[#This Row],[Importe AR$]]/$N$1</f>
        <v>203.05174917491752</v>
      </c>
      <c r="L2037" t="s">
        <v>215</v>
      </c>
      <c r="M2037" s="76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1">
        <f>Gastos[[#This Row],[Importe AR$]]/$N$1</f>
        <v>268.27788778877886</v>
      </c>
      <c r="L2038" t="s">
        <v>215</v>
      </c>
      <c r="M2038" s="76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1">
        <f>Gastos[[#This Row],[Importe AR$]]/$N$1</f>
        <v>396.03960396039605</v>
      </c>
      <c r="L2039" t="s">
        <v>215</v>
      </c>
      <c r="M2039" s="76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1">
        <f>Gastos[[#This Row],[Importe AR$]]/$N$1</f>
        <v>429.04290429042902</v>
      </c>
      <c r="L2040" t="s">
        <v>215</v>
      </c>
      <c r="M2040" s="76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1">
        <f>Gastos[[#This Row],[Importe AR$]]/$N$1</f>
        <v>462.04620462046205</v>
      </c>
      <c r="L2041" t="s">
        <v>215</v>
      </c>
      <c r="M2041" s="76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1">
        <f>Gastos[[#This Row],[Importe AR$]]/$N$1</f>
        <v>462.04620462046205</v>
      </c>
      <c r="L2042" t="s">
        <v>215</v>
      </c>
      <c r="M2042" s="76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1">
        <f>Gastos[[#This Row],[Importe AR$]]/$N$1</f>
        <v>471.16633663366338</v>
      </c>
      <c r="L2043" t="s">
        <v>215</v>
      </c>
      <c r="M2043" s="76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1">
        <f>Gastos[[#This Row],[Importe AR$]]/$N$1</f>
        <v>536.30363036303629</v>
      </c>
      <c r="L2044" t="s">
        <v>215</v>
      </c>
      <c r="M2044" s="76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1">
        <f>Gastos[[#This Row],[Importe AR$]]/$N$1</f>
        <v>660.0660066006601</v>
      </c>
      <c r="L2045" t="s">
        <v>215</v>
      </c>
      <c r="M2045" s="76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1">
        <f>Gastos[[#This Row],[Importe AR$]]/$N$1</f>
        <v>853.99339933993394</v>
      </c>
      <c r="L2046" t="s">
        <v>215</v>
      </c>
      <c r="M2046" s="76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1">
        <f>Gastos[[#This Row],[Importe AR$]]/$N$1</f>
        <v>914.86996699669965</v>
      </c>
      <c r="L2047" t="s">
        <v>215</v>
      </c>
      <c r="M2047" s="76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1">
        <f>Gastos[[#This Row],[Importe AR$]]/$N$1</f>
        <v>990.09900990099015</v>
      </c>
      <c r="L2048" t="s">
        <v>215</v>
      </c>
      <c r="M2048" s="76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1">
        <f>Gastos[[#This Row],[Importe AR$]]/$N$1</f>
        <v>1016.0658085808581</v>
      </c>
      <c r="L2049" t="s">
        <v>215</v>
      </c>
      <c r="M2049" s="76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1">
        <f>Gastos[[#This Row],[Importe AR$]]/$N$1</f>
        <v>1056.1056105610562</v>
      </c>
      <c r="L2050" t="s">
        <v>215</v>
      </c>
      <c r="M2050" s="76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1">
        <f>Gastos[[#This Row],[Importe AR$]]/$N$1</f>
        <v>1089.1089108910892</v>
      </c>
      <c r="L2051" t="s">
        <v>215</v>
      </c>
      <c r="M2051" s="76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1">
        <f>Gastos[[#This Row],[Importe AR$]]/$N$1</f>
        <v>1716.1716171617161</v>
      </c>
      <c r="L2052" t="s">
        <v>215</v>
      </c>
      <c r="M2052" s="76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1">
        <f>Gastos[[#This Row],[Importe AR$]]/$N$1</f>
        <v>1980.1980198019803</v>
      </c>
      <c r="L2053" t="s">
        <v>215</v>
      </c>
      <c r="M2053" s="76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1">
        <f>Gastos[[#This Row],[Importe AR$]]/$N$1</f>
        <v>6741.843907590759</v>
      </c>
      <c r="L2054" t="s">
        <v>215</v>
      </c>
      <c r="M2054" s="76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1">
        <f>Gastos[[#This Row],[Importe AR$]]/$N$1</f>
        <v>3300.3300330033003</v>
      </c>
      <c r="M2055" s="76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1">
        <f>Gastos[[#This Row],[Importe AR$]]/$N$1</f>
        <v>2596.6233003300331</v>
      </c>
      <c r="M2056" s="76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1">
        <f>Gastos[[#This Row],[Importe AR$]]/$N$1</f>
        <v>491.48514851485146</v>
      </c>
      <c r="M2057" s="76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1">
        <f>Gastos[[#This Row],[Importe AR$]]/$N$1</f>
        <v>491.48514851485146</v>
      </c>
      <c r="M2058" s="76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1">
        <f>Gastos[[#This Row],[Importe AR$]]/$N$1</f>
        <v>491.48514851485146</v>
      </c>
      <c r="M2059" s="76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1">
        <f>Gastos[[#This Row],[Importe AR$]]/$N$1</f>
        <v>491.48514851485146</v>
      </c>
      <c r="M2060" s="76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1">
        <f>Gastos[[#This Row],[Importe AR$]]/$N$1</f>
        <v>491.48514851485146</v>
      </c>
      <c r="M2061" s="76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1">
        <f>Gastos[[#This Row],[Importe AR$]]/$N$1</f>
        <v>491.48514851485146</v>
      </c>
      <c r="M2062" s="76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1">
        <f>Gastos[[#This Row],[Importe AR$]]/$N$1</f>
        <v>2479.2079207920792</v>
      </c>
      <c r="M2063" s="76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1">
        <f>Gastos[[#This Row],[Importe AR$]]/$N$1</f>
        <v>6067.2216765676567</v>
      </c>
      <c r="M2064" s="76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1">
        <f>Gastos[[#This Row],[Importe AR$]]/$N$1</f>
        <v>2341.9872145214522</v>
      </c>
      <c r="M2065" s="76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1">
        <f>Gastos[[#This Row],[Importe AR$]]/$N$1</f>
        <v>4996.439729372938</v>
      </c>
      <c r="M2066" s="76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1">
        <f>Gastos[[#This Row],[Importe AR$]]/$N$1</f>
        <v>6030.9893267326734</v>
      </c>
      <c r="M2067" s="76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1">
        <f>Gastos[[#This Row],[Importe AR$]]/$N$1</f>
        <v>8624.9707524752466</v>
      </c>
      <c r="M2068" s="76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1">
        <f>Gastos[[#This Row],[Importe AR$]]/$N$1</f>
        <v>234.2505610561056</v>
      </c>
      <c r="M2069" s="76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1">
        <f>Gastos[[#This Row],[Importe AR$]]/$N$1</f>
        <v>108.11596699669967</v>
      </c>
      <c r="M2070" s="76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1">
        <f>Gastos[[#This Row],[Importe AR$]]/$N$1</f>
        <v>43.567683168316826</v>
      </c>
      <c r="M2071" s="76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1">
        <f>Gastos[[#This Row],[Importe AR$]]/$N$1</f>
        <v>858.08580858085804</v>
      </c>
      <c r="M2072" s="76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1">
        <f>Gastos[[#This Row],[Importe AR$]]/$N$1</f>
        <v>745.87458745874585</v>
      </c>
      <c r="M2073" s="76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1">
        <f>Gastos[[#This Row],[Importe AR$]]/$N$1</f>
        <v>745.87458745874585</v>
      </c>
      <c r="M2074" s="76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1">
        <f>Gastos[[#This Row],[Importe AR$]]/$N$1</f>
        <v>46.209214521452147</v>
      </c>
      <c r="M2075" s="76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1">
        <f>Gastos[[#This Row],[Importe AR$]]/$N$1</f>
        <v>745.87458745874585</v>
      </c>
      <c r="M2076" s="76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1">
        <f>Gastos[[#This Row],[Importe AR$]]/$N$1</f>
        <v>45.214521452145213</v>
      </c>
      <c r="M2077" s="76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1">
        <f>Gastos[[#This Row],[Importe AR$]]/$N$1</f>
        <v>404.94653465346533</v>
      </c>
      <c r="M2078" s="76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1">
        <f>Gastos[[#This Row],[Importe AR$]]/$N$1</f>
        <v>660.0660066006601</v>
      </c>
      <c r="M2079" s="76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1">
        <f>Gastos[[#This Row],[Importe AR$]]/$N$1</f>
        <v>24.096369636963697</v>
      </c>
      <c r="M2080" s="76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1">
        <f>Gastos[[#This Row],[Importe AR$]]/$N$1</f>
        <v>1584.1584158415842</v>
      </c>
      <c r="L2081" t="s">
        <v>299</v>
      </c>
      <c r="M2081" s="76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1">
        <f>Gastos[[#This Row],[Importe AR$]]/$N$1</f>
        <v>132.01320132013203</v>
      </c>
      <c r="L2082" t="s">
        <v>299</v>
      </c>
      <c r="M2082" s="76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1">
        <f>Gastos[[#This Row],[Importe AR$]]/$N$1</f>
        <v>159.53135313531354</v>
      </c>
      <c r="L2083" t="s">
        <v>299</v>
      </c>
      <c r="M2083" s="76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1">
        <f>Gastos[[#This Row],[Importe AR$]]/$N$1</f>
        <v>198.01980198019803</v>
      </c>
      <c r="L2084" t="s">
        <v>299</v>
      </c>
      <c r="M2084" s="76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1">
        <f>Gastos[[#This Row],[Importe AR$]]/$N$1</f>
        <v>314.21883828382835</v>
      </c>
      <c r="L2085" t="s">
        <v>299</v>
      </c>
      <c r="M2085" s="76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1">
        <f>Gastos[[#This Row],[Importe AR$]]/$N$1</f>
        <v>768.97689768976898</v>
      </c>
      <c r="L2086" t="s">
        <v>299</v>
      </c>
      <c r="M2086" s="76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1">
        <f>Gastos[[#This Row],[Importe AR$]]/$N$1</f>
        <v>27.48505610561056</v>
      </c>
      <c r="L2087" t="s">
        <v>299</v>
      </c>
      <c r="M2087" s="76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1">
        <f>Gastos[[#This Row],[Importe AR$]]/$N$1</f>
        <v>231.02310231023102</v>
      </c>
      <c r="M2088" s="76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1">
        <f>Gastos[[#This Row],[Importe AR$]]/$N$1</f>
        <v>132.01320132013203</v>
      </c>
      <c r="M2089" s="76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1">
        <f>Gastos[[#This Row],[Importe AR$]]/$N$1</f>
        <v>132.01320132013203</v>
      </c>
      <c r="M2090" s="76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1">
        <f>Gastos[[#This Row],[Importe AR$]]/$N$1</f>
        <v>269.26732673267327</v>
      </c>
      <c r="M2091" s="76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3">
        <f>Gastos[[#This Row],[Importe AR$]]/$N$1</f>
        <v>660.0660066006601</v>
      </c>
      <c r="M2092" s="76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1">
        <f>Gastos[[#This Row],[Importe AR$]]/$N$1</f>
        <v>335.76840264026401</v>
      </c>
      <c r="M2093" s="76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1">
        <f>Gastos[[#This Row],[Importe AR$]]/$N$1</f>
        <v>335.76839603960394</v>
      </c>
      <c r="M2094" s="76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1">
        <f>Gastos[[#This Row],[Importe AR$]]/$N$1</f>
        <v>1636.4243498349836</v>
      </c>
      <c r="M2095" s="76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1">
        <f>Gastos[[#This Row],[Importe AR$]]/$N$1</f>
        <v>1004.9227326732673</v>
      </c>
      <c r="M2096" s="76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1">
        <f>Gastos[[#This Row],[Importe AR$]]/$N$1</f>
        <v>1448.9871881188117</v>
      </c>
      <c r="M2097" s="76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1">
        <f>Gastos[[#This Row],[Importe AR$]]/$N$1</f>
        <v>670.08945874587459</v>
      </c>
      <c r="M2098" s="76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1">
        <f>Gastos[[#This Row],[Importe AR$]]/$N$1</f>
        <v>1420.6317227722773</v>
      </c>
      <c r="M2099" s="76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1">
        <f>Gastos[[#This Row],[Importe AR$]]/$N$1</f>
        <v>834.77431023102315</v>
      </c>
      <c r="M2100" s="76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1">
        <f>Gastos[[#This Row],[Importe AR$]]/$N$1</f>
        <v>660.0660066006601</v>
      </c>
      <c r="M2101" s="76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1">
        <f>Gastos[[#This Row],[Importe AR$]]/$N$1</f>
        <v>92.409240924092416</v>
      </c>
      <c r="M2102" s="76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1">
        <f>Gastos[[#This Row],[Importe AR$]]/$N$1</f>
        <v>99.009900990099013</v>
      </c>
      <c r="M2103" s="76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1">
        <f>Gastos[[#This Row],[Importe AR$]]/$N$1</f>
        <v>66.006600660066013</v>
      </c>
      <c r="M2104" s="76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1">
        <f>Gastos[[#This Row],[Importe AR$]]/$N$1</f>
        <v>66.006600660066013</v>
      </c>
      <c r="M2105" s="76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1">
        <f>Gastos[[#This Row],[Importe AR$]]/$N$1</f>
        <v>85.808580858085804</v>
      </c>
      <c r="M2106" s="76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1">
        <f>Gastos[[#This Row],[Importe AR$]]/$N$1</f>
        <v>171.61716171617161</v>
      </c>
      <c r="M2107" s="76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1">
        <f>Gastos[[#This Row],[Importe AR$]]/$N$1</f>
        <v>85.808580858085804</v>
      </c>
      <c r="M2108" s="76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1">
        <f>Gastos[[#This Row],[Importe AR$]]/$N$1</f>
        <v>85.808580858085804</v>
      </c>
      <c r="M2109" s="76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1">
        <f>Gastos[[#This Row],[Importe AR$]]/$N$1</f>
        <v>112.21122112211221</v>
      </c>
      <c r="M2110" s="76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1">
        <f>Gastos[[#This Row],[Importe AR$]]/$N$1</f>
        <v>46.204620462046208</v>
      </c>
      <c r="L2111" t="s">
        <v>1713</v>
      </c>
      <c r="M2111" s="76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1">
        <f>Gastos[[#This Row],[Importe AR$]]/$N$1</f>
        <v>79.207920792079207</v>
      </c>
      <c r="M2112" s="76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1">
        <f>Gastos[[#This Row],[Importe AR$]]/$N$1</f>
        <v>36.303630363036305</v>
      </c>
      <c r="M2113" s="76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1">
        <f>Gastos[[#This Row],[Importe AR$]]/$N$1</f>
        <v>79.207920792079207</v>
      </c>
      <c r="M2114" s="76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1">
        <f>Gastos[[#This Row],[Importe AR$]]/$N$1</f>
        <v>145.21452145214522</v>
      </c>
      <c r="M2115" s="76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1">
        <f>Gastos[[#This Row],[Importe AR$]]/$N$1</f>
        <v>264.02640264026405</v>
      </c>
      <c r="M2116" s="76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1">
        <f>Gastos[[#This Row],[Importe AR$]]/$N$1</f>
        <v>293.7293729372937</v>
      </c>
      <c r="M2117" s="76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1">
        <f>Gastos[[#This Row],[Importe AR$]]/$N$1</f>
        <v>1122.1122112211222</v>
      </c>
      <c r="M2118" s="76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1">
        <f>Gastos[[#This Row],[Importe AR$]]/$N$1</f>
        <v>151.8151815181518</v>
      </c>
      <c r="M2119" s="76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1">
        <f>Gastos[[#This Row],[Importe AR$]]/$N$1</f>
        <v>165.01650165016503</v>
      </c>
      <c r="M2120" s="76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1">
        <f>Gastos[[#This Row],[Importe AR$]]/$N$1</f>
        <v>9.1631155115511564</v>
      </c>
      <c r="M2121" s="76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1">
        <f>Gastos[[#This Row],[Importe AR$]]/$N$1</f>
        <v>627.14365016501654</v>
      </c>
      <c r="M2122" s="76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1">
        <f>Gastos[[#This Row],[Importe AR$]]/$N$1</f>
        <v>1174.7650363036303</v>
      </c>
      <c r="M2123" s="76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1">
        <f>Gastos[[#This Row],[Importe AR$]]/$N$1</f>
        <v>1650.1650165016501</v>
      </c>
      <c r="M2124" s="76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1">
        <f>Gastos[[#This Row],[Importe AR$]]/$N$1</f>
        <v>9.0085808580858089</v>
      </c>
      <c r="M2125" s="76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1">
        <f>Gastos[[#This Row],[Importe AR$]]/$N$1</f>
        <v>7582.9126336633672</v>
      </c>
      <c r="M2126" s="76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1">
        <f>Gastos[[#This Row],[Importe AR$]]/$N$1</f>
        <v>521.37293729372936</v>
      </c>
      <c r="M2127" s="76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1">
        <f>Gastos[[#This Row],[Importe AR$]]/$N$1</f>
        <v>132.01320132013203</v>
      </c>
      <c r="M2128" s="76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1">
        <f>Gastos[[#This Row],[Importe AR$]]/$N$1</f>
        <v>330.03300330033005</v>
      </c>
      <c r="M2129" s="76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1">
        <f>Gastos[[#This Row],[Importe AR$]]/$N$1</f>
        <v>90.111551155115507</v>
      </c>
      <c r="M2130" s="76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1">
        <f>Gastos[[#This Row],[Importe AR$]]/$N$1</f>
        <v>71.881188118811878</v>
      </c>
      <c r="M2131" s="76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1">
        <f>Gastos[[#This Row],[Importe AR$]]/$N$1</f>
        <v>207.92079207920793</v>
      </c>
      <c r="M2132" s="76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1">
        <f>Gastos[[#This Row],[Importe AR$]]/$N$1</f>
        <v>18.67986798679868</v>
      </c>
      <c r="M2133" s="76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1">
        <f>Gastos[[#This Row],[Importe AR$]]/$N$1</f>
        <v>757.01650165016497</v>
      </c>
      <c r="M2134" s="76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1">
        <f>Gastos[[#This Row],[Importe AR$]]/$N$1</f>
        <v>792.0792079207921</v>
      </c>
      <c r="M2135" s="76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1">
        <f>Gastos[[#This Row],[Importe AR$]]/$N$1</f>
        <v>245.8384686468647</v>
      </c>
      <c r="M2136" s="76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1">
        <f>Gastos[[#This Row],[Importe AR$]]/$N$1</f>
        <v>9602.424231023102</v>
      </c>
      <c r="M2137" s="76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1">
        <f>Gastos[[#This Row],[Importe AR$]]/$N$1</f>
        <v>384.48844884488449</v>
      </c>
      <c r="M2138" s="76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1">
        <f>Gastos[[#This Row],[Importe AR$]]/$N$1</f>
        <v>412.54125412541254</v>
      </c>
      <c r="M2139" s="76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1">
        <f>Gastos[[#This Row],[Importe AR$]]/$N$1</f>
        <v>430.79207920792078</v>
      </c>
      <c r="M2140" s="76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1">
        <f>Gastos[[#This Row],[Importe AR$]]/$N$1</f>
        <v>9536.6336633663359</v>
      </c>
      <c r="M2141" s="76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1">
        <f>Gastos[[#This Row],[Importe AR$]]/$N$1</f>
        <v>92.409240924092416</v>
      </c>
      <c r="M2142" s="76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1">
        <f>Gastos[[#This Row],[Importe AR$]]/$N$1</f>
        <v>8533.1015247524756</v>
      </c>
      <c r="L2143" t="s">
        <v>2279</v>
      </c>
      <c r="M2143" s="76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1">
        <f>Gastos[[#This Row],[Importe AR$]]/$N$1</f>
        <v>8533.1015247524756</v>
      </c>
      <c r="L2144" t="s">
        <v>2281</v>
      </c>
      <c r="M2144" s="76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1">
        <f>Gastos[[#This Row],[Importe AR$]]/$N$1</f>
        <v>8533.1015247524756</v>
      </c>
      <c r="L2145" t="s">
        <v>2282</v>
      </c>
      <c r="M2145" s="76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1">
        <f>Gastos[[#This Row],[Importe AR$]]/$N$1</f>
        <v>8533.1015247524756</v>
      </c>
      <c r="L2146" t="s">
        <v>2283</v>
      </c>
      <c r="M2146" s="76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1">
        <f>Gastos[[#This Row],[Importe AR$]]/$N$1</f>
        <v>8533.1015247524756</v>
      </c>
      <c r="L2147" t="s">
        <v>2284</v>
      </c>
      <c r="M2147" s="76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1">
        <f>Gastos[[#This Row],[Importe AR$]]/$N$1</f>
        <v>8533.1015445544544</v>
      </c>
      <c r="L2148" t="s">
        <v>2285</v>
      </c>
      <c r="M2148" s="76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1">
        <f>Gastos[[#This Row],[Importe AR$]]/$N$1</f>
        <v>8533.1015247524756</v>
      </c>
      <c r="L2149" t="s">
        <v>2286</v>
      </c>
      <c r="M2149" s="76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1">
        <f>Gastos[[#This Row],[Importe AR$]]/$N$1</f>
        <v>8533.1015247524756</v>
      </c>
      <c r="L2150" t="s">
        <v>2287</v>
      </c>
      <c r="M2150" s="76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1">
        <f>Gastos[[#This Row],[Importe AR$]]/$N$1</f>
        <v>536.89768976897687</v>
      </c>
      <c r="M2151" s="76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1">
        <f>Gastos[[#This Row],[Importe AR$]]/$N$1</f>
        <v>553.8943894389439</v>
      </c>
      <c r="M2152" s="76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1">
        <f>Gastos[[#This Row],[Importe AR$]]/$N$1</f>
        <v>163.16831683168317</v>
      </c>
      <c r="M2153" s="76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1">
        <f>Gastos[[#This Row],[Importe AR$]]/$N$1</f>
        <v>360.13201320132015</v>
      </c>
      <c r="M2154" s="76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1">
        <f>Gastos[[#This Row],[Importe AR$]]/$N$1</f>
        <v>335.65676567656766</v>
      </c>
      <c r="M2155" s="76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1">
        <f>Gastos[[#This Row],[Importe AR$]]/$N$1</f>
        <v>376.78877887788781</v>
      </c>
      <c r="M2156" s="76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1">
        <f>Gastos[[#This Row],[Importe AR$]]/$N$1</f>
        <v>357.69636963696371</v>
      </c>
      <c r="M2157" s="76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1">
        <f>Gastos[[#This Row],[Importe AR$]]/$N$1</f>
        <v>444.09570957095707</v>
      </c>
      <c r="M2158" s="76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1">
        <f>Gastos[[#This Row],[Importe AR$]]/$N$1</f>
        <v>382.83828382838283</v>
      </c>
      <c r="M2159" s="76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1">
        <f>Gastos[[#This Row],[Importe AR$]]/$N$1</f>
        <v>371.26072607260727</v>
      </c>
      <c r="M2160" s="76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1">
        <f>Gastos[[#This Row],[Importe AR$]]/$N$1</f>
        <v>858.08580858085804</v>
      </c>
      <c r="M2161" s="76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1">
        <f>Gastos[[#This Row],[Importe AR$]]/$N$1</f>
        <v>745.87458745874585</v>
      </c>
      <c r="M2162" s="76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1">
        <f>Gastos[[#This Row],[Importe AR$]]/$N$1</f>
        <v>745.87458745874585</v>
      </c>
      <c r="M2163" s="76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1">
        <f>Gastos[[#This Row],[Importe AR$]]/$N$1</f>
        <v>745.87458745874585</v>
      </c>
      <c r="M2164" s="76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1">
        <f>Gastos[[#This Row],[Importe AR$]]/$N$1</f>
        <v>1066.2937293729374</v>
      </c>
      <c r="M2165" s="76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1">
        <f>Gastos[[#This Row],[Importe AR$]]/$N$1</f>
        <v>2368.9827590759073</v>
      </c>
      <c r="M2166" s="76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1">
        <f>Gastos[[#This Row],[Importe AR$]]/$N$1</f>
        <v>3024.6390759075907</v>
      </c>
      <c r="M2167" s="76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1">
        <f>Gastos[[#This Row],[Importe AR$]]/$N$1</f>
        <v>1360.4467854785478</v>
      </c>
      <c r="M2168" s="76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1">
        <f>Gastos[[#This Row],[Importe AR$]]/$N$1</f>
        <v>1980.1980198019803</v>
      </c>
      <c r="M2169" s="76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1">
        <f>Gastos[[#This Row],[Importe AR$]]/$N$1</f>
        <v>506.71349834983494</v>
      </c>
      <c r="L2170" t="s">
        <v>299</v>
      </c>
      <c r="M2170" s="76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1">
        <f>Gastos[[#This Row],[Importe AR$]]/$N$1</f>
        <v>501.29516171617166</v>
      </c>
      <c r="M2171" s="76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1">
        <f>Gastos[[#This Row],[Importe AR$]]/$N$1</f>
        <v>462.04620462046205</v>
      </c>
      <c r="M2172" s="76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1">
        <f>Gastos[[#This Row],[Importe AR$]]/$N$1</f>
        <v>574.88636963696365</v>
      </c>
      <c r="M2173" s="76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1">
        <f>Gastos[[#This Row],[Importe AR$]]/$N$1</f>
        <v>76.653465346534659</v>
      </c>
      <c r="M2174" s="76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1">
        <f>Gastos[[#This Row],[Importe AR$]]/$N$1</f>
        <v>330.03300330033005</v>
      </c>
      <c r="M2175" s="76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1">
        <f>Gastos[[#This Row],[Importe AR$]]/$N$1</f>
        <v>21.036303630363037</v>
      </c>
      <c r="M2176" s="76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1">
        <f>Gastos[[#This Row],[Importe AR$]]/$N$1</f>
        <v>296.36963696369639</v>
      </c>
      <c r="M2177" s="76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1">
        <f>Gastos[[#This Row],[Importe AR$]]/$N$1</f>
        <v>462.04620462046205</v>
      </c>
      <c r="M2178" s="76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1">
        <f>Gastos[[#This Row],[Importe AR$]]/$N$1</f>
        <v>462.04620462046205</v>
      </c>
      <c r="M2179" s="76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1">
        <f>Gastos[[#This Row],[Importe AR$]]/$N$1</f>
        <v>462.04620462046205</v>
      </c>
      <c r="M2180" s="76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1">
        <f>Gastos[[#This Row],[Importe AR$]]/$N$1</f>
        <v>495.04950495049508</v>
      </c>
      <c r="M2181" s="76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1">
        <f>Gastos[[#This Row],[Importe AR$]]/$N$1</f>
        <v>636.30363036303629</v>
      </c>
      <c r="M2182" s="76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1">
        <f>Gastos[[#This Row],[Importe AR$]]/$N$1</f>
        <v>636.63366336633658</v>
      </c>
      <c r="M2183" s="76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1">
        <f>Gastos[[#This Row],[Importe AR$]]/$N$1</f>
        <v>1320.1320132013202</v>
      </c>
      <c r="M2184" s="76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1">
        <f>Gastos[[#This Row],[Importe AR$]]/$N$1</f>
        <v>755.66536633663372</v>
      </c>
      <c r="M2185" s="76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1">
        <f>Gastos[[#This Row],[Importe AR$]]/$N$1</f>
        <v>1287.1287128712872</v>
      </c>
      <c r="M2186" s="76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1">
        <f>Gastos[[#This Row],[Importe AR$]]/$N$1</f>
        <v>1.7317359735973596</v>
      </c>
      <c r="M2187" s="76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1">
        <f>Gastos[[#This Row],[Importe AR$]]/$N$1</f>
        <v>100.47392739273927</v>
      </c>
      <c r="M2188" s="76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1">
        <f>Gastos[[#This Row],[Importe AR$]]/$N$1</f>
        <v>1676.6740198019802</v>
      </c>
      <c r="M2189" s="76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1">
        <f>Gastos[[#This Row],[Importe AR$]]/$N$1</f>
        <v>3516.2576633663371</v>
      </c>
      <c r="M2190" s="76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1">
        <f>Gastos[[#This Row],[Importe AR$]]/$N$1</f>
        <v>1327.0446204620462</v>
      </c>
      <c r="M2191" s="76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1">
        <f>Gastos[[#This Row],[Importe AR$]]/$N$1</f>
        <v>2640.2640264026404</v>
      </c>
      <c r="M2192" s="76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1">
        <f>Gastos[[#This Row],[Importe AR$]]/$N$1</f>
        <v>3960.3960396039606</v>
      </c>
      <c r="M2193" s="76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1">
        <f>Gastos[[#This Row],[Importe AR$]]/$N$1</f>
        <v>792.0792079207921</v>
      </c>
      <c r="M2194" s="76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1">
        <f>Gastos[[#This Row],[Importe AR$]]/$N$1</f>
        <v>792.0792079207921</v>
      </c>
      <c r="M2195" s="76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1">
        <f>Gastos[[#This Row],[Importe AR$]]/$N$1</f>
        <v>955.70812541254134</v>
      </c>
      <c r="M2196" s="76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1">
        <f>Gastos[[#This Row],[Importe AR$]]/$N$1</f>
        <v>1650.1650165016501</v>
      </c>
      <c r="M2197" s="76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1">
        <f>Gastos[[#This Row],[Importe AR$]]/$N$1</f>
        <v>1650.1650165016501</v>
      </c>
      <c r="M2198" s="76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1">
        <f>Gastos[[#This Row],[Importe AR$]]/$N$1</f>
        <v>1650.1650165016501</v>
      </c>
      <c r="M2199" s="76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1">
        <f>Gastos[[#This Row],[Importe AR$]]/$N$1</f>
        <v>35.210356435643568</v>
      </c>
      <c r="M2200" s="76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1">
        <f>Gastos[[#This Row],[Importe AR$]]/$N$1</f>
        <v>1360.4467854785478</v>
      </c>
      <c r="M2201" s="76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1">
        <f>Gastos[[#This Row],[Importe AR$]]/$N$1</f>
        <v>155.11551155115512</v>
      </c>
      <c r="M2202" s="76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1">
        <f>Gastos[[#This Row],[Importe AR$]]/$N$1</f>
        <v>19.801980198019802</v>
      </c>
      <c r="M2203" s="76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1">
        <f>Gastos[[#This Row],[Importe AR$]]/$N$1</f>
        <v>128.7788910891089</v>
      </c>
      <c r="M2204" s="76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1">
        <f>Gastos[[#This Row],[Importe AR$]]/$N$1</f>
        <v>67.18205280528052</v>
      </c>
      <c r="M2205" s="76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1">
        <f>Gastos[[#This Row],[Importe AR$]]/$N$1</f>
        <v>128.7788910891089</v>
      </c>
      <c r="M2206" s="76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1">
        <f>Gastos[[#This Row],[Importe AR$]]/$N$1</f>
        <v>105.61056105610561</v>
      </c>
      <c r="M2207" s="76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1">
        <f>Gastos[[#This Row],[Importe AR$]]/$N$1</f>
        <v>23.168316831683168</v>
      </c>
      <c r="M2208" s="76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1">
        <f>Gastos[[#This Row],[Importe AR$]]/$N$1</f>
        <v>201.5461518151815</v>
      </c>
      <c r="M2209" s="76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1">
        <f>Gastos[[#This Row],[Importe AR$]]/$N$1</f>
        <v>152.55161716171617</v>
      </c>
      <c r="M2210" s="76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1">
        <f>Gastos[[#This Row],[Importe AR$]]/$N$1</f>
        <v>155.11551155115512</v>
      </c>
      <c r="M2211" s="76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1">
        <f>Gastos[[#This Row],[Importe AR$]]/$N$1</f>
        <v>155.11551155115512</v>
      </c>
      <c r="M2212" s="76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1">
        <f>Gastos[[#This Row],[Importe AR$]]/$N$1</f>
        <v>67.18205280528052</v>
      </c>
      <c r="M2213" s="76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1">
        <f>Gastos[[#This Row],[Importe AR$]]/$N$1</f>
        <v>153.43834983498351</v>
      </c>
      <c r="M2214" s="76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1">
        <f>Gastos[[#This Row],[Importe AR$]]/$N$1</f>
        <v>28.382838283828384</v>
      </c>
      <c r="M2215" s="76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1">
        <f>Gastos[[#This Row],[Importe AR$]]/$N$1</f>
        <v>126.73267326732673</v>
      </c>
      <c r="M2216" s="76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1">
        <f>Gastos[[#This Row],[Importe AR$]]/$N$1</f>
        <v>1633.3156963696367</v>
      </c>
      <c r="M2217" s="76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1">
        <f>Gastos[[#This Row],[Importe AR$]]/$N$1</f>
        <v>1650.1650165016501</v>
      </c>
      <c r="M2218" s="76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1">
        <f>Gastos[[#This Row],[Importe AR$]]/$N$1</f>
        <v>1408.7011551155115</v>
      </c>
      <c r="M2219" s="76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1">
        <f>Gastos[[#This Row],[Importe AR$]]/$N$1</f>
        <v>590.21643564356441</v>
      </c>
      <c r="L2220" t="s">
        <v>215</v>
      </c>
      <c r="M2220" s="76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1">
        <f>Gastos[[#This Row],[Importe AR$]]/$N$1</f>
        <v>990.09900990099015</v>
      </c>
      <c r="M2221" s="76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1">
        <f>Gastos[[#This Row],[Importe AR$]]/$N$1</f>
        <v>324.30029702970296</v>
      </c>
      <c r="L2222" t="s">
        <v>215</v>
      </c>
      <c r="M2222" s="76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1">
        <f>Gastos[[#This Row],[Importe AR$]]/$N$1</f>
        <v>464.42508910891092</v>
      </c>
      <c r="M2223" s="76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1">
        <f>Gastos[[#This Row],[Importe AR$]]/$N$1</f>
        <v>137.44147854785479</v>
      </c>
      <c r="M2224" s="76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1">
        <f>Gastos[[#This Row],[Importe AR$]]/$N$1</f>
        <v>59.774092409240922</v>
      </c>
      <c r="M2225" s="76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1">
        <f>Gastos[[#This Row],[Importe AR$]]/$N$1</f>
        <v>1.7431023102310232</v>
      </c>
      <c r="M2226" s="76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1">
        <f>Gastos[[#This Row],[Importe AR$]]/$N$1</f>
        <v>674.53306930693066</v>
      </c>
      <c r="M2227" s="76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1">
        <f>Gastos[[#This Row],[Importe AR$]]/$N$1</f>
        <v>720.3654455445544</v>
      </c>
      <c r="M2228" s="76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1">
        <f>Gastos[[#This Row],[Importe AR$]]/$N$1</f>
        <v>720.3654455445544</v>
      </c>
      <c r="M2229" s="76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1">
        <f>Gastos[[#This Row],[Importe AR$]]/$N$1</f>
        <v>751.78138613861393</v>
      </c>
      <c r="M2230" s="76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1">
        <f>Gastos[[#This Row],[Importe AR$]]/$N$1</f>
        <v>744.16198019801971</v>
      </c>
      <c r="M2231" s="76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2">
        <f>Gastos[[#This Row],[Importe AR$]]/$N$1</f>
        <v>66.006600660066013</v>
      </c>
      <c r="M2232" s="76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2">
        <f>Gastos[[#This Row],[Importe AR$]]/$N$1</f>
        <v>396.03960396039605</v>
      </c>
      <c r="M2233" s="76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1">
        <f>Gastos[[#This Row],[Importe AR$]]/$N$1</f>
        <v>330.03300330033005</v>
      </c>
      <c r="M2234" s="76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1">
        <f>Gastos[[#This Row],[Importe AR$]]/$N$1</f>
        <v>1892.2494323432345</v>
      </c>
      <c r="L2235" t="s">
        <v>215</v>
      </c>
      <c r="M2235" s="76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1">
        <f>Gastos[[#This Row],[Importe AR$]]/$N$1</f>
        <v>1892.2494323432345</v>
      </c>
      <c r="M2236" s="76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1">
        <f>Gastos[[#This Row],[Importe AR$]]/$N$1</f>
        <v>8107.1317821782177</v>
      </c>
      <c r="M2237" s="76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1">
        <f>Gastos[[#This Row],[Importe AR$]]/$N$1</f>
        <v>12983.035867986799</v>
      </c>
      <c r="M2238" s="76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1">
        <f>Gastos[[#This Row],[Importe AR$]]/$N$1</f>
        <v>123.64752475247525</v>
      </c>
      <c r="M2239" s="76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1">
        <f>Gastos[[#This Row],[Importe AR$]]/$N$1</f>
        <v>123.64752475247525</v>
      </c>
      <c r="M2240" s="76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1">
        <f>Gastos[[#This Row],[Importe AR$]]/$N$1</f>
        <v>123.64752475247525</v>
      </c>
      <c r="M2241" s="76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1">
        <f>Gastos[[#This Row],[Importe AR$]]/$N$1</f>
        <v>4710.5832409240929</v>
      </c>
      <c r="M2242" s="76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1">
        <f>Gastos[[#This Row],[Importe AR$]]/$N$1</f>
        <v>466.006600660066</v>
      </c>
      <c r="M2243" s="76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1">
        <f>Gastos[[#This Row],[Importe AR$]]/$N$1</f>
        <v>3273.1327832783281</v>
      </c>
      <c r="L2244" t="s">
        <v>361</v>
      </c>
      <c r="M2244" s="76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1">
        <f>Gastos[[#This Row],[Importe AR$]]/$N$1</f>
        <v>3273.1327832783281</v>
      </c>
      <c r="L2245" t="s">
        <v>215</v>
      </c>
      <c r="M2245" s="76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1">
        <f>Gastos[[#This Row],[Importe AR$]]/$N$1</f>
        <v>3273.1327832783281</v>
      </c>
      <c r="L2246" t="s">
        <v>289</v>
      </c>
      <c r="M2246" s="76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1">
        <f>Gastos[[#This Row],[Importe AR$]]/$N$1</f>
        <v>3300.3300330033003</v>
      </c>
      <c r="M2247" s="76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1">
        <f>Gastos[[#This Row],[Importe AR$]]/$N$1</f>
        <v>813.63631683168319</v>
      </c>
      <c r="M2248" s="76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1">
        <f>Gastos[[#This Row],[Importe AR$]]/$N$1</f>
        <v>1320.1320132013202</v>
      </c>
      <c r="M2249" s="76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1">
        <f>Gastos[[#This Row],[Importe AR$]]/$N$1</f>
        <v>2376.2376237623762</v>
      </c>
      <c r="M2250" s="76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1">
        <f>Gastos[[#This Row],[Importe AR$]]/$N$1</f>
        <v>3222.9565346534655</v>
      </c>
      <c r="M2251" s="76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1">
        <f>Gastos[[#This Row],[Importe AR$]]/$N$1</f>
        <v>1287.1287128712872</v>
      </c>
      <c r="M2252" s="76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1">
        <f>Gastos[[#This Row],[Importe AR$]]/$N$1</f>
        <v>1287.1287128712872</v>
      </c>
      <c r="M2253" s="76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1">
        <f>Gastos[[#This Row],[Importe AR$]]/$N$1</f>
        <v>1362.3589570957097</v>
      </c>
      <c r="M2254" s="76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1">
        <f>Gastos[[#This Row],[Importe AR$]]/$N$1</f>
        <v>1287.1287128712872</v>
      </c>
      <c r="M2255" s="76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1">
        <f>Gastos[[#This Row],[Importe AR$]]/$N$1</f>
        <v>1287.1287128712872</v>
      </c>
      <c r="M2256" s="76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1">
        <f>Gastos[[#This Row],[Importe AR$]]/$N$1</f>
        <v>466.006600660066</v>
      </c>
      <c r="M2257" s="76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1">
        <f>Gastos[[#This Row],[Importe AR$]]/$N$1</f>
        <v>10.064686468646865</v>
      </c>
      <c r="L2258" t="s">
        <v>340</v>
      </c>
      <c r="M2258" s="76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1">
        <f>Gastos[[#This Row],[Importe AR$]]/$N$1</f>
        <v>466.006600660066</v>
      </c>
      <c r="M2259" s="76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1">
        <f>Gastos[[#This Row],[Importe AR$]]/$N$1</f>
        <v>495.04950495049508</v>
      </c>
      <c r="M2260" s="76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1">
        <f>Gastos[[#This Row],[Importe AR$]]/$N$1</f>
        <v>508.25082508250824</v>
      </c>
      <c r="M2261" s="76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1">
        <f>Gastos[[#This Row],[Importe AR$]]/$N$1</f>
        <v>1320.1320132013202</v>
      </c>
      <c r="M2262" s="76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1">
        <f>Gastos[[#This Row],[Importe AR$]]/$N$1</f>
        <v>126.57478547854785</v>
      </c>
      <c r="M2263" s="76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1">
        <f>Gastos[[#This Row],[Importe AR$]]/$N$1</f>
        <v>432.013201320132</v>
      </c>
      <c r="M2264" s="76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1">
        <f>Gastos[[#This Row],[Importe AR$]]/$N$1</f>
        <v>51.485102310231021</v>
      </c>
      <c r="M2265" s="76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1">
        <f>Gastos[[#This Row],[Importe AR$]]/$N$1</f>
        <v>51.485095709570956</v>
      </c>
      <c r="L2266" s="8"/>
      <c r="M2266" s="76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1">
        <f>Gastos[[#This Row],[Importe AR$]]/$N$1</f>
        <v>99.00986138613861</v>
      </c>
      <c r="M2267" s="76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1">
        <f>Gastos[[#This Row],[Importe AR$]]/$N$1</f>
        <v>21.854897689768976</v>
      </c>
      <c r="L2268" t="s">
        <v>340</v>
      </c>
      <c r="M2268" s="76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1">
        <f>Gastos[[#This Row],[Importe AR$]]/$N$1</f>
        <v>388.77887128712871</v>
      </c>
      <c r="M2269" s="76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1">
        <f>Gastos[[#This Row],[Importe AR$]]/$N$1</f>
        <v>165.01650165016503</v>
      </c>
      <c r="M2270" s="76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1">
        <f>Gastos[[#This Row],[Importe AR$]]/$N$1</f>
        <v>79.207920792079207</v>
      </c>
      <c r="M2271" s="76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1">
        <f>Gastos[[#This Row],[Importe AR$]]/$N$1</f>
        <v>99.009900990099013</v>
      </c>
      <c r="M2272" s="76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1">
        <f>Gastos[[#This Row],[Importe AR$]]/$N$1</f>
        <v>33.687524752475248</v>
      </c>
      <c r="M2273" s="76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1">
        <f>Gastos[[#This Row],[Importe AR$]]/$N$1</f>
        <v>158.41584158415841</v>
      </c>
      <c r="M2274" s="76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1">
        <f>Gastos[[#This Row],[Importe AR$]]/$N$1</f>
        <v>660.0660066006601</v>
      </c>
      <c r="L2275" t="s">
        <v>983</v>
      </c>
      <c r="M2275" s="76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1">
        <f>Gastos[[#This Row],[Importe AR$]]/$N$1</f>
        <v>595.1126798679868</v>
      </c>
      <c r="M2276" s="76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1">
        <f>Gastos[[#This Row],[Importe AR$]]/$N$1</f>
        <v>47.52803300330033</v>
      </c>
      <c r="M2277" s="76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1">
        <f>Gastos[[#This Row],[Importe AR$]]/$N$1</f>
        <v>1.9141914191419143</v>
      </c>
      <c r="M2278" s="76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1">
        <f>Gastos[[#This Row],[Importe AR$]]/$N$1</f>
        <v>28.778877887788777</v>
      </c>
      <c r="M2279" s="76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1">
        <f>Gastos[[#This Row],[Importe AR$]]/$N$1</f>
        <v>602.64725412541247</v>
      </c>
      <c r="M2280" s="76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1">
        <f>Gastos[[#This Row],[Importe AR$]]/$N$1</f>
        <v>258.62353795379533</v>
      </c>
      <c r="M2281" s="76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1">
        <f>Gastos[[#This Row],[Importe AR$]]/$N$1</f>
        <v>162.04620462046205</v>
      </c>
      <c r="M2282" s="76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1">
        <f>Gastos[[#This Row],[Importe AR$]]/$N$1</f>
        <v>68.250825082508257</v>
      </c>
      <c r="M2283" s="76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1">
        <f>Gastos[[#This Row],[Importe AR$]]/$N$1</f>
        <v>1.7821782178217822</v>
      </c>
      <c r="M2284" s="76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1">
        <f>Gastos[[#This Row],[Importe AR$]]/$N$1</f>
        <v>31.221122112211223</v>
      </c>
      <c r="M2285" s="76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1">
        <f>Gastos[[#This Row],[Importe AR$]]/$N$1</f>
        <v>305.87458745874585</v>
      </c>
      <c r="M2286" s="76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1">
        <f>Gastos[[#This Row],[Importe AR$]]/$N$1</f>
        <v>238.94389438943895</v>
      </c>
      <c r="L2287" t="s">
        <v>361</v>
      </c>
      <c r="M2287" s="76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1">
        <f>Gastos[[#This Row],[Importe AR$]]/$N$1</f>
        <v>343.23432343234322</v>
      </c>
      <c r="L2288" t="s">
        <v>361</v>
      </c>
      <c r="M2288" s="76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1">
        <f>Gastos[[#This Row],[Importe AR$]]/$N$1</f>
        <v>182.78547854785478</v>
      </c>
      <c r="M2289" s="76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1">
        <f>Gastos[[#This Row],[Importe AR$]]/$N$1</f>
        <v>426.67561056105615</v>
      </c>
      <c r="M2290" s="76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1">
        <f>Gastos[[#This Row],[Importe AR$]]/$N$1</f>
        <v>426.67561716171622</v>
      </c>
      <c r="M2291" s="76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1">
        <f>Gastos[[#This Row],[Importe AR$]]/$N$1</f>
        <v>264.02640264026405</v>
      </c>
      <c r="M2292" s="76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1">
        <f>Gastos[[#This Row],[Importe AR$]]/$N$1</f>
        <v>6600.6600660066006</v>
      </c>
      <c r="M2293" s="76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1">
        <f>Gastos[[#This Row],[Importe AR$]]/$N$1</f>
        <v>54337.898481848184</v>
      </c>
      <c r="L2294" t="s">
        <v>2438</v>
      </c>
      <c r="M2294" s="76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1">
        <f>Gastos[[#This Row],[Importe AR$]]/$N$1</f>
        <v>54337.898481848184</v>
      </c>
      <c r="L2295" t="s">
        <v>2438</v>
      </c>
      <c r="M2295" s="76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1">
        <f>Gastos[[#This Row],[Importe AR$]]/$N$1</f>
        <v>54337.898481848184</v>
      </c>
      <c r="L2296" t="s">
        <v>2438</v>
      </c>
      <c r="M2296" s="76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1">
        <f>Gastos[[#This Row],[Importe AR$]]/$N$1</f>
        <v>15181.518151815182</v>
      </c>
      <c r="L2297" t="s">
        <v>2440</v>
      </c>
      <c r="M2297" s="76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1">
        <f>Gastos[[#This Row],[Importe AR$]]/$N$1</f>
        <v>6600.6600660066006</v>
      </c>
      <c r="M2298" s="76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1">
        <f>Gastos[[#This Row],[Importe AR$]]/$N$1</f>
        <v>2366.7239735973594</v>
      </c>
      <c r="M2299" s="76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1">
        <f>Gastos[[#This Row],[Importe AR$]]/$N$1</f>
        <v>35627.581465346535</v>
      </c>
      <c r="L2300" t="s">
        <v>2443</v>
      </c>
      <c r="M2300" s="76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1">
        <f>Gastos[[#This Row],[Importe AR$]]/$N$1</f>
        <v>33003.300330033002</v>
      </c>
      <c r="L2301" t="s">
        <v>2445</v>
      </c>
      <c r="M2301" s="76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1">
        <f>Gastos[[#This Row],[Importe AR$]]/$N$1</f>
        <v>33003.300330033002</v>
      </c>
      <c r="L2302" t="s">
        <v>2446</v>
      </c>
      <c r="M2302" s="76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1">
        <f>Gastos[[#This Row],[Importe AR$]]/$N$1</f>
        <v>33003.300330033002</v>
      </c>
      <c r="L2303" t="s">
        <v>2447</v>
      </c>
      <c r="M2303" s="76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1">
        <f>Gastos[[#This Row],[Importe AR$]]/$N$1</f>
        <v>5809.5861320132017</v>
      </c>
      <c r="M2304" s="76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1">
        <f>Gastos[[#This Row],[Importe AR$]]/$N$1</f>
        <v>9090.0461848184823</v>
      </c>
      <c r="M2305" s="76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1">
        <f>Gastos[[#This Row],[Importe AR$]]/$N$1</f>
        <v>1321.1221122112211</v>
      </c>
      <c r="M2306" s="76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1">
        <f>Gastos[[#This Row],[Importe AR$]]/$N$1</f>
        <v>1321.1221122112211</v>
      </c>
      <c r="M2307" s="76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1">
        <f>Gastos[[#This Row],[Importe AR$]]/$N$1</f>
        <v>1321.1221122112211</v>
      </c>
      <c r="M2308" s="76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1">
        <f>Gastos[[#This Row],[Importe AR$]]/$N$1</f>
        <v>1321.1221122112211</v>
      </c>
      <c r="M2309" s="76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1">
        <f>Gastos[[#This Row],[Importe AR$]]/$N$1</f>
        <v>1321.1221122112211</v>
      </c>
      <c r="M2310" s="76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1">
        <f>Gastos[[#This Row],[Importe AR$]]/$N$1</f>
        <v>1321.1221122112211</v>
      </c>
      <c r="M2311" s="76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1">
        <f>Gastos[[#This Row],[Importe AR$]]/$N$1</f>
        <v>1321.1221122112211</v>
      </c>
      <c r="M2312" s="76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1">
        <f>Gastos[[#This Row],[Importe AR$]]/$N$1</f>
        <v>1321.1221122112211</v>
      </c>
      <c r="M2313" s="76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1">
        <f>Gastos[[#This Row],[Importe AR$]]/$N$1</f>
        <v>1321.1221122112211</v>
      </c>
      <c r="M2314" s="76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1">
        <f>Gastos[[#This Row],[Importe AR$]]/$N$1</f>
        <v>1322.6462838283828</v>
      </c>
      <c r="M2315" s="76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1">
        <f>Gastos[[#This Row],[Importe AR$]]/$N$1</f>
        <v>6600.6600660066006</v>
      </c>
      <c r="M2316" s="76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1">
        <f>Gastos[[#This Row],[Importe AR$]]/$N$1</f>
        <v>1321.1221122112211</v>
      </c>
      <c r="M2317" s="76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1">
        <f>Gastos[[#This Row],[Importe AR$]]/$N$1</f>
        <v>1321.1221122112211</v>
      </c>
      <c r="M2318" s="76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1">
        <f>Gastos[[#This Row],[Importe AR$]]/$N$1</f>
        <v>1321.1221122112211</v>
      </c>
      <c r="M2319" s="76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1">
        <f>Gastos[[#This Row],[Importe AR$]]/$N$1</f>
        <v>1321.1221122112211</v>
      </c>
      <c r="M2320" s="76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1">
        <f>Gastos[[#This Row],[Importe AR$]]/$N$1</f>
        <v>1321.1221122112211</v>
      </c>
      <c r="M2321" s="76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1">
        <f>Gastos[[#This Row],[Importe AR$]]/$N$1</f>
        <v>1321.1221122112211</v>
      </c>
      <c r="M2322" s="76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1">
        <f>Gastos[[#This Row],[Importe AR$]]/$N$1</f>
        <v>1321.1221122112211</v>
      </c>
      <c r="M2323" s="76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1">
        <f>Gastos[[#This Row],[Importe AR$]]/$N$1</f>
        <v>660.0660066006601</v>
      </c>
      <c r="M2324" s="76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1">
        <f>Gastos[[#This Row],[Importe AR$]]/$N$1</f>
        <v>660.0660066006601</v>
      </c>
      <c r="M2325" s="76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1">
        <f>Gastos[[#This Row],[Importe AR$]]/$N$1</f>
        <v>924.0924092409241</v>
      </c>
      <c r="M2326" s="76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1">
        <f>Gastos[[#This Row],[Importe AR$]]/$N$1</f>
        <v>1016.0658085808581</v>
      </c>
      <c r="M2327" s="76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1">
        <f>Gastos[[#This Row],[Importe AR$]]/$N$1</f>
        <v>1025.1346534653464</v>
      </c>
      <c r="M2328" s="76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1">
        <f>Gastos[[#This Row],[Importe AR$]]/$N$1</f>
        <v>1467.720792079208</v>
      </c>
      <c r="M2329" s="76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1">
        <f>Gastos[[#This Row],[Importe AR$]]/$N$1</f>
        <v>1500.773597359736</v>
      </c>
      <c r="M2330" s="76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1">
        <f>Gastos[[#This Row],[Importe AR$]]/$N$1</f>
        <v>1650.1650165016501</v>
      </c>
      <c r="M2331" s="76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1">
        <f>Gastos[[#This Row],[Importe AR$]]/$N$1</f>
        <v>1650.1650165016501</v>
      </c>
      <c r="M2332" s="76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1">
        <f>Gastos[[#This Row],[Importe AR$]]/$N$1</f>
        <v>3334.725900990099</v>
      </c>
      <c r="M2333" s="76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1">
        <f>Gastos[[#This Row],[Importe AR$]]/$N$1</f>
        <v>6476.6481848184822</v>
      </c>
      <c r="M2334" s="76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1">
        <f>Gastos[[#This Row],[Importe AR$]]/$N$1</f>
        <v>3240.5953795379537</v>
      </c>
      <c r="M2335" s="76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1">
        <f>Gastos[[#This Row],[Importe AR$]]/$N$1</f>
        <v>3300.3300330033003</v>
      </c>
      <c r="M2336" s="76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1">
        <f>Gastos[[#This Row],[Importe AR$]]/$N$1</f>
        <v>7323.7459537953791</v>
      </c>
      <c r="M2337" s="76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1">
        <f>Gastos[[#This Row],[Importe AR$]]/$N$1</f>
        <v>6477.6969900990098</v>
      </c>
      <c r="M2338" s="76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1">
        <f>Gastos[[#This Row],[Importe AR$]]/$N$1</f>
        <v>6600.6600660066006</v>
      </c>
      <c r="M2339" s="76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1">
        <f>Gastos[[#This Row],[Importe AR$]]/$N$1</f>
        <v>53.39396039603961</v>
      </c>
      <c r="M2340" s="76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1">
        <f>Gastos[[#This Row],[Importe AR$]]/$N$1</f>
        <v>53.39396039603961</v>
      </c>
      <c r="M2341" s="76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1">
        <f>Gastos[[#This Row],[Importe AR$]]/$N$1</f>
        <v>53.39396039603961</v>
      </c>
      <c r="M2342" s="76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1">
        <f>Gastos[[#This Row],[Importe AR$]]/$N$1</f>
        <v>54.418158415841582</v>
      </c>
      <c r="M2343" s="76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1">
        <f>Gastos[[#This Row],[Importe AR$]]/$N$1</f>
        <v>136.42840264026404</v>
      </c>
      <c r="M2344" s="76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1">
        <f>Gastos[[#This Row],[Importe AR$]]/$N$1</f>
        <v>136.42840264026404</v>
      </c>
      <c r="M2345" s="76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1">
        <f>Gastos[[#This Row],[Importe AR$]]/$N$1</f>
        <v>136.42840264026404</v>
      </c>
      <c r="M2346" s="76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1">
        <f>Gastos[[#This Row],[Importe AR$]]/$N$1</f>
        <v>141.12128712871288</v>
      </c>
      <c r="M2347" s="76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1">
        <f>Gastos[[#This Row],[Importe AR$]]/$N$1</f>
        <v>6600.6600660066006</v>
      </c>
      <c r="M2348" s="76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1">
        <f>Gastos[[#This Row],[Importe AR$]]/$N$1</f>
        <v>7777.429326732673</v>
      </c>
      <c r="M2349" s="76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1">
        <f>Gastos[[#This Row],[Importe AR$]]/$N$1</f>
        <v>7920.7920792079212</v>
      </c>
      <c r="M2350" s="76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1">
        <f>Gastos[[#This Row],[Importe AR$]]/$N$1</f>
        <v>6481.1911023102311</v>
      </c>
      <c r="M2351" s="76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1">
        <f>Gastos[[#This Row],[Importe AR$]]/$N$1</f>
        <v>9724.7437557755766</v>
      </c>
      <c r="M2352" s="76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1">
        <f>Gastos[[#This Row],[Importe AR$]]/$N$1</f>
        <v>3300.3300330033003</v>
      </c>
      <c r="M2353" s="76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1">
        <f>Gastos[[#This Row],[Importe AR$]]/$N$1</f>
        <v>3121.1265874587461</v>
      </c>
      <c r="M2354" s="76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1">
        <f>Gastos[[#This Row],[Importe AR$]]/$N$1</f>
        <v>3300.3300330033003</v>
      </c>
      <c r="M2355" s="76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1">
        <f>Gastos[[#This Row],[Importe AR$]]/$N$1</f>
        <v>2640.2640264026404</v>
      </c>
      <c r="M2356" s="76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1">
        <f>Gastos[[#This Row],[Importe AR$]]/$N$1</f>
        <v>2640.2640264026404</v>
      </c>
      <c r="M2357" s="76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1">
        <f>Gastos[[#This Row],[Importe AR$]]/$N$1</f>
        <v>2640.2640264026404</v>
      </c>
      <c r="M2358" s="76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1">
        <f>Gastos[[#This Row],[Importe AR$]]/$N$1</f>
        <v>6471.6039603960398</v>
      </c>
      <c r="M2359" s="76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1">
        <f>Gastos[[#This Row],[Importe AR$]]/$N$1</f>
        <v>6468.6468646864687</v>
      </c>
      <c r="M2360" s="76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1">
        <f>Gastos[[#This Row],[Importe AR$]]/$N$1</f>
        <v>6471.6039603960398</v>
      </c>
      <c r="M2361" s="76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1">
        <f>Gastos[[#This Row],[Importe AR$]]/$N$1</f>
        <v>3234.3234323432343</v>
      </c>
      <c r="L2362" s="8"/>
      <c r="M2362" s="76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1">
        <f>Gastos[[#This Row],[Importe AR$]]/$N$1</f>
        <v>3881.1881188118814</v>
      </c>
      <c r="L2363" s="8"/>
      <c r="M2363" s="76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1">
        <f>Gastos[[#This Row],[Importe AR$]]/$N$1</f>
        <v>3237.2805280528055</v>
      </c>
      <c r="L2364" s="8"/>
      <c r="M2364" s="76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1">
        <f>Gastos[[#This Row],[Importe AR$]]/$N$1</f>
        <v>251.60159735973596</v>
      </c>
      <c r="M2365" s="76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1">
        <f>Gastos[[#This Row],[Importe AR$]]/$N$1</f>
        <v>306.93069306930693</v>
      </c>
      <c r="M2366" s="76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1">
        <f>Gastos[[#This Row],[Importe AR$]]/$N$1</f>
        <v>843.40594059405942</v>
      </c>
      <c r="M2367" s="76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1">
        <f>Gastos[[#This Row],[Importe AR$]]/$N$1</f>
        <v>1254.125412541254</v>
      </c>
      <c r="M2368" s="76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1">
        <f>Gastos[[#This Row],[Importe AR$]]/$N$1</f>
        <v>1097.7557755775576</v>
      </c>
      <c r="L2369" t="s">
        <v>2478</v>
      </c>
      <c r="M2369" s="76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1">
        <f>Gastos[[#This Row],[Importe AR$]]/$N$1</f>
        <v>283.16831683168317</v>
      </c>
      <c r="M2370" s="76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1">
        <f>Gastos[[#This Row],[Importe AR$]]/$N$1</f>
        <v>325.08250825082507</v>
      </c>
      <c r="M2371" s="76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1">
        <f>Gastos[[#This Row],[Importe AR$]]/$N$1</f>
        <v>430.27933993399336</v>
      </c>
      <c r="M2372" s="76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1">
        <f>Gastos[[#This Row],[Importe AR$]]/$N$1</f>
        <v>192.40924092409242</v>
      </c>
      <c r="M2373" s="76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1">
        <f>Gastos[[#This Row],[Importe AR$]]/$N$1</f>
        <v>1115.5115511551155</v>
      </c>
      <c r="M2374" s="76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1">
        <f>Gastos[[#This Row],[Importe AR$]]/$N$1</f>
        <v>3.0534653465346535</v>
      </c>
      <c r="M2375" s="76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1">
        <f>Gastos[[#This Row],[Importe AR$]]/$N$1</f>
        <v>272.0792079207921</v>
      </c>
      <c r="M2376" s="76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1">
        <f>Gastos[[#This Row],[Importe AR$]]/$N$1</f>
        <v>79.207920792079207</v>
      </c>
      <c r="M2377" s="76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1">
        <f>Gastos[[#This Row],[Importe AR$]]/$N$1</f>
        <v>74.587458745874585</v>
      </c>
      <c r="M2378" s="76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1">
        <f>Gastos[[#This Row],[Importe AR$]]/$N$1</f>
        <v>42.508250825082506</v>
      </c>
      <c r="M2379" s="76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1">
        <f>Gastos[[#This Row],[Importe AR$]]/$N$1</f>
        <v>660.0660066006601</v>
      </c>
      <c r="M2380" s="76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1">
        <f>Gastos[[#This Row],[Importe AR$]]/$N$1</f>
        <v>290.42904290429044</v>
      </c>
      <c r="M2381" s="76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1">
        <f>Gastos[[#This Row],[Importe AR$]]/$N$1</f>
        <v>330.03300330033005</v>
      </c>
      <c r="M2382" s="76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1">
        <f>Gastos[[#This Row],[Importe AR$]]/$N$1</f>
        <v>330.33135313531352</v>
      </c>
      <c r="M2383" s="76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1">
        <f>Gastos[[#This Row],[Importe AR$]]/$N$1</f>
        <v>330.03300330033005</v>
      </c>
      <c r="M2384" s="76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1">
        <f>Gastos[[#This Row],[Importe AR$]]/$N$1</f>
        <v>1420.4620462046205</v>
      </c>
      <c r="M2385" s="76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1">
        <f>Gastos[[#This Row],[Importe AR$]]/$N$1</f>
        <v>660.0660066006601</v>
      </c>
      <c r="M2386" s="76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1">
        <f>Gastos[[#This Row],[Importe AR$]]/$N$1</f>
        <v>330.03300330033005</v>
      </c>
      <c r="M2387" s="76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1">
        <f>Gastos[[#This Row],[Importe AR$]]/$N$1</f>
        <v>331.35313531353137</v>
      </c>
      <c r="M2388" s="76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1">
        <f>Gastos[[#This Row],[Importe AR$]]/$N$1</f>
        <v>462.04620462046205</v>
      </c>
      <c r="M2389" s="76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1">
        <f>Gastos[[#This Row],[Importe AR$]]/$N$1</f>
        <v>587.45874587458741</v>
      </c>
      <c r="M2390" s="76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1">
        <f>Gastos[[#This Row],[Importe AR$]]/$N$1</f>
        <v>411.75100990099014</v>
      </c>
      <c r="M2391" s="76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1">
        <f>Gastos[[#This Row],[Importe AR$]]/$N$1</f>
        <v>3412.0633003300331</v>
      </c>
      <c r="L2392" t="s">
        <v>2503</v>
      </c>
      <c r="M2392" s="76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1">
        <f>Gastos[[#This Row],[Importe AR$]]/$N$1</f>
        <v>1937.0627062706271</v>
      </c>
      <c r="M2393" s="76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1">
        <f>Gastos[[#This Row],[Importe AR$]]/$N$1</f>
        <v>726.07260726072604</v>
      </c>
      <c r="M2394" s="76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1">
        <f>Gastos[[#This Row],[Importe AR$]]/$N$1</f>
        <v>726.07260726072604</v>
      </c>
      <c r="M2395" s="76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1">
        <f>Gastos[[#This Row],[Importe AR$]]/$N$1</f>
        <v>1768.4832673267326</v>
      </c>
      <c r="M2396" s="76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1">
        <f>Gastos[[#This Row],[Importe AR$]]/$N$1</f>
        <v>990.09900990099015</v>
      </c>
      <c r="M2397" s="76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1">
        <f>Gastos[[#This Row],[Importe AR$]]/$N$1</f>
        <v>527.44906930693071</v>
      </c>
      <c r="M2398" s="76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1">
        <f>Gastos[[#This Row],[Importe AR$]]/$N$1</f>
        <v>18.085511551155115</v>
      </c>
      <c r="M2399" s="76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1">
        <f>Gastos[[#This Row],[Importe AR$]]/$N$1</f>
        <v>1287.1287128712872</v>
      </c>
      <c r="M2400" s="76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1">
        <f>Gastos[[#This Row],[Importe AR$]]/$N$1</f>
        <v>1287.1287128712872</v>
      </c>
      <c r="M2401" s="76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1">
        <f>Gastos[[#This Row],[Importe AR$]]/$N$1</f>
        <v>121.30581518151816</v>
      </c>
      <c r="M2402" s="76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1">
        <f>Gastos[[#This Row],[Importe AR$]]/$N$1</f>
        <v>14.489531353135312</v>
      </c>
      <c r="M2403" s="76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1">
        <f>Gastos[[#This Row],[Importe AR$]]/$N$1</f>
        <v>595.37953795379542</v>
      </c>
      <c r="M2404" s="76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1">
        <f>Gastos[[#This Row],[Importe AR$]]/$N$1</f>
        <v>635.026402640264</v>
      </c>
      <c r="M2405" s="76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1">
        <f>Gastos[[#This Row],[Importe AR$]]/$N$1</f>
        <v>596.72013201320135</v>
      </c>
      <c r="M2406" s="76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1">
        <f>Gastos[[#This Row],[Importe AR$]]/$N$1</f>
        <v>585.80858085808586</v>
      </c>
      <c r="M2407" s="76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1">
        <f>Gastos[[#This Row],[Importe AR$]]/$N$1</f>
        <v>2838.2838283828382</v>
      </c>
      <c r="M2408" s="76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1">
        <f>Gastos[[#This Row],[Importe AR$]]/$N$1</f>
        <v>3930.808184818482</v>
      </c>
      <c r="M2409" s="76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2">
        <f>Gastos[[#This Row],[Importe AR$]]/$N$1</f>
        <v>811.40534653465352</v>
      </c>
      <c r="L2410" t="s">
        <v>1081</v>
      </c>
      <c r="M2410" s="76"/>
      <c r="N2410" s="50" t="str">
        <f>IF(Gastos[[#This Row],[Fecha_Cheque]]&gt;0,WEEKNUM(Gastos[[#This Row],[Fecha_Cheque]]),MID(Gastos[[#This Row],[Semana]],6,2))</f>
        <v>12</v>
      </c>
      <c r="O2410" t="s">
        <v>3770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1">
        <f>Gastos[[#This Row],[Importe AR$]]/$N$1</f>
        <v>1798.0198019801981</v>
      </c>
      <c r="L2411" t="s">
        <v>959</v>
      </c>
      <c r="M2411" s="76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1">
        <f>Gastos[[#This Row],[Importe AR$]]/$N$1</f>
        <v>257.93093069306929</v>
      </c>
      <c r="L2412" t="s">
        <v>1083</v>
      </c>
      <c r="M2412" s="76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1">
        <f>Gastos[[#This Row],[Importe AR$]]/$N$1</f>
        <v>1321.1221122112211</v>
      </c>
      <c r="M2413" s="76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1">
        <f>Gastos[[#This Row],[Importe AR$]]/$N$1</f>
        <v>1321.1221122112211</v>
      </c>
      <c r="M2414" s="76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1">
        <f>Gastos[[#This Row],[Importe AR$]]/$N$1</f>
        <v>67.469630363036302</v>
      </c>
      <c r="M2415" s="76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1">
        <f>Gastos[[#This Row],[Importe AR$]]/$N$1</f>
        <v>1023.1023102310231</v>
      </c>
      <c r="M2416" s="76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1">
        <f>Gastos[[#This Row],[Importe AR$]]/$N$1</f>
        <v>136.42840264026404</v>
      </c>
      <c r="M2417" s="76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1">
        <f>Gastos[[#This Row],[Importe AR$]]/$N$1</f>
        <v>499.5187722772277</v>
      </c>
      <c r="M2418" s="76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1">
        <f>Gastos[[#This Row],[Importe AR$]]/$N$1</f>
        <v>163.46534653465346</v>
      </c>
      <c r="M2419" s="76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1">
        <f>Gastos[[#This Row],[Importe AR$]]/$N$1</f>
        <v>101.65016501650165</v>
      </c>
      <c r="M2420" s="76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1">
        <f>Gastos[[#This Row],[Importe AR$]]/$N$1</f>
        <v>2595.4335379537956</v>
      </c>
      <c r="M2421" s="76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1">
        <f>Gastos[[#This Row],[Importe AR$]]/$N$1</f>
        <v>2592.4764422442245</v>
      </c>
      <c r="M2422" s="76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1">
        <f>Gastos[[#This Row],[Importe AR$]]/$N$1</f>
        <v>3300.3300330033003</v>
      </c>
      <c r="M2423" s="76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1">
        <f>Gastos[[#This Row],[Importe AR$]]/$N$1</f>
        <v>1433.3593597359736</v>
      </c>
      <c r="M2424" s="76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1">
        <f>Gastos[[#This Row],[Importe AR$]]/$N$1</f>
        <v>1980.1980198019803</v>
      </c>
      <c r="M2425" s="76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1">
        <f>Gastos[[#This Row],[Importe AR$]]/$N$1</f>
        <v>3300.3300330033003</v>
      </c>
      <c r="M2426" s="76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1">
        <f>Gastos[[#This Row],[Importe AR$]]/$N$1</f>
        <v>132.01320132013203</v>
      </c>
      <c r="M2427" s="76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2">
        <f>Gastos[[#This Row],[Importe AR$]]/$N$1</f>
        <v>1678.51699669967</v>
      </c>
      <c r="M2428" s="76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1">
        <f>Gastos[[#This Row],[Importe AR$]]/$N$1</f>
        <v>378.1312343234323</v>
      </c>
      <c r="M2429" s="76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1">
        <f>Gastos[[#This Row],[Importe AR$]]/$N$1</f>
        <v>1584.1584158415842</v>
      </c>
      <c r="L2430" t="s">
        <v>2537</v>
      </c>
      <c r="M2430" s="76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1">
        <f>Gastos[[#This Row],[Importe AR$]]/$N$1</f>
        <v>63.366336633663366</v>
      </c>
      <c r="L2431" t="s">
        <v>215</v>
      </c>
      <c r="M2431" s="76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1">
        <f>Gastos[[#This Row],[Importe AR$]]/$N$1</f>
        <v>165.01650165016503</v>
      </c>
      <c r="L2432" t="s">
        <v>215</v>
      </c>
      <c r="M2432" s="76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1">
        <f>Gastos[[#This Row],[Importe AR$]]/$N$1</f>
        <v>198.01980198019803</v>
      </c>
      <c r="L2433" t="s">
        <v>215</v>
      </c>
      <c r="M2433" s="76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1">
        <f>Gastos[[#This Row],[Importe AR$]]/$N$1</f>
        <v>435.64356435643566</v>
      </c>
      <c r="L2434" t="s">
        <v>215</v>
      </c>
      <c r="M2434" s="76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1">
        <f>Gastos[[#This Row],[Importe AR$]]/$N$1</f>
        <v>441.58415841584156</v>
      </c>
      <c r="L2435" t="s">
        <v>215</v>
      </c>
      <c r="M2435" s="76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1">
        <f>Gastos[[#This Row],[Importe AR$]]/$N$1</f>
        <v>462.04620462046205</v>
      </c>
      <c r="M2436" s="76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1">
        <f>Gastos[[#This Row],[Importe AR$]]/$N$1</f>
        <v>442.24422442244224</v>
      </c>
      <c r="M2437" s="76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1">
        <f>Gastos[[#This Row],[Importe AR$]]/$N$1</f>
        <v>221.94719471947195</v>
      </c>
      <c r="M2438" s="76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1">
        <f>Gastos[[#This Row],[Importe AR$]]/$N$1</f>
        <v>250.91874587458747</v>
      </c>
      <c r="M2439" s="76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1">
        <f>Gastos[[#This Row],[Importe AR$]]/$N$1</f>
        <v>670.31023102310235</v>
      </c>
      <c r="M2440" s="76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1">
        <f>Gastos[[#This Row],[Importe AR$]]/$N$1</f>
        <v>384.48844884488449</v>
      </c>
      <c r="M2441" s="76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1">
        <f>Gastos[[#This Row],[Importe AR$]]/$N$1</f>
        <v>398.54785478547853</v>
      </c>
      <c r="M2442" s="76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1">
        <f>Gastos[[#This Row],[Importe AR$]]/$N$1</f>
        <v>908.38283828382839</v>
      </c>
      <c r="M2443" s="76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1">
        <f>Gastos[[#This Row],[Importe AR$]]/$N$1</f>
        <v>132.01320132013203</v>
      </c>
      <c r="M2444" s="76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1">
        <f>Gastos[[#This Row],[Importe AR$]]/$N$1</f>
        <v>132.01320132013203</v>
      </c>
      <c r="M2445" s="76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1">
        <f>Gastos[[#This Row],[Importe AR$]]/$N$1</f>
        <v>7558.9207986798674</v>
      </c>
      <c r="M2446" s="76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1">
        <f>Gastos[[#This Row],[Importe AR$]]/$N$1</f>
        <v>3126.0726072607263</v>
      </c>
      <c r="M2447" s="76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1">
        <f>Gastos[[#This Row],[Importe AR$]]/$N$1</f>
        <v>207.06600660066007</v>
      </c>
      <c r="M2448" s="76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1">
        <f>Gastos[[#This Row],[Importe AR$]]/$N$1</f>
        <v>607.04740594059399</v>
      </c>
      <c r="M2449" s="76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1">
        <f>Gastos[[#This Row],[Importe AR$]]/$N$1</f>
        <v>631.18047524752478</v>
      </c>
      <c r="M2450" s="76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1">
        <f>Gastos[[#This Row],[Importe AR$]]/$N$1</f>
        <v>483.73442244224424</v>
      </c>
      <c r="M2451" s="76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1">
        <f>Gastos[[#This Row],[Importe AR$]]/$N$1</f>
        <v>1026.6767326732672</v>
      </c>
      <c r="M2452" s="76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1">
        <f>Gastos[[#This Row],[Importe AR$]]/$N$1</f>
        <v>1059.4113531353134</v>
      </c>
      <c r="M2453" s="76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1">
        <f>Gastos[[#This Row],[Importe AR$]]/$N$1</f>
        <v>191.41914191419141</v>
      </c>
      <c r="M2454" s="76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1">
        <f>Gastos[[#This Row],[Importe AR$]]/$N$1</f>
        <v>190.32607260726073</v>
      </c>
      <c r="M2455" s="76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1">
        <f>Gastos[[#This Row],[Importe AR$]]/$N$1</f>
        <v>330.03300330033005</v>
      </c>
      <c r="M2456" s="76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1">
        <f>Gastos[[#This Row],[Importe AR$]]/$N$1</f>
        <v>205.51018481848183</v>
      </c>
      <c r="M2457" s="76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1">
        <f>Gastos[[#This Row],[Importe AR$]]/$N$1</f>
        <v>30.568488448844885</v>
      </c>
      <c r="M2458" s="76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1">
        <f>Gastos[[#This Row],[Importe AR$]]/$N$1</f>
        <v>133.41254125412541</v>
      </c>
      <c r="M2459" s="76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1">
        <f>Gastos[[#This Row],[Importe AR$]]/$N$1</f>
        <v>660.0660066006601</v>
      </c>
      <c r="M2460" s="76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1">
        <f>Gastos[[#This Row],[Importe AR$]]/$N$1</f>
        <v>403.71788118811878</v>
      </c>
      <c r="M2461" s="76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1">
        <f>Gastos[[#This Row],[Importe AR$]]/$N$1</f>
        <v>781.18114191419136</v>
      </c>
      <c r="M2462" s="76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1">
        <f>Gastos[[#This Row],[Importe AR$]]/$N$1</f>
        <v>136.1040594059406</v>
      </c>
      <c r="M2463" s="76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1">
        <f>Gastos[[#This Row],[Importe AR$]]/$N$1</f>
        <v>471.55115511551156</v>
      </c>
      <c r="L2464" t="s">
        <v>1713</v>
      </c>
      <c r="M2464" s="76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1">
        <f>Gastos[[#This Row],[Importe AR$]]/$N$1</f>
        <v>269.30693069306932</v>
      </c>
      <c r="M2465" s="76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1">
        <f>Gastos[[#This Row],[Importe AR$]]/$N$1</f>
        <v>102.97029702970298</v>
      </c>
      <c r="M2466" s="76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1">
        <f>Gastos[[#This Row],[Importe AR$]]/$N$1</f>
        <v>785.47854785478546</v>
      </c>
      <c r="M2467" s="76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1">
        <f>Gastos[[#This Row],[Importe AR$]]/$N$1</f>
        <v>5.8937293729372939</v>
      </c>
      <c r="M2468" s="76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1">
        <f>Gastos[[#This Row],[Importe AR$]]/$N$1</f>
        <v>70.627062706270621</v>
      </c>
      <c r="M2469" s="76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1">
        <f>Gastos[[#This Row],[Importe AR$]]/$N$1</f>
        <v>208.58085808580859</v>
      </c>
      <c r="M2470" s="76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1">
        <f>Gastos[[#This Row],[Importe AR$]]/$N$1</f>
        <v>229.31170297029701</v>
      </c>
      <c r="M2471" s="76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1">
        <f>Gastos[[#This Row],[Importe AR$]]/$N$1</f>
        <v>333.06453465346539</v>
      </c>
      <c r="M2472" s="76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1">
        <f>Gastos[[#This Row],[Importe AR$]]/$N$1</f>
        <v>718.15181518151815</v>
      </c>
      <c r="M2473" s="76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1">
        <f>Gastos[[#This Row],[Importe AR$]]/$N$1</f>
        <v>565.67656765676566</v>
      </c>
      <c r="M2474" s="76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1">
        <f>Gastos[[#This Row],[Importe AR$]]/$N$1</f>
        <v>132.01320132013203</v>
      </c>
      <c r="M2475" s="76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1">
        <f>Gastos[[#This Row],[Importe AR$]]/$N$1</f>
        <v>132.01320132013203</v>
      </c>
      <c r="M2476" s="76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1">
        <f>Gastos[[#This Row],[Importe AR$]]/$N$1</f>
        <v>165.01650165016503</v>
      </c>
      <c r="M2477" s="76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1">
        <f>Gastos[[#This Row],[Importe AR$]]/$N$1</f>
        <v>249.05940594059405</v>
      </c>
      <c r="M2478" s="76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1">
        <f>Gastos[[#This Row],[Importe AR$]]/$N$1</f>
        <v>26.138613861386137</v>
      </c>
      <c r="M2479" s="76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1">
        <f>Gastos[[#This Row],[Importe AR$]]/$N$1</f>
        <v>72.904290429042902</v>
      </c>
      <c r="M2480" s="76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1">
        <f>Gastos[[#This Row],[Importe AR$]]/$N$1</f>
        <v>69.702970297029708</v>
      </c>
      <c r="M2481" s="76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1">
        <f>Gastos[[#This Row],[Importe AR$]]/$N$1</f>
        <v>101.35313531353135</v>
      </c>
      <c r="M2482" s="76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1">
        <f>Gastos[[#This Row],[Importe AR$]]/$N$1</f>
        <v>135.44554455445544</v>
      </c>
      <c r="M2483" s="76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1">
        <f>Gastos[[#This Row],[Importe AR$]]/$N$1</f>
        <v>24.554455445544555</v>
      </c>
      <c r="M2484" s="76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1">
        <f>Gastos[[#This Row],[Importe AR$]]/$N$1</f>
        <v>13.201320132013201</v>
      </c>
      <c r="M2485" s="76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1">
        <f>Gastos[[#This Row],[Importe AR$]]/$N$1</f>
        <v>29612.071287128714</v>
      </c>
      <c r="M2486" s="76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1">
        <f>Gastos[[#This Row],[Importe AR$]]/$N$1</f>
        <v>29612.071287128714</v>
      </c>
      <c r="M2487" s="76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1">
        <f>Gastos[[#This Row],[Importe AR$]]/$N$1</f>
        <v>182.83828382838283</v>
      </c>
      <c r="M2488" s="76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1">
        <f>Gastos[[#This Row],[Importe AR$]]/$N$1</f>
        <v>231.02310231023102</v>
      </c>
      <c r="M2489" s="76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1">
        <f>Gastos[[#This Row],[Importe AR$]]/$N$1</f>
        <v>133.993399339934</v>
      </c>
      <c r="M2490" s="76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1">
        <f>Gastos[[#This Row],[Importe AR$]]/$N$1</f>
        <v>118.81188118811882</v>
      </c>
      <c r="M2491" s="76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1">
        <f>Gastos[[#This Row],[Importe AR$]]/$N$1</f>
        <v>92.409201320132013</v>
      </c>
      <c r="M2492" s="76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1">
        <f>Gastos[[#This Row],[Importe AR$]]/$N$1</f>
        <v>6099.8136633663362</v>
      </c>
      <c r="M2493" s="76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1">
        <f>Gastos[[#This Row],[Importe AR$]]/$N$1</f>
        <v>3083.8706270627063</v>
      </c>
      <c r="M2494" s="76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1">
        <f>Gastos[[#This Row],[Importe AR$]]/$N$1</f>
        <v>29071.219168316831</v>
      </c>
      <c r="M2495" s="76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1">
        <f>Gastos[[#This Row],[Importe AR$]]/$N$1</f>
        <v>3300.3300330033003</v>
      </c>
      <c r="M2496" s="76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1">
        <f>Gastos[[#This Row],[Importe AR$]]/$N$1</f>
        <v>184.67794719471948</v>
      </c>
      <c r="M2497" s="76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1">
        <f>Gastos[[#This Row],[Importe AR$]]/$N$1</f>
        <v>1161.0433333333333</v>
      </c>
      <c r="M2498" s="76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1">
        <f>Gastos[[#This Row],[Importe AR$]]/$N$1</f>
        <v>1161.0433333333333</v>
      </c>
      <c r="M2499" s="76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1">
        <f>Gastos[[#This Row],[Importe AR$]]/$N$1</f>
        <v>1161.0433333333333</v>
      </c>
      <c r="M2500" s="76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1">
        <f>Gastos[[#This Row],[Importe AR$]]/$N$1</f>
        <v>1161.0433333333333</v>
      </c>
      <c r="M2501" s="76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1">
        <f>Gastos[[#This Row],[Importe AR$]]/$N$1</f>
        <v>686.63</v>
      </c>
      <c r="M2502" s="76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1">
        <f>Gastos[[#This Row],[Importe AR$]]/$N$1</f>
        <v>686.63</v>
      </c>
      <c r="M2503" s="76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1">
        <f>Gastos[[#This Row],[Importe AR$]]/$N$1</f>
        <v>686.63</v>
      </c>
      <c r="M2504" s="76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1">
        <f>Gastos[[#This Row],[Importe AR$]]/$N$1</f>
        <v>660.0660066006601</v>
      </c>
      <c r="M2505" s="76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1">
        <f>Gastos[[#This Row],[Importe AR$]]/$N$1</f>
        <v>686.63</v>
      </c>
      <c r="M2506" s="76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1">
        <f>Gastos[[#This Row],[Importe AR$]]/$N$1</f>
        <v>168.25082508250824</v>
      </c>
      <c r="M2507" s="76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1">
        <f>Gastos[[#This Row],[Importe AR$]]/$N$1</f>
        <v>46.16</v>
      </c>
      <c r="L2508" t="s">
        <v>340</v>
      </c>
      <c r="M2508" s="76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1">
        <f>Gastos[[#This Row],[Importe AR$]]/$N$1</f>
        <v>431.93726072607257</v>
      </c>
      <c r="M2509" s="76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1">
        <f>Gastos[[#This Row],[Importe AR$]]/$N$1</f>
        <v>69.405280528052799</v>
      </c>
      <c r="M2510" s="76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1">
        <f>Gastos[[#This Row],[Importe AR$]]/$N$1</f>
        <v>4.1930693069306928</v>
      </c>
      <c r="M2511" s="76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1">
        <f>Gastos[[#This Row],[Importe AR$]]/$N$1</f>
        <v>1369.3993399339934</v>
      </c>
      <c r="M2512" s="76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1">
        <f>Gastos[[#This Row],[Importe AR$]]/$N$1</f>
        <v>660.0660066006601</v>
      </c>
      <c r="M2513" s="76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1">
        <f>Gastos[[#This Row],[Importe AR$]]/$N$1</f>
        <v>4.2526402640264029</v>
      </c>
      <c r="L2514" t="s">
        <v>340</v>
      </c>
      <c r="M2514" s="76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1">
        <f>Gastos[[#This Row],[Importe AR$]]/$N$1</f>
        <v>807.35973597359737</v>
      </c>
      <c r="M2515" s="76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1">
        <f>Gastos[[#This Row],[Importe AR$]]/$N$1</f>
        <v>1817.4599339933993</v>
      </c>
      <c r="M2516" s="76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1">
        <f>Gastos[[#This Row],[Importe AR$]]/$N$1</f>
        <v>3.6963696369636962</v>
      </c>
      <c r="M2517" s="76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1">
        <f>Gastos[[#This Row],[Importe AR$]]/$N$1</f>
        <v>66.006600660066013</v>
      </c>
      <c r="M2518" s="76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1">
        <f>Gastos[[#This Row],[Importe AR$]]/$N$1</f>
        <v>198.01980198019803</v>
      </c>
      <c r="M2519" s="76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1">
        <f>Gastos[[#This Row],[Importe AR$]]/$N$1</f>
        <v>262.97029702970298</v>
      </c>
      <c r="M2520" s="76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1">
        <f>Gastos[[#This Row],[Importe AR$]]/$N$1</f>
        <v>1320.1320132013202</v>
      </c>
      <c r="M2521" s="76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1">
        <f>Gastos[[#This Row],[Importe AR$]]/$N$1</f>
        <v>233.4953795379538</v>
      </c>
      <c r="M2522" s="76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1">
        <f>Gastos[[#This Row],[Importe AR$]]/$N$1</f>
        <v>0.91755775577557752</v>
      </c>
      <c r="L2523" t="s">
        <v>340</v>
      </c>
      <c r="M2523" s="76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1">
        <f>Gastos[[#This Row],[Importe AR$]]/$N$1</f>
        <v>2124.2187260726073</v>
      </c>
      <c r="M2524" s="76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1">
        <f>Gastos[[#This Row],[Importe AR$]]/$N$1</f>
        <v>1980.1980198019803</v>
      </c>
      <c r="M2525" s="76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1">
        <f>Gastos[[#This Row],[Importe AR$]]/$N$1</f>
        <v>2124.2187260726073</v>
      </c>
      <c r="M2526" s="76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1">
        <f>Gastos[[#This Row],[Importe AR$]]/$N$1</f>
        <v>2124.2187260726073</v>
      </c>
      <c r="M2527" s="76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1">
        <f>Gastos[[#This Row],[Importe AR$]]/$N$1</f>
        <v>2124.2187392739274</v>
      </c>
      <c r="M2528" s="76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1">
        <f>Gastos[[#This Row],[Importe AR$]]/$N$1</f>
        <v>142.80462046204622</v>
      </c>
      <c r="L2529" t="s">
        <v>340</v>
      </c>
      <c r="M2529" s="76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1">
        <f>Gastos[[#This Row],[Importe AR$]]/$N$1</f>
        <v>2907.3423432343238</v>
      </c>
      <c r="M2530" s="76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1">
        <f>Gastos[[#This Row],[Importe AR$]]/$N$1</f>
        <v>62.375590759075912</v>
      </c>
      <c r="M2531" s="76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1">
        <f>Gastos[[#This Row],[Importe AR$]]/$N$1</f>
        <v>363.03630363036302</v>
      </c>
      <c r="M2532" s="76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1">
        <f>Gastos[[#This Row],[Importe AR$]]/$N$1</f>
        <v>61.390442244224424</v>
      </c>
      <c r="M2533" s="76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1">
        <f>Gastos[[#This Row],[Importe AR$]]/$N$1</f>
        <v>739.07590759075913</v>
      </c>
      <c r="M2534" s="76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1">
        <f>Gastos[[#This Row],[Importe AR$]]/$N$1</f>
        <v>2970.3759273927394</v>
      </c>
      <c r="M2535" s="76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1">
        <f>Gastos[[#This Row],[Importe AR$]]/$N$1</f>
        <v>2970.3759273927394</v>
      </c>
      <c r="M2536" s="76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1">
        <f>Gastos[[#This Row],[Importe AR$]]/$N$1</f>
        <v>9.2568514851485144</v>
      </c>
      <c r="L2537" t="s">
        <v>340</v>
      </c>
      <c r="M2537" s="76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1">
        <f>Gastos[[#This Row],[Importe AR$]]/$N$1</f>
        <v>64.274818481848186</v>
      </c>
      <c r="L2538" t="s">
        <v>340</v>
      </c>
      <c r="M2538" s="76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1">
        <f>Gastos[[#This Row],[Importe AR$]]/$N$1</f>
        <v>2970.3759339933995</v>
      </c>
      <c r="M2539" s="76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1">
        <f>Gastos[[#This Row],[Importe AR$]]/$N$1</f>
        <v>479.20792079207922</v>
      </c>
      <c r="M2540" s="76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1">
        <f>Gastos[[#This Row],[Importe AR$]]/$N$1</f>
        <v>39.603960396039604</v>
      </c>
      <c r="M2541" s="76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1">
        <f>Gastos[[#This Row],[Importe AR$]]/$N$1</f>
        <v>132.01320132013203</v>
      </c>
      <c r="M2542" s="76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1">
        <f>Gastos[[#This Row],[Importe AR$]]/$N$1</f>
        <v>105.61056105610561</v>
      </c>
      <c r="M2543" s="76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1">
        <f>Gastos[[#This Row],[Importe AR$]]/$N$1</f>
        <v>289.52277227722772</v>
      </c>
      <c r="M2544" s="76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1">
        <f>Gastos[[#This Row],[Importe AR$]]/$N$1</f>
        <v>109.57095709570957</v>
      </c>
      <c r="M2545" s="76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1">
        <f>Gastos[[#This Row],[Importe AR$]]/$N$1</f>
        <v>71.287128712871294</v>
      </c>
      <c r="M2546" s="76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1">
        <f>Gastos[[#This Row],[Importe AR$]]/$N$1</f>
        <v>7.9207920792079207</v>
      </c>
      <c r="M2547" s="76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1">
        <f>Gastos[[#This Row],[Importe AR$]]/$N$1</f>
        <v>660.0660066006601</v>
      </c>
      <c r="M2548" s="76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1">
        <f>Gastos[[#This Row],[Importe AR$]]/$N$1</f>
        <v>68.646864686468646</v>
      </c>
      <c r="M2549" s="76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1">
        <f>Gastos[[#This Row],[Importe AR$]]/$N$1</f>
        <v>5280.5280528052808</v>
      </c>
      <c r="M2550" s="76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1">
        <f>Gastos[[#This Row],[Importe AR$]]/$N$1</f>
        <v>60.726072607260726</v>
      </c>
      <c r="M2551" s="76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1">
        <f>Gastos[[#This Row],[Importe AR$]]/$N$1</f>
        <v>62.503089108910885</v>
      </c>
      <c r="M2552" s="76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1">
        <f>Gastos[[#This Row],[Importe AR$]]/$N$1</f>
        <v>231.02310231023102</v>
      </c>
      <c r="M2553" s="76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1">
        <f>Gastos[[#This Row],[Importe AR$]]/$N$1</f>
        <v>12270.329663366338</v>
      </c>
      <c r="M2554" s="76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1">
        <f>Gastos[[#This Row],[Importe AR$]]/$N$1</f>
        <v>11634.91197359736</v>
      </c>
      <c r="M2555" s="76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1">
        <f>Gastos[[#This Row],[Importe AR$]]/$N$1</f>
        <v>12270.329663366338</v>
      </c>
      <c r="M2556" s="76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1">
        <f>Gastos[[#This Row],[Importe AR$]]/$N$1</f>
        <v>33.003650165016502</v>
      </c>
      <c r="M2557" s="76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1">
        <f>Gastos[[#This Row],[Importe AR$]]/$N$1</f>
        <v>1410.0927656765678</v>
      </c>
      <c r="M2558" s="76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1">
        <f>Gastos[[#This Row],[Importe AR$]]/$N$1</f>
        <v>11634.91197359736</v>
      </c>
      <c r="M2559" s="76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1">
        <f>Gastos[[#This Row],[Importe AR$]]/$N$1</f>
        <v>207.17324092409243</v>
      </c>
      <c r="M2560" s="76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1">
        <f>Gastos[[#This Row],[Importe AR$]]/$N$1</f>
        <v>231.02310231023102</v>
      </c>
      <c r="M2561" s="76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1">
        <f>Gastos[[#This Row],[Importe AR$]]/$N$1</f>
        <v>330.03300330033005</v>
      </c>
      <c r="M2562" s="76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1">
        <f>Gastos[[#This Row],[Importe AR$]]/$N$1</f>
        <v>660.0660066006601</v>
      </c>
      <c r="M2563" s="76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1">
        <f>Gastos[[#This Row],[Importe AR$]]/$N$1</f>
        <v>660.0660066006601</v>
      </c>
      <c r="M2564" s="76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1">
        <f>Gastos[[#This Row],[Importe AR$]]/$N$1</f>
        <v>689.83945874587459</v>
      </c>
      <c r="M2565" s="76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1">
        <f>Gastos[[#This Row],[Importe AR$]]/$N$1</f>
        <v>94.039603960396036</v>
      </c>
      <c r="M2566" s="76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1">
        <f>Gastos[[#This Row],[Importe AR$]]/$N$1</f>
        <v>21.119894389438944</v>
      </c>
      <c r="M2567" s="76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1">
        <f>Gastos[[#This Row],[Importe AR$]]/$N$1</f>
        <v>370.12673267326733</v>
      </c>
      <c r="M2568" s="76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1">
        <f>Gastos[[#This Row],[Importe AR$]]/$N$1</f>
        <v>1320.1320132013202</v>
      </c>
      <c r="M2569" s="76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1">
        <f>Gastos[[#This Row],[Importe AR$]]/$N$1</f>
        <v>12270.329663366338</v>
      </c>
      <c r="M2570" s="76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1">
        <f>Gastos[[#This Row],[Importe AR$]]/$N$1</f>
        <v>751.24467326732668</v>
      </c>
      <c r="L2571" t="s">
        <v>340</v>
      </c>
      <c r="M2571" s="76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78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1">
        <f>Gastos[[#This Row],[Importe AR$]]/$N$1</f>
        <v>265.67656765676566</v>
      </c>
      <c r="M2572" s="76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1">
        <f>Gastos[[#This Row],[Importe AR$]]/$N$1</f>
        <v>19.801980198019802</v>
      </c>
      <c r="M2573" s="76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1">
        <f>Gastos[[#This Row],[Importe AR$]]/$N$1</f>
        <v>198.87524752475247</v>
      </c>
      <c r="M2574" s="76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1">
        <f>Gastos[[#This Row],[Importe AR$]]/$N$1</f>
        <v>198.87524752475247</v>
      </c>
      <c r="M2575" s="76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1">
        <f>Gastos[[#This Row],[Importe AR$]]/$N$1</f>
        <v>833.71795379537946</v>
      </c>
      <c r="L2576" s="55"/>
      <c r="M2576" s="76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1">
        <f>Gastos[[#This Row],[Importe AR$]]/$N$1</f>
        <v>3157.5701914191418</v>
      </c>
      <c r="M2577" s="76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1">
        <f>Gastos[[#This Row],[Importe AR$]]/$N$1</f>
        <v>48.433590759075905</v>
      </c>
      <c r="M2578" s="76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1">
        <f>Gastos[[#This Row],[Importe AR$]]/$N$1</f>
        <v>2855.3772937293725</v>
      </c>
      <c r="L2579" s="55"/>
      <c r="M2579" s="76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1">
        <f>Gastos[[#This Row],[Importe AR$]]/$N$1</f>
        <v>2970.3759339933995</v>
      </c>
      <c r="L2580" s="55"/>
      <c r="M2580" s="76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1">
        <f>Gastos[[#This Row],[Importe AR$]]/$N$1</f>
        <v>2970.3759339933995</v>
      </c>
      <c r="L2581" s="55"/>
      <c r="M2581" s="76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1">
        <f>Gastos[[#This Row],[Importe AR$]]/$N$1</f>
        <v>2970.3759339933995</v>
      </c>
      <c r="L2582" s="55"/>
      <c r="M2582" s="76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1">
        <f>Gastos[[#This Row],[Importe AR$]]/$N$1</f>
        <v>211.48653465346533</v>
      </c>
      <c r="M2583" s="76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1">
        <f>Gastos[[#This Row],[Importe AR$]]/$N$1</f>
        <v>432.98369636963702</v>
      </c>
      <c r="M2584" s="76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1">
        <f>Gastos[[#This Row],[Importe AR$]]/$N$1</f>
        <v>11634.91197359736</v>
      </c>
      <c r="L2585" s="55"/>
      <c r="M2585" s="76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1">
        <f>Gastos[[#This Row],[Importe AR$]]/$N$1</f>
        <v>11634.91197359736</v>
      </c>
      <c r="L2586" s="55"/>
      <c r="M2586" s="76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1">
        <f>Gastos[[#This Row],[Importe AR$]]/$N$1</f>
        <v>330.87867986798682</v>
      </c>
      <c r="M2587" s="76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1">
        <f>Gastos[[#This Row],[Importe AR$]]/$N$1</f>
        <v>36.303630363036305</v>
      </c>
      <c r="M2588" s="76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1">
        <f>Gastos[[#This Row],[Importe AR$]]/$N$1</f>
        <v>11634.91197359736</v>
      </c>
      <c r="L2589" s="55"/>
      <c r="M2589" s="76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1">
        <f>Gastos[[#This Row],[Importe AR$]]/$N$1</f>
        <v>11634.91197359736</v>
      </c>
      <c r="L2590" s="55"/>
      <c r="M2590" s="76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1">
        <f>Gastos[[#This Row],[Importe AR$]]/$N$1</f>
        <v>11634.91197359736</v>
      </c>
      <c r="L2591" s="55"/>
      <c r="M2591" s="76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1">
        <f>Gastos[[#This Row],[Importe AR$]]/$N$1</f>
        <v>11634.91197359736</v>
      </c>
      <c r="L2592" s="55"/>
      <c r="M2592" s="76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1">
        <f>Gastos[[#This Row],[Importe AR$]]/$N$1</f>
        <v>11634.91197359736</v>
      </c>
      <c r="L2593" s="55"/>
      <c r="M2593" s="76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1">
        <f>Gastos[[#This Row],[Importe AR$]]/$N$1</f>
        <v>11634.91197359736</v>
      </c>
      <c r="L2594" s="55"/>
      <c r="M2594" s="76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1">
        <f>Gastos[[#This Row],[Importe AR$]]/$N$1</f>
        <v>11634.91197359736</v>
      </c>
      <c r="L2595" s="55"/>
      <c r="M2595" s="76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1">
        <f>Gastos[[#This Row],[Importe AR$]]/$N$1</f>
        <v>11634.91197359736</v>
      </c>
      <c r="M2596" s="76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1">
        <f>Gastos[[#This Row],[Importe AR$]]/$N$1</f>
        <v>11634.91197359736</v>
      </c>
      <c r="M2597" s="76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1">
        <f>Gastos[[#This Row],[Importe AR$]]/$N$1</f>
        <v>11634.91197359736</v>
      </c>
      <c r="M2598" s="76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1">
        <f>Gastos[[#This Row],[Importe AR$]]/$N$1</f>
        <v>297.02970297029702</v>
      </c>
      <c r="M2599" s="76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1">
        <f>Gastos[[#This Row],[Importe AR$]]/$N$1</f>
        <v>528.0528052805281</v>
      </c>
      <c r="M2600" s="76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1">
        <f>Gastos[[#This Row],[Importe AR$]]/$N$1</f>
        <v>12.750996699669965</v>
      </c>
      <c r="M2601" s="76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1">
        <f>Gastos[[#This Row],[Importe AR$]]/$N$1</f>
        <v>11634.91197359736</v>
      </c>
      <c r="M2602" s="76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1">
        <f>Gastos[[#This Row],[Importe AR$]]/$N$1</f>
        <v>11634.91197359736</v>
      </c>
      <c r="M2603" s="76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1">
        <f>Gastos[[#This Row],[Importe AR$]]/$N$1</f>
        <v>11634.91197359736</v>
      </c>
      <c r="M2604" s="76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1">
        <f>Gastos[[#This Row],[Importe AR$]]/$N$1</f>
        <v>3141.9315379537957</v>
      </c>
      <c r="M2605" s="76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78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1">
        <f>Gastos[[#This Row],[Importe AR$]]/$N$1</f>
        <v>710.26811881188121</v>
      </c>
      <c r="M2606" s="76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1">
        <f>Gastos[[#This Row],[Importe AR$]]/$N$1</f>
        <v>11.035643564356436</v>
      </c>
      <c r="L2607" t="s">
        <v>340</v>
      </c>
      <c r="M2607" s="76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1">
        <f>Gastos[[#This Row],[Importe AR$]]/$N$1</f>
        <v>52.80528712871287</v>
      </c>
      <c r="M2608" s="76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1">
        <f>Gastos[[#This Row],[Importe AR$]]/$N$1</f>
        <v>1281.1110297029702</v>
      </c>
      <c r="M2609" s="76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1">
        <f>Gastos[[#This Row],[Importe AR$]]/$N$1</f>
        <v>516.10309570957088</v>
      </c>
      <c r="M2610" s="76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1">
        <f>Gastos[[#This Row],[Importe AR$]]/$N$1</f>
        <v>1281.1110297029702</v>
      </c>
      <c r="M2611" s="76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1">
        <f>Gastos[[#This Row],[Importe AR$]]/$N$1</f>
        <v>112.04211221122111</v>
      </c>
      <c r="M2612" s="76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1">
        <f>Gastos[[#This Row],[Importe AR$]]/$N$1</f>
        <v>264.02640264026405</v>
      </c>
      <c r="M2613" s="76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1">
        <f>Gastos[[#This Row],[Importe AR$]]/$N$1</f>
        <v>429.04085148514855</v>
      </c>
      <c r="M2614" s="76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1">
        <f>Gastos[[#This Row],[Importe AR$]]/$N$1</f>
        <v>56.105610561056103</v>
      </c>
      <c r="M2615" s="76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1">
        <f>Gastos[[#This Row],[Importe AR$]]/$N$1</f>
        <v>1281.1110297029702</v>
      </c>
      <c r="M2616" s="76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1">
        <f>Gastos[[#This Row],[Importe AR$]]/$N$1</f>
        <v>61.587036303630363</v>
      </c>
      <c r="L2617" t="s">
        <v>340</v>
      </c>
      <c r="M2617" s="76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1">
        <f>Gastos[[#This Row],[Importe AR$]]/$N$1</f>
        <v>46.666666666666664</v>
      </c>
      <c r="M2618" s="76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1">
        <f>Gastos[[#This Row],[Importe AR$]]/$N$1</f>
        <v>221.78217821782178</v>
      </c>
      <c r="M2619" s="76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1">
        <f>Gastos[[#This Row],[Importe AR$]]/$N$1</f>
        <v>820.77358415841582</v>
      </c>
      <c r="L2620" t="s">
        <v>2715</v>
      </c>
      <c r="M2620" s="76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1">
        <f>Gastos[[#This Row],[Importe AR$]]/$N$1</f>
        <v>10.787716171617161</v>
      </c>
      <c r="M2621" s="76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1">
        <f>Gastos[[#This Row],[Importe AR$]]/$N$1</f>
        <v>390.75907590759078</v>
      </c>
      <c r="M2622" s="76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1">
        <f>Gastos[[#This Row],[Importe AR$]]/$N$1</f>
        <v>12736.231221122112</v>
      </c>
      <c r="M2623" s="76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1">
        <f>Gastos[[#This Row],[Importe AR$]]/$N$1</f>
        <v>12736.231221122112</v>
      </c>
      <c r="M2624" s="76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1">
        <f>Gastos[[#This Row],[Importe AR$]]/$N$1</f>
        <v>12736.231221122112</v>
      </c>
      <c r="M2625" s="76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1">
        <f>Gastos[[#This Row],[Importe AR$]]/$N$1</f>
        <v>779.79108910891091</v>
      </c>
      <c r="M2626" s="76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1">
        <f>Gastos[[#This Row],[Importe AR$]]/$N$1</f>
        <v>4037.9302574257426</v>
      </c>
      <c r="M2627" s="76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1">
        <f>Gastos[[#This Row],[Importe AR$]]/$N$1</f>
        <v>4037.9302574257426</v>
      </c>
      <c r="M2628" s="76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1">
        <f>Gastos[[#This Row],[Importe AR$]]/$N$1</f>
        <v>4037.9302706270628</v>
      </c>
      <c r="M2629" s="76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1">
        <f>Gastos[[#This Row],[Importe AR$]]/$N$1</f>
        <v>244.20277887788779</v>
      </c>
      <c r="M2630" s="76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1">
        <f>Gastos[[#This Row],[Importe AR$]]/$N$1</f>
        <v>2640.2640264026404</v>
      </c>
      <c r="M2631" s="76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1">
        <f>Gastos[[#This Row],[Importe AR$]]/$N$1</f>
        <v>33.003300330033007</v>
      </c>
      <c r="M2632" s="76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1">
        <f>Gastos[[#This Row],[Importe AR$]]/$N$1</f>
        <v>293.74566996699673</v>
      </c>
      <c r="M2633" s="76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1">
        <f>Gastos[[#This Row],[Importe AR$]]/$N$1</f>
        <v>1.9301056105610561</v>
      </c>
      <c r="M2634" s="76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x14ac:dyDescent="0.25">
      <c r="A2635" s="3" t="s">
        <v>3990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1">
        <f>Gastos[[#This Row],[Importe AR$]]/$N$1</f>
        <v>807.35973597359737</v>
      </c>
      <c r="M2635" s="76"/>
      <c r="N2635" s="50" t="str">
        <f>IF(Gastos[[#This Row],[Fecha_Cheque]]&gt;0,WEEKNUM(Gastos[[#This Row],[Fecha_Cheque]]),MID(Gastos[[#This Row],[Semana]],6,2))</f>
        <v>32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1">
        <f>Gastos[[#This Row],[Importe AR$]]/$N$1</f>
        <v>990.09900990099015</v>
      </c>
      <c r="M2636" s="76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1">
        <f>Gastos[[#This Row],[Importe AR$]]/$N$1</f>
        <v>302.31023102310229</v>
      </c>
      <c r="M2637" s="76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1">
        <f>Gastos[[#This Row],[Importe AR$]]/$N$1</f>
        <v>30376.192739273927</v>
      </c>
      <c r="L2638" t="s">
        <v>2735</v>
      </c>
      <c r="M2638" s="76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1">
        <f>Gastos[[#This Row],[Importe AR$]]/$N$1</f>
        <v>9583.134541254125</v>
      </c>
      <c r="M2639" s="76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1">
        <f>Gastos[[#This Row],[Importe AR$]]/$N$1</f>
        <v>158.39891089108912</v>
      </c>
      <c r="L2640" t="s">
        <v>340</v>
      </c>
      <c r="M2640" s="76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1">
        <f>Gastos[[#This Row],[Importe AR$]]/$N$1</f>
        <v>158.39891089108912</v>
      </c>
      <c r="M2641" s="76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1">
        <f>Gastos[[#This Row],[Importe AR$]]/$N$1</f>
        <v>330.03300330033005</v>
      </c>
      <c r="M2642" s="76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1">
        <f>Gastos[[#This Row],[Importe AR$]]/$N$1</f>
        <v>66.006600660066013</v>
      </c>
      <c r="M2643" s="76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1">
        <f>Gastos[[#This Row],[Importe AR$]]/$N$1</f>
        <v>379.86798679867985</v>
      </c>
      <c r="M2644" s="76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1">
        <f>Gastos[[#This Row],[Importe AR$]]/$N$1</f>
        <v>840.58085808580859</v>
      </c>
      <c r="M2645" s="76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1">
        <f>Gastos[[#This Row],[Importe AR$]]/$N$1</f>
        <v>127.83593399339934</v>
      </c>
      <c r="M2646" s="76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1">
        <f>Gastos[[#This Row],[Importe AR$]]/$N$1</f>
        <v>17.504950495049506</v>
      </c>
      <c r="M2647" s="76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1">
        <f>Gastos[[#This Row],[Importe AR$]]/$N$1</f>
        <v>918.75907590759073</v>
      </c>
      <c r="M2648" s="76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1">
        <f>Gastos[[#This Row],[Importe AR$]]/$N$1</f>
        <v>12.229003300330032</v>
      </c>
      <c r="L2649" t="s">
        <v>340</v>
      </c>
      <c r="M2649" s="76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1">
        <f>Gastos[[#This Row],[Importe AR$]]/$N$1</f>
        <v>332.75727392739276</v>
      </c>
      <c r="M2650" s="76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1">
        <f>Gastos[[#This Row],[Importe AR$]]/$N$1</f>
        <v>5.5925610561056098</v>
      </c>
      <c r="L2651" t="s">
        <v>340</v>
      </c>
      <c r="M2651" s="76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1">
        <f>Gastos[[#This Row],[Importe AR$]]/$N$1</f>
        <v>125.41254785478549</v>
      </c>
      <c r="M2652" s="76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1">
        <f>Gastos[[#This Row],[Importe AR$]]/$N$1</f>
        <v>184.81848184818483</v>
      </c>
      <c r="M2653" s="76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1">
        <f>Gastos[[#This Row],[Importe AR$]]/$N$1</f>
        <v>59.900990099009903</v>
      </c>
      <c r="M2654" s="76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1">
        <f>Gastos[[#This Row],[Importe AR$]]/$N$1</f>
        <v>98.415841584158414</v>
      </c>
      <c r="M2655" s="76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1">
        <f>Gastos[[#This Row],[Importe AR$]]/$N$1</f>
        <v>118.81824422442246</v>
      </c>
      <c r="M2656" s="76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1">
        <f>Gastos[[#This Row],[Importe AR$]]/$N$1</f>
        <v>6019.661386138614</v>
      </c>
      <c r="M2657" s="76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1">
        <f>Gastos[[#This Row],[Importe AR$]]/$N$1</f>
        <v>2446.6732673267325</v>
      </c>
      <c r="L2658" t="s">
        <v>2768</v>
      </c>
      <c r="M2658" s="76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1">
        <f>Gastos[[#This Row],[Importe AR$]]/$N$1</f>
        <v>2446.6732673267325</v>
      </c>
      <c r="M2659" s="76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1">
        <f>Gastos[[#This Row],[Importe AR$]]/$N$1</f>
        <v>79.234323432343231</v>
      </c>
      <c r="M2660" s="76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1">
        <f>Gastos[[#This Row],[Importe AR$]]/$N$1</f>
        <v>297.02970297029702</v>
      </c>
      <c r="M2661" s="76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1">
        <f>Gastos[[#This Row],[Importe AR$]]/$N$1</f>
        <v>297.02970297029702</v>
      </c>
      <c r="M2662" s="76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1">
        <f>Gastos[[#This Row],[Importe AR$]]/$N$1</f>
        <v>1806.2585478547855</v>
      </c>
      <c r="M2663" s="76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1">
        <f>Gastos[[#This Row],[Importe AR$]]/$N$1</f>
        <v>112.21122112211221</v>
      </c>
      <c r="M2664" s="76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1">
        <f>Gastos[[#This Row],[Importe AR$]]/$N$1</f>
        <v>25.845782178217821</v>
      </c>
      <c r="L2665" t="s">
        <v>340</v>
      </c>
      <c r="M2665" s="76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1">
        <f>Gastos[[#This Row],[Importe AR$]]/$N$1</f>
        <v>871.28712871287132</v>
      </c>
      <c r="M2666" s="76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1">
        <f>Gastos[[#This Row],[Importe AR$]]/$N$1</f>
        <v>871.28712871287132</v>
      </c>
      <c r="M2667" s="76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1">
        <f>Gastos[[#This Row],[Importe AR$]]/$N$1</f>
        <v>1806.2585478547855</v>
      </c>
      <c r="M2668" s="76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1">
        <f>Gastos[[#This Row],[Importe AR$]]/$N$1</f>
        <v>111.55115511551155</v>
      </c>
      <c r="M2669" s="76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1">
        <f>Gastos[[#This Row],[Importe AR$]]/$N$1</f>
        <v>67.539201320132008</v>
      </c>
      <c r="M2670" s="76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1">
        <f>Gastos[[#This Row],[Importe AR$]]/$N$1</f>
        <v>264.02640264026405</v>
      </c>
      <c r="M2671" s="76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1">
        <f>Gastos[[#This Row],[Importe AR$]]/$N$1</f>
        <v>5.6911815181518151</v>
      </c>
      <c r="L2672" t="s">
        <v>340</v>
      </c>
      <c r="M2672" s="76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1">
        <f>Gastos[[#This Row],[Importe AR$]]/$N$1</f>
        <v>19.801980198019802</v>
      </c>
      <c r="M2673" s="76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1">
        <f>Gastos[[#This Row],[Importe AR$]]/$N$1</f>
        <v>707.81742574257419</v>
      </c>
      <c r="M2674" s="76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1">
        <f>Gastos[[#This Row],[Importe AR$]]/$N$1</f>
        <v>10.994455445544553</v>
      </c>
      <c r="M2675" s="76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1">
        <f>Gastos[[#This Row],[Importe AR$]]/$N$1</f>
        <v>59.812937293729377</v>
      </c>
      <c r="L2676" t="s">
        <v>340</v>
      </c>
      <c r="M2676" s="76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1">
        <f>Gastos[[#This Row],[Importe AR$]]/$N$1</f>
        <v>264.02640264026405</v>
      </c>
      <c r="M2677" s="76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1">
        <f>Gastos[[#This Row],[Importe AR$]]/$N$1</f>
        <v>1.4069768976897692</v>
      </c>
      <c r="L2678" t="s">
        <v>340</v>
      </c>
      <c r="M2678" s="76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1">
        <f>Gastos[[#This Row],[Importe AR$]]/$N$1</f>
        <v>14.851485148514852</v>
      </c>
      <c r="M2679" s="76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1">
        <f>Gastos[[#This Row],[Importe AR$]]/$N$1</f>
        <v>2640.2640264026404</v>
      </c>
      <c r="M2680" s="76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1">
        <f>Gastos[[#This Row],[Importe AR$]]/$N$1</f>
        <v>878.1102310231023</v>
      </c>
      <c r="M2681" s="76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1">
        <f>Gastos[[#This Row],[Importe AR$]]/$N$1</f>
        <v>6019.661386138614</v>
      </c>
      <c r="M2682" s="76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1">
        <f>Gastos[[#This Row],[Importe AR$]]/$N$1</f>
        <v>324.2892277227723</v>
      </c>
      <c r="M2683" s="76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1">
        <f>Gastos[[#This Row],[Importe AR$]]/$N$1</f>
        <v>52.812719471947197</v>
      </c>
      <c r="M2684" s="76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1">
        <f>Gastos[[#This Row],[Importe AR$]]/$N$1</f>
        <v>1584.1584158415842</v>
      </c>
      <c r="M2685" s="76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1">
        <f>Gastos[[#This Row],[Importe AR$]]/$N$1</f>
        <v>25.297702970297028</v>
      </c>
      <c r="M2686" s="76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1">
        <f>Gastos[[#This Row],[Importe AR$]]/$N$1</f>
        <v>2.4434455445544554</v>
      </c>
      <c r="L2687" t="s">
        <v>340</v>
      </c>
      <c r="M2687" s="76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1">
        <f>Gastos[[#This Row],[Importe AR$]]/$N$1</f>
        <v>1158.4158415841584</v>
      </c>
      <c r="M2688" s="76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1">
        <f>Gastos[[#This Row],[Importe AR$]]/$N$1</f>
        <v>19.241438943894387</v>
      </c>
      <c r="L2689" t="s">
        <v>340</v>
      </c>
      <c r="M2689" s="76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1">
        <f>Gastos[[#This Row],[Importe AR$]]/$N$1</f>
        <v>648.46316831683168</v>
      </c>
      <c r="M2690" s="76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1">
        <f>Gastos[[#This Row],[Importe AR$]]/$N$1</f>
        <v>648.46316831683168</v>
      </c>
      <c r="M2691" s="76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1">
        <f>Gastos[[#This Row],[Importe AR$]]/$N$1</f>
        <v>20.895445544554455</v>
      </c>
      <c r="L2692" t="s">
        <v>340</v>
      </c>
      <c r="M2692" s="76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1">
        <f>Gastos[[#This Row],[Importe AR$]]/$N$1</f>
        <v>291.66875247524752</v>
      </c>
      <c r="M2693" s="76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1">
        <f>Gastos[[#This Row],[Importe AR$]]/$N$1</f>
        <v>334.0740924092409</v>
      </c>
      <c r="M2694" s="76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1">
        <f>Gastos[[#This Row],[Importe AR$]]/$N$1</f>
        <v>836.56733993399337</v>
      </c>
      <c r="M2695" s="76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1">
        <f>Gastos[[#This Row],[Importe AR$]]/$N$1</f>
        <v>21.213320132013202</v>
      </c>
      <c r="L2696" t="s">
        <v>340</v>
      </c>
      <c r="M2696" s="76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1">
        <f>Gastos[[#This Row],[Importe AR$]]/$N$1</f>
        <v>6019.661386138614</v>
      </c>
      <c r="M2697" s="76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1">
        <f>Gastos[[#This Row],[Importe AR$]]/$N$1</f>
        <v>25.14851485148515</v>
      </c>
      <c r="M2698" s="76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1">
        <f>Gastos[[#This Row],[Importe AR$]]/$N$1</f>
        <v>463.15445544554456</v>
      </c>
      <c r="M2699" s="76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1">
        <f>Gastos[[#This Row],[Importe AR$]]/$N$1</f>
        <v>394.93135313531354</v>
      </c>
      <c r="M2700" s="76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1">
        <f>Gastos[[#This Row],[Importe AR$]]/$N$1</f>
        <v>493.87286468646863</v>
      </c>
      <c r="M2701" s="76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1">
        <f>Gastos[[#This Row],[Importe AR$]]/$N$1</f>
        <v>66.006600660066013</v>
      </c>
      <c r="M2702" s="76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1">
        <f>Gastos[[#This Row],[Importe AR$]]/$N$1</f>
        <v>66.006600660066013</v>
      </c>
      <c r="M2703" s="76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1">
        <f>Gastos[[#This Row],[Importe AR$]]/$N$1</f>
        <v>76.077135313531357</v>
      </c>
      <c r="M2704" s="76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1">
        <f>Gastos[[#This Row],[Importe AR$]]/$N$1</f>
        <v>0.49052145214521453</v>
      </c>
      <c r="L2705" t="s">
        <v>340</v>
      </c>
      <c r="M2705" s="76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1">
        <f>Gastos[[#This Row],[Importe AR$]]/$N$1</f>
        <v>50.528052805280531</v>
      </c>
      <c r="M2706" s="76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1">
        <f>Gastos[[#This Row],[Importe AR$]]/$N$1</f>
        <v>21.782178217821784</v>
      </c>
      <c r="M2707" s="76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1">
        <f>Gastos[[#This Row],[Importe AR$]]/$N$1</f>
        <v>26.402640264026402</v>
      </c>
      <c r="M2708" s="76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1">
        <f>Gastos[[#This Row],[Importe AR$]]/$N$1</f>
        <v>13.531353135313532</v>
      </c>
      <c r="M2709" s="76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1">
        <f>Gastos[[#This Row],[Importe AR$]]/$N$1</f>
        <v>462.04620462046205</v>
      </c>
      <c r="M2710" s="76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1">
        <f>Gastos[[#This Row],[Importe AR$]]/$N$1</f>
        <v>139.66930693069307</v>
      </c>
      <c r="M2711" s="76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1">
        <f>Gastos[[#This Row],[Importe AR$]]/$N$1</f>
        <v>17.161702970297029</v>
      </c>
      <c r="M2712" s="76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1">
        <f>Gastos[[#This Row],[Importe AR$]]/$N$1</f>
        <v>260.38951155115512</v>
      </c>
      <c r="M2713" s="76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1">
        <f>Gastos[[#This Row],[Importe AR$]]/$N$1</f>
        <v>3.4913597359735973</v>
      </c>
      <c r="L2714" t="s">
        <v>340</v>
      </c>
      <c r="M2714" s="76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1">
        <f>Gastos[[#This Row],[Importe AR$]]/$N$1</f>
        <v>7.9207920792079207</v>
      </c>
      <c r="M2715" s="76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1">
        <f>Gastos[[#This Row],[Importe AR$]]/$N$1</f>
        <v>6019.661386138614</v>
      </c>
      <c r="M2716" s="76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1">
        <f>Gastos[[#This Row],[Importe AR$]]/$N$1</f>
        <v>146.66670627062706</v>
      </c>
      <c r="M2717" s="76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1">
        <f>Gastos[[#This Row],[Importe AR$]]/$N$1</f>
        <v>10.891089108910892</v>
      </c>
      <c r="M2718" s="76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1">
        <f>Gastos[[#This Row],[Importe AR$]]/$N$1</f>
        <v>6019.6623300330029</v>
      </c>
      <c r="M2719" s="76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1">
        <f>Gastos[[#This Row],[Importe AR$]]/$N$1</f>
        <v>198.01980198019803</v>
      </c>
      <c r="M2720" s="76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1">
        <f>Gastos[[#This Row],[Importe AR$]]/$N$1</f>
        <v>0.31596039603960396</v>
      </c>
      <c r="L2721" t="s">
        <v>340</v>
      </c>
      <c r="M2721" s="76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1">
        <f>Gastos[[#This Row],[Importe AR$]]/$N$1</f>
        <v>840.9718811881188</v>
      </c>
      <c r="M2722" s="76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1">
        <f>Gastos[[#This Row],[Importe AR$]]/$N$1</f>
        <v>840.9718811881188</v>
      </c>
      <c r="M2723" s="76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1">
        <f>Gastos[[#This Row],[Importe AR$]]/$N$1</f>
        <v>3430.3154917491747</v>
      </c>
      <c r="M2724" s="76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1">
        <f>Gastos[[#This Row],[Importe AR$]]/$N$1</f>
        <v>561.6681386138614</v>
      </c>
      <c r="M2725" s="76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1">
        <f>Gastos[[#This Row],[Importe AR$]]/$N$1</f>
        <v>499.66996699669966</v>
      </c>
      <c r="M2726" s="76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1">
        <f>Gastos[[#This Row],[Importe AR$]]/$N$1</f>
        <v>499.66996699669966</v>
      </c>
      <c r="M2727" s="76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1">
        <f>Gastos[[#This Row],[Importe AR$]]/$N$1</f>
        <v>16.868646864686468</v>
      </c>
      <c r="L2728" t="s">
        <v>340</v>
      </c>
      <c r="M2728" s="76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1">
        <f>Gastos[[#This Row],[Importe AR$]]/$N$1</f>
        <v>720.0821122112211</v>
      </c>
      <c r="M2729" s="76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1">
        <f>Gastos[[#This Row],[Importe AR$]]/$N$1</f>
        <v>26.403201320132013</v>
      </c>
      <c r="M2730" s="76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1">
        <f>Gastos[[#This Row],[Importe AR$]]/$N$1</f>
        <v>19.801980198019802</v>
      </c>
      <c r="M2731" s="76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1">
        <f>Gastos[[#This Row],[Importe AR$]]/$N$1</f>
        <v>990.09900990099015</v>
      </c>
      <c r="M2732" s="76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1">
        <f>Gastos[[#This Row],[Importe AR$]]/$N$1</f>
        <v>105.60853465346534</v>
      </c>
      <c r="M2733" s="76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1">
        <f>Gastos[[#This Row],[Importe AR$]]/$N$1</f>
        <v>1452.1452145214521</v>
      </c>
      <c r="M2734" s="76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1">
        <f>Gastos[[#This Row],[Importe AR$]]/$N$1</f>
        <v>106.27676567656765</v>
      </c>
      <c r="M2735" s="76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1">
        <f>Gastos[[#This Row],[Importe AR$]]/$N$1</f>
        <v>394.43051485148516</v>
      </c>
      <c r="M2736" s="76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1">
        <f>Gastos[[#This Row],[Importe AR$]]/$N$1</f>
        <v>830.28655445544553</v>
      </c>
      <c r="M2737" s="76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1">
        <f>Gastos[[#This Row],[Importe AR$]]/$N$1</f>
        <v>10.947524752475248</v>
      </c>
      <c r="L2738" t="s">
        <v>340</v>
      </c>
      <c r="M2738" s="76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1">
        <f>Gastos[[#This Row],[Importe AR$]]/$N$1</f>
        <v>3.6222904290429048</v>
      </c>
      <c r="L2739" t="s">
        <v>340</v>
      </c>
      <c r="M2739" s="76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1">
        <f>Gastos[[#This Row],[Importe AR$]]/$N$1</f>
        <v>319.64407260726074</v>
      </c>
      <c r="M2740" s="76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1">
        <f>Gastos[[#This Row],[Importe AR$]]/$N$1</f>
        <v>951.28085808580863</v>
      </c>
      <c r="M2741" s="76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1">
        <f>Gastos[[#This Row],[Importe AR$]]/$N$1</f>
        <v>199.32673267326732</v>
      </c>
      <c r="M2742" s="76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1">
        <f>Gastos[[#This Row],[Importe AR$]]/$N$1</f>
        <v>0.34323432343234322</v>
      </c>
      <c r="L2743" t="s">
        <v>340</v>
      </c>
      <c r="M2743" s="76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1">
        <f>Gastos[[#This Row],[Importe AR$]]/$N$1</f>
        <v>205.00118811881188</v>
      </c>
      <c r="M2744" s="76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1">
        <f>Gastos[[#This Row],[Importe AR$]]/$N$1</f>
        <v>2.5437623762376238</v>
      </c>
      <c r="L2745" t="s">
        <v>340</v>
      </c>
      <c r="M2745" s="76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1">
        <f>Gastos[[#This Row],[Importe AR$]]/$N$1</f>
        <v>73.390891089108905</v>
      </c>
      <c r="L2746" t="s">
        <v>340</v>
      </c>
      <c r="M2746" s="76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1">
        <f>Gastos[[#This Row],[Importe AR$]]/$N$1</f>
        <v>2272.8311551155116</v>
      </c>
      <c r="M2747" s="76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1">
        <f>Gastos[[#This Row],[Importe AR$]]/$N$1</f>
        <v>87.980198019801975</v>
      </c>
      <c r="M2748" s="76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1">
        <f>Gastos[[#This Row],[Importe AR$]]/$N$1</f>
        <v>294.4280792079208</v>
      </c>
      <c r="M2749" s="76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1">
        <f>Gastos[[#This Row],[Importe AR$]]/$N$1</f>
        <v>1.9415775577557755</v>
      </c>
      <c r="L2750" t="s">
        <v>340</v>
      </c>
      <c r="M2750" s="76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1">
        <f>Gastos[[#This Row],[Importe AR$]]/$N$1</f>
        <v>2272.8311551155116</v>
      </c>
      <c r="M2751" s="76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1">
        <f>Gastos[[#This Row],[Importe AR$]]/$N$1</f>
        <v>333.96916831683166</v>
      </c>
      <c r="M2752" s="76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1">
        <f>Gastos[[#This Row],[Importe AR$]]/$N$1</f>
        <v>2.605023102310231</v>
      </c>
      <c r="L2753" t="s">
        <v>340</v>
      </c>
      <c r="M2753" s="76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1">
        <f>Gastos[[#This Row],[Importe AR$]]/$N$1</f>
        <v>18.049927392739274</v>
      </c>
      <c r="L2754" t="s">
        <v>340</v>
      </c>
      <c r="M2754" s="76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1">
        <f>Gastos[[#This Row],[Importe AR$]]/$N$1</f>
        <v>60.594059405940591</v>
      </c>
      <c r="M2755" s="76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1">
        <f>Gastos[[#This Row],[Importe AR$]]/$N$1</f>
        <v>9.0953927392739278</v>
      </c>
      <c r="L2756" t="s">
        <v>340</v>
      </c>
      <c r="M2756" s="76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1">
        <f>Gastos[[#This Row],[Importe AR$]]/$N$1</f>
        <v>601.59859405940597</v>
      </c>
      <c r="M2757" s="76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1">
        <f>Gastos[[#This Row],[Importe AR$]]/$N$1</f>
        <v>10.110871287128713</v>
      </c>
      <c r="L2758" t="s">
        <v>340</v>
      </c>
      <c r="M2758" s="76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1">
        <f>Gastos[[#This Row],[Importe AR$]]/$N$1</f>
        <v>341.49834983498351</v>
      </c>
      <c r="M2759" s="76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1">
        <f>Gastos[[#This Row],[Importe AR$]]/$N$1</f>
        <v>78.785432343234319</v>
      </c>
      <c r="M2760" s="76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1">
        <f>Gastos[[#This Row],[Importe AR$]]/$N$1</f>
        <v>0.42248844884488451</v>
      </c>
      <c r="L2761" t="s">
        <v>340</v>
      </c>
      <c r="M2761" s="76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1">
        <f>Gastos[[#This Row],[Importe AR$]]/$N$1</f>
        <v>41.48910891089109</v>
      </c>
      <c r="M2762" s="76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1">
        <f>Gastos[[#This Row],[Importe AR$]]/$N$1</f>
        <v>392.9566204620462</v>
      </c>
      <c r="M2763" s="76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1">
        <f>Gastos[[#This Row],[Importe AR$]]/$N$1</f>
        <v>132.01320132013203</v>
      </c>
      <c r="M2764" s="76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1">
        <f>Gastos[[#This Row],[Importe AR$]]/$N$1</f>
        <v>3.5975181518151813</v>
      </c>
      <c r="M2765" s="76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1">
        <f>Gastos[[#This Row],[Importe AR$]]/$N$1</f>
        <v>330.03300330033005</v>
      </c>
      <c r="M2766" s="76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1">
        <f>Gastos[[#This Row],[Importe AR$]]/$N$1</f>
        <v>3.6435643564356437</v>
      </c>
      <c r="L2767" t="s">
        <v>340</v>
      </c>
      <c r="M2767" s="76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1">
        <f>Gastos[[#This Row],[Importe AR$]]/$N$1</f>
        <v>154.0722112211221</v>
      </c>
      <c r="M2768" s="76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1">
        <f>Gastos[[#This Row],[Importe AR$]]/$N$1</f>
        <v>519.60396039603961</v>
      </c>
      <c r="M2769" s="76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1">
        <f>Gastos[[#This Row],[Importe AR$]]/$N$1</f>
        <v>10.241650165016502</v>
      </c>
      <c r="L2770" t="s">
        <v>340</v>
      </c>
      <c r="M2770" s="76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1">
        <f>Gastos[[#This Row],[Importe AR$]]/$N$1</f>
        <v>2.7326732673267329</v>
      </c>
      <c r="L2771" t="s">
        <v>340</v>
      </c>
      <c r="M2771" s="76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1">
        <f>Gastos[[#This Row],[Importe AR$]]/$N$1</f>
        <v>288.04165016501651</v>
      </c>
      <c r="M2772" s="76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1">
        <f>Gastos[[#This Row],[Importe AR$]]/$N$1</f>
        <v>21.122250825082507</v>
      </c>
      <c r="M2773" s="76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1">
        <f>Gastos[[#This Row],[Importe AR$]]/$N$1</f>
        <v>2.1892343234323435</v>
      </c>
      <c r="L2774" t="s">
        <v>340</v>
      </c>
      <c r="M2774" s="76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1">
        <f>Gastos[[#This Row],[Importe AR$]]/$N$1</f>
        <v>6019.661386138614</v>
      </c>
      <c r="M2775" s="76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1">
        <f>Gastos[[#This Row],[Importe AR$]]/$N$1</f>
        <v>241.23320792079207</v>
      </c>
      <c r="M2776" s="76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1">
        <f>Gastos[[#This Row],[Importe AR$]]/$N$1</f>
        <v>2234.6520462046205</v>
      </c>
      <c r="M2777" s="76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1">
        <f>Gastos[[#This Row],[Importe AR$]]/$N$1</f>
        <v>2234.6520462046205</v>
      </c>
      <c r="M2778" s="76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1">
        <f>Gastos[[#This Row],[Importe AR$]]/$N$1</f>
        <v>2234.6520462046205</v>
      </c>
      <c r="M2779" s="76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1">
        <f>Gastos[[#This Row],[Importe AR$]]/$N$1</f>
        <v>2234.6520462046205</v>
      </c>
      <c r="M2780" s="76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1">
        <f>Gastos[[#This Row],[Importe AR$]]/$N$1</f>
        <v>147.22191419141916</v>
      </c>
      <c r="L2781" t="s">
        <v>340</v>
      </c>
      <c r="M2781" s="76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1">
        <f>Gastos[[#This Row],[Importe AR$]]/$N$1</f>
        <v>2.0741386138613862</v>
      </c>
      <c r="L2782" t="s">
        <v>340</v>
      </c>
      <c r="M2782" s="76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1">
        <f>Gastos[[#This Row],[Importe AR$]]/$N$1</f>
        <v>664.86594059405945</v>
      </c>
      <c r="L2783" t="s">
        <v>340</v>
      </c>
      <c r="M2783" s="76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1">
        <f>Gastos[[#This Row],[Importe AR$]]/$N$1</f>
        <v>125.36963696369637</v>
      </c>
      <c r="M2784" s="76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1">
        <f>Gastos[[#This Row],[Importe AR$]]/$N$1</f>
        <v>66.006600660066013</v>
      </c>
      <c r="M2785" s="76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1">
        <f>Gastos[[#This Row],[Importe AR$]]/$N$1</f>
        <v>528.0528052805281</v>
      </c>
      <c r="M2786" s="76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1">
        <f>Gastos[[#This Row],[Importe AR$]]/$N$1</f>
        <v>233.55175577557753</v>
      </c>
      <c r="M2787" s="76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1">
        <f>Gastos[[#This Row],[Importe AR$]]/$N$1</f>
        <v>233.55175577557753</v>
      </c>
      <c r="M2788" s="76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1">
        <f>Gastos[[#This Row],[Importe AR$]]/$N$1</f>
        <v>4.843683168316832</v>
      </c>
      <c r="L2789" t="s">
        <v>340</v>
      </c>
      <c r="M2789" s="76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1">
        <f>Gastos[[#This Row],[Importe AR$]]/$N$1</f>
        <v>9900.9900990099013</v>
      </c>
      <c r="M2790" s="76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1">
        <f>Gastos[[#This Row],[Importe AR$]]/$N$1</f>
        <v>9900.9900990099013</v>
      </c>
      <c r="M2791" s="76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1">
        <f>Gastos[[#This Row],[Importe AR$]]/$N$1</f>
        <v>199.32673267326732</v>
      </c>
      <c r="M2792" s="76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1">
        <f>Gastos[[#This Row],[Importe AR$]]/$N$1</f>
        <v>0.34323432343234322</v>
      </c>
      <c r="L2793" t="s">
        <v>340</v>
      </c>
      <c r="M2793" s="76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1">
        <f>Gastos[[#This Row],[Importe AR$]]/$N$1</f>
        <v>17726.587735973597</v>
      </c>
      <c r="M2794" s="76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1">
        <f>Gastos[[#This Row],[Importe AR$]]/$N$1</f>
        <v>34727.537676567656</v>
      </c>
      <c r="M2795" s="76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1">
        <f>Gastos[[#This Row],[Importe AR$]]/$N$1</f>
        <v>213.12871287128712</v>
      </c>
      <c r="M2796" s="76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1">
        <f>Gastos[[#This Row],[Importe AR$]]/$N$1</f>
        <v>527.85372277227725</v>
      </c>
      <c r="M2797" s="76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1">
        <f>Gastos[[#This Row],[Importe AR$]]/$N$1</f>
        <v>527.85372277227725</v>
      </c>
      <c r="M2798" s="76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1">
        <f>Gastos[[#This Row],[Importe AR$]]/$N$1</f>
        <v>16.841346534653464</v>
      </c>
      <c r="L2799" t="s">
        <v>340</v>
      </c>
      <c r="M2799" s="76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1">
        <f>Gastos[[#This Row],[Importe AR$]]/$N$1</f>
        <v>839.11076567656767</v>
      </c>
      <c r="M2800" s="76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1">
        <f>Gastos[[#This Row],[Importe AR$]]/$N$1</f>
        <v>11.095966996699669</v>
      </c>
      <c r="L2801" t="s">
        <v>340</v>
      </c>
      <c r="M2801" s="76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1">
        <f>Gastos[[#This Row],[Importe AR$]]/$N$1</f>
        <v>472.17386138613864</v>
      </c>
      <c r="M2802" s="76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1">
        <f>Gastos[[#This Row],[Importe AR$]]/$N$1</f>
        <v>13.201597359735972</v>
      </c>
      <c r="M2803" s="76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1">
        <f>Gastos[[#This Row],[Importe AR$]]/$N$1</f>
        <v>441.01848184818482</v>
      </c>
      <c r="M2804" s="76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1">
        <f>Gastos[[#This Row],[Importe AR$]]/$N$1</f>
        <v>4.4052805280528053</v>
      </c>
      <c r="L2805" t="s">
        <v>340</v>
      </c>
      <c r="M2805" s="76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1">
        <f>Gastos[[#This Row],[Importe AR$]]/$N$1</f>
        <v>111.56</v>
      </c>
      <c r="M2806" s="76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1">
        <f>Gastos[[#This Row],[Importe AR$]]/$N$1</f>
        <v>56.036963696369639</v>
      </c>
      <c r="M2807" s="76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1">
        <f>Gastos[[#This Row],[Importe AR$]]/$N$1</f>
        <v>7.2607260726072607</v>
      </c>
      <c r="M2808" s="76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1">
        <f>Gastos[[#This Row],[Importe AR$]]/$N$1</f>
        <v>3430.3154917491747</v>
      </c>
      <c r="M2809" s="76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1">
        <f>Gastos[[#This Row],[Importe AR$]]/$N$1</f>
        <v>531.45348514851491</v>
      </c>
      <c r="M2810" s="76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1">
        <f>Gastos[[#This Row],[Importe AR$]]/$N$1</f>
        <v>63.57755775577558</v>
      </c>
      <c r="L2811" t="s">
        <v>340</v>
      </c>
      <c r="M2811" s="76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1">
        <f>Gastos[[#This Row],[Importe AR$]]/$N$1</f>
        <v>161.71617161716171</v>
      </c>
      <c r="M2812" s="76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1">
        <f>Gastos[[#This Row],[Importe AR$]]/$N$1</f>
        <v>11.881188118811881</v>
      </c>
      <c r="M2813" s="76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1">
        <f>Gastos[[#This Row],[Importe AR$]]/$N$1</f>
        <v>121.45152475247525</v>
      </c>
      <c r="M2814" s="76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1">
        <f>Gastos[[#This Row],[Importe AR$]]/$N$1</f>
        <v>32.223762376237623</v>
      </c>
      <c r="M2815" s="76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1">
        <f>Gastos[[#This Row],[Importe AR$]]/$N$1</f>
        <v>111.74917491749174</v>
      </c>
      <c r="M2816" s="76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1">
        <f>Gastos[[#This Row],[Importe AR$]]/$N$1</f>
        <v>33.003900990099012</v>
      </c>
      <c r="M2817" s="76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x14ac:dyDescent="0.25">
      <c r="A2818" s="3" t="s">
        <v>3990</v>
      </c>
      <c r="B2818" t="s">
        <v>3947</v>
      </c>
      <c r="C2818" t="s">
        <v>87</v>
      </c>
      <c r="D2818" t="s">
        <v>26</v>
      </c>
      <c r="E2818" t="s">
        <v>91</v>
      </c>
      <c r="F2818">
        <v>1</v>
      </c>
      <c r="G2818" s="3" t="s">
        <v>5</v>
      </c>
      <c r="H2818" s="51" t="s">
        <v>15</v>
      </c>
      <c r="I2818" s="17">
        <v>810000</v>
      </c>
      <c r="J2818" s="17">
        <f>IF(Gastos[[#This Row],[Divisa]]="$", I2818*1, IF(Gastos[[#This Row],[Divisa]]="U$D", I2818*$N$1, IF(Gastos[[#This Row],[Divisa]]="EUR", I2818*$N$2, 0)))</f>
        <v>810000</v>
      </c>
      <c r="K2818" s="61">
        <f>Gastos[[#This Row],[Importe AR$]]/$N$1</f>
        <v>534.65346534653463</v>
      </c>
      <c r="M2818" s="76"/>
      <c r="N2818" s="50" t="str">
        <f>IF(Gastos[[#This Row],[Fecha_Cheque]]&gt;0,WEEKNUM(Gastos[[#This Row],[Fecha_Cheque]]),MID(Gastos[[#This Row],[Semana]],6,2))</f>
        <v>32</v>
      </c>
      <c r="P2818" t="s">
        <v>3991</v>
      </c>
    </row>
    <row r="2819" spans="1:16" hidden="1" x14ac:dyDescent="0.25">
      <c r="A2819" s="3" t="s">
        <v>3641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1">
        <f>Gastos[[#This Row],[Importe AR$]]/$N$1</f>
        <v>660.0660066006601</v>
      </c>
      <c r="M2819" s="76"/>
      <c r="N2819" s="50" t="str">
        <f>IF(Gastos[[#This Row],[Fecha_Cheque]]&gt;0,WEEKNUM(Gastos[[#This Row],[Fecha_Cheque]]),MID(Gastos[[#This Row],[Semana]],6,2))</f>
        <v>27</v>
      </c>
      <c r="O2819" t="s">
        <v>3725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1">
        <f>Gastos[[#This Row],[Importe AR$]]/$N$1</f>
        <v>528.0528052805281</v>
      </c>
      <c r="M2820" s="76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3591</v>
      </c>
      <c r="B2821" t="s">
        <v>2922</v>
      </c>
      <c r="C2821" t="s">
        <v>3530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1">
        <f>Gastos[[#This Row],[Importe AR$]]/$N$1</f>
        <v>660.0660066006601</v>
      </c>
      <c r="M2821" s="76"/>
      <c r="N2821" s="50" t="str">
        <f>IF(Gastos[[#This Row],[Fecha_Cheque]]&gt;0,WEEKNUM(Gastos[[#This Row],[Fecha_Cheque]]),MID(Gastos[[#This Row],[Semana]],6,2))</f>
        <v>26</v>
      </c>
      <c r="O2821" t="s">
        <v>3628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1">
        <f>Gastos[[#This Row],[Importe AR$]]/$N$1</f>
        <v>3546.8316831683169</v>
      </c>
      <c r="M2822" s="76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1">
        <f>Gastos[[#This Row],[Importe AR$]]/$N$1</f>
        <v>63.309313531353133</v>
      </c>
      <c r="L2823" t="s">
        <v>340</v>
      </c>
      <c r="M2823" s="76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614559.75</v>
      </c>
      <c r="K2824" s="61">
        <f>Gastos[[#This Row],[Importe AR$]]/$N$1</f>
        <v>405.65</v>
      </c>
      <c r="M2824" s="76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1">
        <f>Gastos[[#This Row],[Importe AR$]]/$N$1</f>
        <v>35.668290429042905</v>
      </c>
      <c r="M2825" s="76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1">
        <f>Gastos[[#This Row],[Importe AR$]]/$N$1</f>
        <v>132.01320132013203</v>
      </c>
      <c r="M2826" s="76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1">
        <f>Gastos[[#This Row],[Importe AR$]]/$N$1</f>
        <v>660.0660066006601</v>
      </c>
      <c r="M2827" s="76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1">
        <f>Gastos[[#This Row],[Importe AR$]]/$N$1</f>
        <v>295.81226402640266</v>
      </c>
      <c r="M2828" s="76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1">
        <f>Gastos[[#This Row],[Importe AR$]]/$N$1</f>
        <v>190.0990099009901</v>
      </c>
      <c r="M2829" s="76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1">
        <f>Gastos[[#This Row],[Importe AR$]]/$N$1</f>
        <v>337.43411881188121</v>
      </c>
      <c r="M2830" s="76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1">
        <f>Gastos[[#This Row],[Importe AR$]]/$N$1</f>
        <v>736.51617161716172</v>
      </c>
      <c r="M2831" s="76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1">
        <f>Gastos[[#This Row],[Importe AR$]]/$N$1</f>
        <v>66.017623762376232</v>
      </c>
      <c r="M2832" s="76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1">
        <f>Gastos[[#This Row],[Importe AR$]]/$N$1</f>
        <v>871.28712871287132</v>
      </c>
      <c r="M2833" s="76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1">
        <f>Gastos[[#This Row],[Importe AR$]]/$N$1</f>
        <v>871.28712871287132</v>
      </c>
      <c r="M2834" s="76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1">
        <f>Gastos[[#This Row],[Importe AR$]]/$N$1</f>
        <v>1478.217603960396</v>
      </c>
      <c r="M2835" s="76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1">
        <f>Gastos[[#This Row],[Importe AR$]]/$N$1</f>
        <v>1478.217603960396</v>
      </c>
      <c r="M2836" s="76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1">
        <f>Gastos[[#This Row],[Importe AR$]]/$N$1</f>
        <v>1478.217603960396</v>
      </c>
      <c r="M2837" s="76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1">
        <f>Gastos[[#This Row],[Importe AR$]]/$N$1</f>
        <v>495.04950495049508</v>
      </c>
      <c r="M2838" s="76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1">
        <f>Gastos[[#This Row],[Importe AR$]]/$N$1</f>
        <v>1478.2176171617161</v>
      </c>
      <c r="M2839" s="76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1">
        <f>Gastos[[#This Row],[Importe AR$]]/$N$1</f>
        <v>25.082508250825082</v>
      </c>
      <c r="M2840" s="76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1">
        <f>Gastos[[#This Row],[Importe AR$]]/$N$1</f>
        <v>99.375973597359746</v>
      </c>
      <c r="L2841" t="s">
        <v>340</v>
      </c>
      <c r="M2841" s="76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1">
        <f>Gastos[[#This Row],[Importe AR$]]/$N$1</f>
        <v>719.72024422442234</v>
      </c>
      <c r="M2842" s="76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1">
        <f>Gastos[[#This Row],[Importe AR$]]/$N$1</f>
        <v>5280.5280528052808</v>
      </c>
      <c r="M2843" s="76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1">
        <f>Gastos[[#This Row],[Importe AR$]]/$N$1</f>
        <v>719.72024422442234</v>
      </c>
      <c r="M2844" s="76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1">
        <f>Gastos[[#This Row],[Importe AR$]]/$N$1</f>
        <v>719.72024422442234</v>
      </c>
      <c r="M2845" s="76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1">
        <f>Gastos[[#This Row],[Importe AR$]]/$N$1</f>
        <v>719.72025742574249</v>
      </c>
      <c r="M2846" s="76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1">
        <f>Gastos[[#This Row],[Importe AR$]]/$N$1</f>
        <v>48.384554455445546</v>
      </c>
      <c r="L2847" t="s">
        <v>340</v>
      </c>
      <c r="M2847" s="76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1">
        <f>Gastos[[#This Row],[Importe AR$]]/$N$1</f>
        <v>871.28712871287132</v>
      </c>
      <c r="M2848" s="76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1">
        <f>Gastos[[#This Row],[Importe AR$]]/$N$1</f>
        <v>112.21452145214522</v>
      </c>
      <c r="M2849" s="76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1">
        <f>Gastos[[#This Row],[Importe AR$]]/$N$1</f>
        <v>871.28712871287132</v>
      </c>
      <c r="M2850" s="76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1">
        <f>Gastos[[#This Row],[Importe AR$]]/$N$1</f>
        <v>9.013861386138613</v>
      </c>
      <c r="M2851" s="76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1">
        <f>Gastos[[#This Row],[Importe AR$]]/$N$1</f>
        <v>871.28712871287132</v>
      </c>
      <c r="M2852" s="76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1">
        <f>Gastos[[#This Row],[Importe AR$]]/$N$1</f>
        <v>871.28712871287132</v>
      </c>
      <c r="M2853" s="76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1">
        <f>Gastos[[#This Row],[Importe AR$]]/$N$1</f>
        <v>6471.6039603960398</v>
      </c>
      <c r="M2854" s="76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1">
        <f>Gastos[[#This Row],[Importe AR$]]/$N$1</f>
        <v>129.05610561056105</v>
      </c>
      <c r="L2855" t="s">
        <v>340</v>
      </c>
      <c r="M2855" s="76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1">
        <f>Gastos[[#This Row],[Importe AR$]]/$N$1</f>
        <v>871.28712871287132</v>
      </c>
      <c r="M2856" s="76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1">
        <f>Gastos[[#This Row],[Importe AR$]]/$N$1</f>
        <v>871.28712871287132</v>
      </c>
      <c r="M2857" s="76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1">
        <f>Gastos[[#This Row],[Importe AR$]]/$N$1</f>
        <v>91.408910891089107</v>
      </c>
      <c r="M2858" s="76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1">
        <f>Gastos[[#This Row],[Importe AR$]]/$N$1</f>
        <v>871.28712871287132</v>
      </c>
      <c r="M2859" s="76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1">
        <f>Gastos[[#This Row],[Importe AR$]]/$N$1</f>
        <v>871.28712871287132</v>
      </c>
      <c r="M2860" s="76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1">
        <f>Gastos[[#This Row],[Importe AR$]]/$N$1</f>
        <v>871.28712871287132</v>
      </c>
      <c r="M2861" s="76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1">
        <f>Gastos[[#This Row],[Importe AR$]]/$N$1</f>
        <v>379.72435643564359</v>
      </c>
      <c r="M2862" s="76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1">
        <f>Gastos[[#This Row],[Importe AR$]]/$N$1</f>
        <v>3.3193399339933993</v>
      </c>
      <c r="L2863" t="s">
        <v>340</v>
      </c>
      <c r="M2863" s="76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1">
        <f>Gastos[[#This Row],[Importe AR$]]/$N$1</f>
        <v>871.28712871287132</v>
      </c>
      <c r="M2864" s="76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1">
        <f>Gastos[[#This Row],[Importe AR$]]/$N$1</f>
        <v>871.28712871287132</v>
      </c>
      <c r="M2865" s="76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1">
        <f>Gastos[[#This Row],[Importe AR$]]/$N$1</f>
        <v>871.28712871287132</v>
      </c>
      <c r="M2866" s="76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1">
        <f>Gastos[[#This Row],[Importe AR$]]/$N$1</f>
        <v>56.105610561056103</v>
      </c>
      <c r="M2867" s="76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1">
        <f>Gastos[[#This Row],[Importe AR$]]/$N$1</f>
        <v>56.105610561056103</v>
      </c>
      <c r="M2868" s="76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1">
        <f>Gastos[[#This Row],[Importe AR$]]/$N$1</f>
        <v>112.21122112211221</v>
      </c>
      <c r="M2869" s="76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1">
        <f>Gastos[[#This Row],[Importe AR$]]/$N$1</f>
        <v>79.207920792079207</v>
      </c>
      <c r="M2870" s="76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1">
        <f>Gastos[[#This Row],[Importe AR$]]/$N$1</f>
        <v>871.28712871287132</v>
      </c>
      <c r="M2871" s="76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1">
        <f>Gastos[[#This Row],[Importe AR$]]/$N$1</f>
        <v>939.75577557755776</v>
      </c>
      <c r="M2872" s="76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1">
        <f>Gastos[[#This Row],[Importe AR$]]/$N$1</f>
        <v>871.28712871287132</v>
      </c>
      <c r="M2873" s="76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1">
        <f>Gastos[[#This Row],[Importe AR$]]/$N$1</f>
        <v>1551.1441122112212</v>
      </c>
      <c r="M2874" s="76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1">
        <f>Gastos[[#This Row],[Importe AR$]]/$N$1</f>
        <v>1551.1441122112212</v>
      </c>
      <c r="M2875" s="76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1">
        <f>Gastos[[#This Row],[Importe AR$]]/$N$1</f>
        <v>7152.0638085808578</v>
      </c>
      <c r="M2876" s="76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1">
        <f>Gastos[[#This Row],[Importe AR$]]/$N$1</f>
        <v>1495.3663366336634</v>
      </c>
      <c r="M2877" s="76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1">
        <f>Gastos[[#This Row],[Importe AR$]]/$N$1</f>
        <v>22.125412541254125</v>
      </c>
      <c r="L2878" t="s">
        <v>340</v>
      </c>
      <c r="M2878" s="76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1">
        <f>Gastos[[#This Row],[Importe AR$]]/$N$1</f>
        <v>153.11104290429043</v>
      </c>
      <c r="M2879" s="76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1">
        <f>Gastos[[#This Row],[Importe AR$]]/$N$1</f>
        <v>2.0044686468646864</v>
      </c>
      <c r="L2880" t="s">
        <v>340</v>
      </c>
      <c r="M2880" s="76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1">
        <f>Gastos[[#This Row],[Importe AR$]]/$N$1</f>
        <v>707.77029702970299</v>
      </c>
      <c r="M2881" s="76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1">
        <f>Gastos[[#This Row],[Importe AR$]]/$N$1</f>
        <v>10.993663366336635</v>
      </c>
      <c r="L2882" t="s">
        <v>340</v>
      </c>
      <c r="M2882" s="76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1">
        <f>Gastos[[#This Row],[Importe AR$]]/$N$1</f>
        <v>22.574257425742573</v>
      </c>
      <c r="M2883" s="76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1">
        <f>Gastos[[#This Row],[Importe AR$]]/$N$1</f>
        <v>99.011881188118807</v>
      </c>
      <c r="M2884" s="76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1">
        <f>Gastos[[#This Row],[Importe AR$]]/$N$1</f>
        <v>430.10971617161715</v>
      </c>
      <c r="L2885" t="s">
        <v>340</v>
      </c>
      <c r="M2885" s="76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1">
        <f>Gastos[[#This Row],[Importe AR$]]/$N$1</f>
        <v>66.010693069306924</v>
      </c>
      <c r="M2886" s="76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1">
        <f>Gastos[[#This Row],[Importe AR$]]/$N$1</f>
        <v>689.71669966996706</v>
      </c>
      <c r="M2887" s="76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1">
        <f>Gastos[[#This Row],[Importe AR$]]/$N$1</f>
        <v>85.812805280528053</v>
      </c>
      <c r="L2888" t="s">
        <v>340</v>
      </c>
      <c r="M2888" s="76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1">
        <f>Gastos[[#This Row],[Importe AR$]]/$N$1</f>
        <v>9.9009966996699674</v>
      </c>
      <c r="M2889" s="76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1">
        <f>Gastos[[#This Row],[Importe AR$]]/$N$1</f>
        <v>28.382838283828384</v>
      </c>
      <c r="M2890" s="76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1">
        <f>Gastos[[#This Row],[Importe AR$]]/$N$1</f>
        <v>29.773445544554452</v>
      </c>
      <c r="L2891" t="s">
        <v>340</v>
      </c>
      <c r="M2891" s="76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1">
        <f>Gastos[[#This Row],[Importe AR$]]/$N$1</f>
        <v>1980.1980198019803</v>
      </c>
      <c r="M2892" s="76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1">
        <f>Gastos[[#This Row],[Importe AR$]]/$N$1</f>
        <v>16.541254125412543</v>
      </c>
      <c r="M2893" s="76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1">
        <f>Gastos[[#This Row],[Importe AR$]]/$N$1</f>
        <v>153.6242508250825</v>
      </c>
      <c r="M2894" s="76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1">
        <f>Gastos[[#This Row],[Importe AR$]]/$N$1</f>
        <v>144.22169636963696</v>
      </c>
      <c r="M2895" s="76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1">
        <f>Gastos[[#This Row],[Importe AR$]]/$N$1</f>
        <v>1.9990165016501651</v>
      </c>
      <c r="M2896" s="76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3591</v>
      </c>
      <c r="B2897" t="s">
        <v>2922</v>
      </c>
      <c r="C2897" t="s">
        <v>3530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1">
        <f>Gastos[[#This Row],[Importe AR$]]/$N$1</f>
        <v>1320.1320132013202</v>
      </c>
      <c r="M2897" s="76">
        <v>46245</v>
      </c>
      <c r="N2897" s="50">
        <f>IF(Gastos[[#This Row],[Fecha_Cheque]]&gt;0,WEEKNUM(Gastos[[#This Row],[Fecha_Cheque]]),MID(Gastos[[#This Row],[Semana]],6,2))</f>
        <v>33</v>
      </c>
      <c r="O2897" t="s">
        <v>3628</v>
      </c>
      <c r="P2897" t="s">
        <v>27</v>
      </c>
    </row>
    <row r="2898" spans="1:16" hidden="1" x14ac:dyDescent="0.25">
      <c r="A2898" s="3" t="s">
        <v>3718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1">
        <f>Gastos[[#This Row],[Importe AR$]]/$N$1</f>
        <v>1650.1650165016501</v>
      </c>
      <c r="M2898" s="76">
        <v>46240</v>
      </c>
      <c r="N2898" s="50">
        <f>IF(Gastos[[#This Row],[Fecha_Cheque]]&gt;0,WEEKNUM(Gastos[[#This Row],[Fecha_Cheque]]),MID(Gastos[[#This Row],[Semana]],6,2))</f>
        <v>32</v>
      </c>
      <c r="O2898" t="s">
        <v>3731</v>
      </c>
      <c r="P2898" t="s">
        <v>27</v>
      </c>
    </row>
    <row r="2899" spans="1:16" hidden="1" x14ac:dyDescent="0.25">
      <c r="A2899" s="3" t="s">
        <v>3718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1">
        <f>Gastos[[#This Row],[Importe AR$]]/$N$1</f>
        <v>1650.1650165016501</v>
      </c>
      <c r="M2899" s="76">
        <v>46248</v>
      </c>
      <c r="N2899" s="50">
        <f>IF(Gastos[[#This Row],[Fecha_Cheque]]&gt;0,WEEKNUM(Gastos[[#This Row],[Fecha_Cheque]]),MID(Gastos[[#This Row],[Semana]],6,2))</f>
        <v>33</v>
      </c>
      <c r="O2899" t="s">
        <v>3731</v>
      </c>
      <c r="P2899" t="s">
        <v>27</v>
      </c>
    </row>
    <row r="2900" spans="1:16" hidden="1" x14ac:dyDescent="0.25">
      <c r="A2900" s="3" t="s">
        <v>3779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1">
        <f>Gastos[[#This Row],[Importe AR$]]/$N$1</f>
        <v>46.28412541254125</v>
      </c>
      <c r="M2900" s="76">
        <v>46221</v>
      </c>
      <c r="N2900" s="50">
        <f>IF(Gastos[[#This Row],[Fecha_Cheque]]&gt;0,WEEKNUM(Gastos[[#This Row],[Fecha_Cheque]]),MID(Gastos[[#This Row],[Semana]],6,2))</f>
        <v>29</v>
      </c>
      <c r="O2900" t="s">
        <v>3800</v>
      </c>
      <c r="P2900" t="s">
        <v>27</v>
      </c>
    </row>
    <row r="2901" spans="1:16" hidden="1" x14ac:dyDescent="0.25">
      <c r="A2901" s="3" t="s">
        <v>3779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1">
        <f>Gastos[[#This Row],[Importe AR$]]/$N$1</f>
        <v>964.50495049504946</v>
      </c>
      <c r="M2901" s="76">
        <v>46263</v>
      </c>
      <c r="N2901" s="50">
        <f>IF(Gastos[[#This Row],[Fecha_Cheque]]&gt;0,WEEKNUM(Gastos[[#This Row],[Fecha_Cheque]]),MID(Gastos[[#This Row],[Semana]],6,2))</f>
        <v>35</v>
      </c>
      <c r="O2901" t="s">
        <v>3800</v>
      </c>
      <c r="P2901" t="s">
        <v>27</v>
      </c>
    </row>
    <row r="2902" spans="1:16" hidden="1" x14ac:dyDescent="0.25">
      <c r="A2902" s="3" t="s">
        <v>3779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1">
        <f>Gastos[[#This Row],[Importe AR$]]/$N$1</f>
        <v>1021.786297029703</v>
      </c>
      <c r="M2902" s="76">
        <v>46260</v>
      </c>
      <c r="N2902" s="50">
        <f>IF(Gastos[[#This Row],[Fecha_Cheque]]&gt;0,WEEKNUM(Gastos[[#This Row],[Fecha_Cheque]]),MID(Gastos[[#This Row],[Semana]],6,2))</f>
        <v>35</v>
      </c>
      <c r="O2902" t="s">
        <v>3800</v>
      </c>
      <c r="P2902" t="s">
        <v>27</v>
      </c>
    </row>
    <row r="2903" spans="1:16" x14ac:dyDescent="0.25">
      <c r="A2903" s="3" t="s">
        <v>3990</v>
      </c>
      <c r="B2903" t="s">
        <v>40</v>
      </c>
      <c r="C2903" t="s">
        <v>2667</v>
      </c>
      <c r="D2903" t="s">
        <v>61</v>
      </c>
      <c r="E2903" t="s">
        <v>3955</v>
      </c>
      <c r="F2903">
        <v>2</v>
      </c>
      <c r="G2903" s="3" t="s">
        <v>32</v>
      </c>
      <c r="H2903" s="51" t="s">
        <v>2</v>
      </c>
      <c r="I2903" s="17">
        <v>9060</v>
      </c>
      <c r="J2903" s="17">
        <f>IF(Gastos[[#This Row],[Divisa]]="$", I2903*1, IF(Gastos[[#This Row],[Divisa]]="U$D", I2903*$N$1, IF(Gastos[[#This Row],[Divisa]]="EUR", I2903*$N$2, 0)))</f>
        <v>13725900</v>
      </c>
      <c r="K2903" s="61">
        <f>Gastos[[#This Row],[Importe AR$]]/$N$1</f>
        <v>9060</v>
      </c>
      <c r="M2903" s="76"/>
      <c r="N2903" s="50" t="str">
        <f>IF(Gastos[[#This Row],[Fecha_Cheque]]&gt;0,WEEKNUM(Gastos[[#This Row],[Fecha_Cheque]]),MID(Gastos[[#This Row],[Semana]],6,2))</f>
        <v>32</v>
      </c>
    </row>
    <row r="2904" spans="1:16" hidden="1" x14ac:dyDescent="0.25">
      <c r="A2904" s="3" t="s">
        <v>3718</v>
      </c>
      <c r="B2904" t="s">
        <v>2922</v>
      </c>
      <c r="C2904" t="s">
        <v>3443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1">
        <f>Gastos[[#This Row],[Importe AR$]]/$N$1</f>
        <v>496.99735973597359</v>
      </c>
      <c r="M2904" s="76"/>
      <c r="N2904" s="50" t="str">
        <f>IF(Gastos[[#This Row],[Fecha_Cheque]]&gt;0,WEEKNUM(Gastos[[#This Row],[Fecha_Cheque]]),MID(Gastos[[#This Row],[Semana]],6,2))</f>
        <v>28</v>
      </c>
      <c r="O2904" t="s">
        <v>3773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1">
        <f>Gastos[[#This Row],[Importe AR$]]/$N$1</f>
        <v>26.402567656765676</v>
      </c>
      <c r="M2905" s="76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1">
        <f>Gastos[[#This Row],[Importe AR$]]/$N$1</f>
        <v>3.036290429042904</v>
      </c>
      <c r="M2906" s="76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1">
        <f>Gastos[[#This Row],[Importe AR$]]/$N$1</f>
        <v>32.871287128712872</v>
      </c>
      <c r="M2907" s="76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1">
        <f>Gastos[[#This Row],[Importe AR$]]/$N$1</f>
        <v>99.013280528052803</v>
      </c>
      <c r="M2908" s="76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1">
        <f>Gastos[[#This Row],[Importe AR$]]/$N$1</f>
        <v>99.063960396039604</v>
      </c>
      <c r="M2909" s="76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1">
        <f>Gastos[[#This Row],[Importe AR$]]/$N$1</f>
        <v>1891.6991749174917</v>
      </c>
      <c r="M2910" s="76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1">
        <f>Gastos[[#This Row],[Importe AR$]]/$N$1</f>
        <v>28.786468646864687</v>
      </c>
      <c r="L2911" t="s">
        <v>340</v>
      </c>
      <c r="M2911" s="76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1">
        <f>Gastos[[#This Row],[Importe AR$]]/$N$1</f>
        <v>29.702970297029704</v>
      </c>
      <c r="M2912" s="76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1">
        <f>Gastos[[#This Row],[Importe AR$]]/$N$1</f>
        <v>52.805280528052805</v>
      </c>
      <c r="M2913" s="76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1">
        <f>Gastos[[#This Row],[Importe AR$]]/$N$1</f>
        <v>73.399339933993403</v>
      </c>
      <c r="M2914" s="76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1">
        <f>Gastos[[#This Row],[Importe AR$]]/$N$1</f>
        <v>66.005927392739267</v>
      </c>
      <c r="M2915" s="76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1">
        <f>Gastos[[#This Row],[Importe AR$]]/$N$1</f>
        <v>9.9007986798679859</v>
      </c>
      <c r="M2916" s="76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3591</v>
      </c>
      <c r="B2917" t="s">
        <v>2728</v>
      </c>
      <c r="C2917" t="s">
        <v>3632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1">
        <f>Gastos[[#This Row],[Importe AR$]]/$N$1</f>
        <v>330.03300330033005</v>
      </c>
      <c r="M2917" s="76"/>
      <c r="N2917" s="50" t="str">
        <f>IF(Gastos[[#This Row],[Fecha_Cheque]]&gt;0,WEEKNUM(Gastos[[#This Row],[Fecha_Cheque]]),MID(Gastos[[#This Row],[Semana]],6,2))</f>
        <v>26</v>
      </c>
      <c r="O2917" t="s">
        <v>3633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1">
        <f>Gastos[[#This Row],[Importe AR$]]/$N$1</f>
        <v>407.83234323432345</v>
      </c>
      <c r="M2918" s="76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1">
        <f>Gastos[[#This Row],[Importe AR$]]/$N$1</f>
        <v>310.86468646864688</v>
      </c>
      <c r="M2919" s="76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1">
        <f>Gastos[[#This Row],[Importe AR$]]/$N$1</f>
        <v>990.09900990099015</v>
      </c>
      <c r="M2920" s="76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1">
        <f>Gastos[[#This Row],[Importe AR$]]/$N$1</f>
        <v>142.3817821782178</v>
      </c>
      <c r="L2921" t="s">
        <v>340</v>
      </c>
      <c r="M2921" s="76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1">
        <f>Gastos[[#This Row],[Importe AR$]]/$N$1</f>
        <v>2117.9290099009904</v>
      </c>
      <c r="M2922" s="76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1">
        <f>Gastos[[#This Row],[Importe AR$]]/$N$1</f>
        <v>2117.9290099009904</v>
      </c>
      <c r="M2923" s="76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1">
        <f>Gastos[[#This Row],[Importe AR$]]/$N$1</f>
        <v>1290.3944554455445</v>
      </c>
      <c r="M2924" s="76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1">
        <f>Gastos[[#This Row],[Importe AR$]]/$N$1</f>
        <v>21.3289900990099</v>
      </c>
      <c r="L2925" t="s">
        <v>340</v>
      </c>
      <c r="M2925" s="76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1">
        <f>Gastos[[#This Row],[Importe AR$]]/$N$1</f>
        <v>2394.975485148515</v>
      </c>
      <c r="M2926" s="76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1">
        <f>Gastos[[#This Row],[Importe AR$]]/$N$1</f>
        <v>2239.9358415841584</v>
      </c>
      <c r="M2927" s="76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1">
        <f>Gastos[[#This Row],[Importe AR$]]/$N$1</f>
        <v>74.890877887788776</v>
      </c>
      <c r="M2928" s="76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1">
        <f>Gastos[[#This Row],[Importe AR$]]/$N$1</f>
        <v>5280.5280528052808</v>
      </c>
      <c r="M2929" s="76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1">
        <f>Gastos[[#This Row],[Importe AR$]]/$N$1</f>
        <v>2117.9290099009904</v>
      </c>
      <c r="M2930" s="76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1">
        <f>Gastos[[#This Row],[Importe AR$]]/$N$1</f>
        <v>9499.498303630362</v>
      </c>
      <c r="M2931" s="76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1">
        <f>Gastos[[#This Row],[Importe AR$]]/$N$1</f>
        <v>9499.4983102310234</v>
      </c>
      <c r="M2932" s="76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1">
        <f>Gastos[[#This Row],[Importe AR$]]/$N$1</f>
        <v>316.30407260726071</v>
      </c>
      <c r="L2933" t="s">
        <v>340</v>
      </c>
      <c r="M2933" s="76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1">
        <f>Gastos[[#This Row],[Importe AR$]]/$N$1</f>
        <v>9257.7145742574266</v>
      </c>
      <c r="M2934" s="76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1">
        <f>Gastos[[#This Row],[Importe AR$]]/$N$1</f>
        <v>155.59184158415843</v>
      </c>
      <c r="L2935" t="s">
        <v>340</v>
      </c>
      <c r="M2935" s="76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1">
        <f>Gastos[[#This Row],[Importe AR$]]/$N$1</f>
        <v>1718.8610429042903</v>
      </c>
      <c r="M2936" s="76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1">
        <f>Gastos[[#This Row],[Importe AR$]]/$N$1</f>
        <v>1718.8610297029702</v>
      </c>
      <c r="M2937" s="76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1">
        <f>Gastos[[#This Row],[Importe AR$]]/$N$1</f>
        <v>1718.8610297029702</v>
      </c>
      <c r="M2938" s="76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1">
        <f>Gastos[[#This Row],[Importe AR$]]/$N$1</f>
        <v>82.756831683168315</v>
      </c>
      <c r="L2939" t="s">
        <v>340</v>
      </c>
      <c r="M2939" s="76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1">
        <f>Gastos[[#This Row],[Importe AR$]]/$N$1</f>
        <v>2117.9290099009904</v>
      </c>
      <c r="M2940" s="76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1">
        <f>Gastos[[#This Row],[Importe AR$]]/$N$1</f>
        <v>701.62728712871296</v>
      </c>
      <c r="M2941" s="76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1">
        <f>Gastos[[#This Row],[Importe AR$]]/$N$1</f>
        <v>125.56303630363037</v>
      </c>
      <c r="M2942" s="76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1">
        <f>Gastos[[#This Row],[Importe AR$]]/$N$1</f>
        <v>198.01980198019803</v>
      </c>
      <c r="M2943" s="76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1">
        <f>Gastos[[#This Row],[Importe AR$]]/$N$1</f>
        <v>448.84488448844883</v>
      </c>
      <c r="M2944" s="76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1">
        <f>Gastos[[#This Row],[Importe AR$]]/$N$1</f>
        <v>801.32013201320137</v>
      </c>
      <c r="M2945" s="76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1">
        <f>Gastos[[#This Row],[Importe AR$]]/$N$1</f>
        <v>36.279366336633665</v>
      </c>
      <c r="L2946" t="s">
        <v>340</v>
      </c>
      <c r="M2946" s="76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1">
        <f>Gastos[[#This Row],[Importe AR$]]/$N$1</f>
        <v>2.217821782178218</v>
      </c>
      <c r="L2947" t="s">
        <v>340</v>
      </c>
      <c r="M2947" s="76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3591</v>
      </c>
      <c r="B2948" t="s">
        <v>2728</v>
      </c>
      <c r="C2948" t="s">
        <v>3632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1">
        <f>Gastos[[#This Row],[Importe AR$]]/$N$1</f>
        <v>668.31683168316829</v>
      </c>
      <c r="M2948" s="76"/>
      <c r="N2948" s="50" t="str">
        <f>IF(Gastos[[#This Row],[Fecha_Cheque]]&gt;0,WEEKNUM(Gastos[[#This Row],[Fecha_Cheque]]),MID(Gastos[[#This Row],[Semana]],6,2))</f>
        <v>26</v>
      </c>
      <c r="O2948" t="s">
        <v>3633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1">
        <f>Gastos[[#This Row],[Importe AR$]]/$N$1</f>
        <v>557.09893729372936</v>
      </c>
      <c r="M2949" s="76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1">
        <f>Gastos[[#This Row],[Importe AR$]]/$N$1</f>
        <v>7.2574983498349841</v>
      </c>
      <c r="L2950" t="s">
        <v>340</v>
      </c>
      <c r="M2950" s="76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1">
        <f>Gastos[[#This Row],[Importe AR$]]/$N$1</f>
        <v>528.0528052805281</v>
      </c>
      <c r="M2951" s="76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1">
        <f>Gastos[[#This Row],[Importe AR$]]/$N$1</f>
        <v>407.83234323432345</v>
      </c>
      <c r="M2952" s="76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1">
        <f>Gastos[[#This Row],[Importe AR$]]/$N$1</f>
        <v>413.94664026402643</v>
      </c>
      <c r="M2953" s="76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1">
        <f>Gastos[[#This Row],[Importe AR$]]/$N$1</f>
        <v>36.105617161716175</v>
      </c>
      <c r="M2954" s="76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1">
        <f>Gastos[[#This Row],[Importe AR$]]/$N$1</f>
        <v>8.7128778877887783</v>
      </c>
      <c r="M2955" s="76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1">
        <f>Gastos[[#This Row],[Importe AR$]]/$N$1</f>
        <v>132.01320132013203</v>
      </c>
      <c r="M2956" s="76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1">
        <f>Gastos[[#This Row],[Importe AR$]]/$N$1</f>
        <v>25.57722112211221</v>
      </c>
      <c r="L2957" t="s">
        <v>340</v>
      </c>
      <c r="M2957" s="76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1">
        <f>Gastos[[#This Row],[Importe AR$]]/$N$1</f>
        <v>178.21782178217822</v>
      </c>
      <c r="M2958" s="76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1">
        <f>Gastos[[#This Row],[Importe AR$]]/$N$1</f>
        <v>707.37405940594056</v>
      </c>
      <c r="M2959" s="76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1">
        <f>Gastos[[#This Row],[Importe AR$]]/$N$1</f>
        <v>7989.0328778877893</v>
      </c>
      <c r="M2960" s="76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1">
        <f>Gastos[[#This Row],[Importe AR$]]/$N$1</f>
        <v>3760.6787590759077</v>
      </c>
      <c r="M2961" s="76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1">
        <f>Gastos[[#This Row],[Importe AR$]]/$N$1</f>
        <v>7989.0328778877893</v>
      </c>
      <c r="M2962" s="76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1">
        <f>Gastos[[#This Row],[Importe AR$]]/$N$1</f>
        <v>463.00627062706269</v>
      </c>
      <c r="L2963" t="s">
        <v>340</v>
      </c>
      <c r="M2963" s="76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1">
        <f>Gastos[[#This Row],[Importe AR$]]/$N$1</f>
        <v>88.163036303630363</v>
      </c>
      <c r="M2964" s="76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1">
        <f>Gastos[[#This Row],[Importe AR$]]/$N$1</f>
        <v>84.290415841584149</v>
      </c>
      <c r="M2965" s="76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1">
        <f>Gastos[[#This Row],[Importe AR$]]/$N$1</f>
        <v>25.082508250825082</v>
      </c>
      <c r="M2966" s="76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1">
        <f>Gastos[[#This Row],[Importe AR$]]/$N$1</f>
        <v>11.617161716171617</v>
      </c>
      <c r="M2967" s="76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1">
        <f>Gastos[[#This Row],[Importe AR$]]/$N$1</f>
        <v>554.92498349834977</v>
      </c>
      <c r="M2968" s="76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1">
        <f>Gastos[[#This Row],[Importe AR$]]/$N$1</f>
        <v>9.326475247524753</v>
      </c>
      <c r="L2969" t="s">
        <v>340</v>
      </c>
      <c r="M2969" s="76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1">
        <f>Gastos[[#This Row],[Importe AR$]]/$N$1</f>
        <v>140.89853465346533</v>
      </c>
      <c r="M2970" s="76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1">
        <f>Gastos[[#This Row],[Importe AR$]]/$N$1</f>
        <v>707.37405940594056</v>
      </c>
      <c r="M2971" s="76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1">
        <f>Gastos[[#This Row],[Importe AR$]]/$N$1</f>
        <v>28.646871287128715</v>
      </c>
      <c r="M2972" s="76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1">
        <f>Gastos[[#This Row],[Importe AR$]]/$N$1</f>
        <v>46.204620462046208</v>
      </c>
      <c r="L2973" t="s">
        <v>3049</v>
      </c>
      <c r="M2973" s="76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10605000</v>
      </c>
      <c r="K2974" s="61">
        <f>Gastos[[#This Row],[Importe AR$]]/$N$1</f>
        <v>7000</v>
      </c>
      <c r="L2974" t="s">
        <v>3053</v>
      </c>
      <c r="M2974" s="76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1">
        <f>Gastos[[#This Row],[Importe AR$]]/$N$1</f>
        <v>22.875643564356434</v>
      </c>
      <c r="L2975" t="s">
        <v>340</v>
      </c>
      <c r="M2975" s="76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1">
        <f>Gastos[[#This Row],[Importe AR$]]/$N$1</f>
        <v>66.006600660066013</v>
      </c>
      <c r="M2976" s="76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1">
        <f>Gastos[[#This Row],[Importe AR$]]/$N$1</f>
        <v>2.0590165016501647</v>
      </c>
      <c r="L2977" t="s">
        <v>340</v>
      </c>
      <c r="M2977" s="76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1">
        <f>Gastos[[#This Row],[Importe AR$]]/$N$1</f>
        <v>435.39805280528054</v>
      </c>
      <c r="M2978" s="76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1">
        <f>Gastos[[#This Row],[Importe AR$]]/$N$1</f>
        <v>402.64026402640263</v>
      </c>
      <c r="M2979" s="76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1">
        <f>Gastos[[#This Row],[Importe AR$]]/$N$1</f>
        <v>1037.9914323432342</v>
      </c>
      <c r="M2980" s="76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1">
        <f>Gastos[[#This Row],[Importe AR$]]/$N$1</f>
        <v>3300.3300330033003</v>
      </c>
      <c r="M2981" s="76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1">
        <f>Gastos[[#This Row],[Importe AR$]]/$N$1</f>
        <v>3430.3154917491747</v>
      </c>
      <c r="M2982" s="76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1">
        <f>Gastos[[#This Row],[Importe AR$]]/$N$1</f>
        <v>55.812699669967003</v>
      </c>
      <c r="L2983" t="s">
        <v>340</v>
      </c>
      <c r="M2983" s="76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1">
        <f>Gastos[[#This Row],[Importe AR$]]/$N$1</f>
        <v>3179.0802970297032</v>
      </c>
      <c r="M2984" s="76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1">
        <f>Gastos[[#This Row],[Importe AR$]]/$N$1</f>
        <v>6557.4152871287133</v>
      </c>
      <c r="M2985" s="76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1">
        <f>Gastos[[#This Row],[Importe AR$]]/$N$1</f>
        <v>92.409702970297033</v>
      </c>
      <c r="M2986" s="76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1">
        <f>Gastos[[#This Row],[Importe AR$]]/$N$1</f>
        <v>216.0995181518152</v>
      </c>
      <c r="L2987" t="s">
        <v>340</v>
      </c>
      <c r="M2987" s="76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1">
        <f>Gastos[[#This Row],[Importe AR$]]/$N$1</f>
        <v>5.0957095709570961</v>
      </c>
      <c r="L2988" t="s">
        <v>340</v>
      </c>
      <c r="M2988" s="76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1">
        <f>Gastos[[#This Row],[Importe AR$]]/$N$1</f>
        <v>362.37623762376239</v>
      </c>
      <c r="M2989" s="76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1">
        <f>Gastos[[#This Row],[Importe AR$]]/$N$1</f>
        <v>3.4323432343234321</v>
      </c>
      <c r="M2990" s="76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1">
        <f>Gastos[[#This Row],[Importe AR$]]/$N$1</f>
        <v>435.39805940594061</v>
      </c>
      <c r="M2991" s="76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1">
        <f>Gastos[[#This Row],[Importe AR$]]/$N$1</f>
        <v>198.01980198019803</v>
      </c>
      <c r="M2992" s="76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1">
        <f>Gastos[[#This Row],[Importe AR$]]/$N$1</f>
        <v>260.59405940594058</v>
      </c>
      <c r="M2993" s="76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1">
        <f>Gastos[[#This Row],[Importe AR$]]/$N$1</f>
        <v>13.733590759075907</v>
      </c>
      <c r="L2994" t="s">
        <v>340</v>
      </c>
      <c r="M2994" s="76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1">
        <f>Gastos[[#This Row],[Importe AR$]]/$N$1</f>
        <v>79.207927392739265</v>
      </c>
      <c r="M2995" s="76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3718</v>
      </c>
      <c r="B2996" t="s">
        <v>2922</v>
      </c>
      <c r="C2996" t="s">
        <v>3443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1">
        <f>Gastos[[#This Row],[Importe AR$]]/$N$1</f>
        <v>1799.8237623762377</v>
      </c>
      <c r="M2996" s="76">
        <v>46260</v>
      </c>
      <c r="N2996" s="50">
        <f>IF(Gastos[[#This Row],[Fecha_Cheque]]&gt;0,WEEKNUM(Gastos[[#This Row],[Fecha_Cheque]]),MID(Gastos[[#This Row],[Semana]],6,2))</f>
        <v>35</v>
      </c>
      <c r="O2996" t="s">
        <v>3772</v>
      </c>
      <c r="P2996" t="s">
        <v>27</v>
      </c>
    </row>
    <row r="2997" spans="1:16" hidden="1" x14ac:dyDescent="0.25">
      <c r="A2997" s="3" t="s">
        <v>3779</v>
      </c>
      <c r="B2997" t="s">
        <v>2922</v>
      </c>
      <c r="C2997" t="s">
        <v>3530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1">
        <f>Gastos[[#This Row],[Importe AR$]]/$N$1</f>
        <v>197.62376237623764</v>
      </c>
      <c r="M2997" s="76">
        <v>46224</v>
      </c>
      <c r="N2997" s="50">
        <f>IF(Gastos[[#This Row],[Fecha_Cheque]]&gt;0,WEEKNUM(Gastos[[#This Row],[Fecha_Cheque]]),MID(Gastos[[#This Row],[Semana]],6,2))</f>
        <v>30</v>
      </c>
      <c r="O2997" t="s">
        <v>3799</v>
      </c>
      <c r="P2997" t="s">
        <v>27</v>
      </c>
    </row>
    <row r="2998" spans="1:16" hidden="1" x14ac:dyDescent="0.25">
      <c r="A2998" s="3" t="s">
        <v>3779</v>
      </c>
      <c r="B2998" t="s">
        <v>2922</v>
      </c>
      <c r="C2998" t="s">
        <v>3530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1">
        <f>Gastos[[#This Row],[Importe AR$]]/$N$1</f>
        <v>257.42574257425741</v>
      </c>
      <c r="M2998" s="76">
        <v>46226</v>
      </c>
      <c r="N2998" s="50">
        <f>IF(Gastos[[#This Row],[Fecha_Cheque]]&gt;0,WEEKNUM(Gastos[[#This Row],[Fecha_Cheque]]),MID(Gastos[[#This Row],[Semana]],6,2))</f>
        <v>30</v>
      </c>
      <c r="O2998" t="s">
        <v>3799</v>
      </c>
      <c r="P2998" t="s">
        <v>27</v>
      </c>
    </row>
    <row r="2999" spans="1:16" hidden="1" x14ac:dyDescent="0.25">
      <c r="A2999" s="3" t="s">
        <v>3779</v>
      </c>
      <c r="B2999" t="s">
        <v>2922</v>
      </c>
      <c r="C2999" t="s">
        <v>3530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1">
        <f>Gastos[[#This Row],[Importe AR$]]/$N$1</f>
        <v>660.0660066006601</v>
      </c>
      <c r="M2999" s="76">
        <v>46239</v>
      </c>
      <c r="N2999" s="50">
        <f>IF(Gastos[[#This Row],[Fecha_Cheque]]&gt;0,WEEKNUM(Gastos[[#This Row],[Fecha_Cheque]]),MID(Gastos[[#This Row],[Semana]],6,2))</f>
        <v>32</v>
      </c>
      <c r="O2999" t="s">
        <v>3799</v>
      </c>
      <c r="P2999" t="s">
        <v>27</v>
      </c>
    </row>
    <row r="3000" spans="1:16" hidden="1" x14ac:dyDescent="0.25">
      <c r="A3000" s="3" t="s">
        <v>3779</v>
      </c>
      <c r="B3000" t="s">
        <v>2922</v>
      </c>
      <c r="C3000" t="s">
        <v>3530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1">
        <f>Gastos[[#This Row],[Importe AR$]]/$N$1</f>
        <v>660.0660066006601</v>
      </c>
      <c r="M3000" s="76">
        <v>46238</v>
      </c>
      <c r="N3000" s="50">
        <f>IF(Gastos[[#This Row],[Fecha_Cheque]]&gt;0,WEEKNUM(Gastos[[#This Row],[Fecha_Cheque]]),MID(Gastos[[#This Row],[Semana]],6,2))</f>
        <v>32</v>
      </c>
      <c r="O3000" t="s">
        <v>3799</v>
      </c>
      <c r="P3000" t="s">
        <v>27</v>
      </c>
    </row>
    <row r="3001" spans="1:16" hidden="1" x14ac:dyDescent="0.25">
      <c r="A3001" s="3" t="s">
        <v>3779</v>
      </c>
      <c r="B3001" t="s">
        <v>2922</v>
      </c>
      <c r="C3001" t="s">
        <v>3530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1">
        <f>Gastos[[#This Row],[Importe AR$]]/$N$1</f>
        <v>660.0660066006601</v>
      </c>
      <c r="M3001" s="76"/>
      <c r="N3001" s="50" t="str">
        <f>IF(Gastos[[#This Row],[Fecha_Cheque]]&gt;0,WEEKNUM(Gastos[[#This Row],[Fecha_Cheque]]),MID(Gastos[[#This Row],[Semana]],6,2))</f>
        <v>29</v>
      </c>
      <c r="O3001" t="s">
        <v>3837</v>
      </c>
      <c r="P3001" t="s">
        <v>27</v>
      </c>
    </row>
    <row r="3002" spans="1:16" x14ac:dyDescent="0.25">
      <c r="A3002" s="3" t="s">
        <v>3990</v>
      </c>
      <c r="B3002" t="s">
        <v>40</v>
      </c>
      <c r="C3002" t="s">
        <v>2667</v>
      </c>
      <c r="D3002" t="s">
        <v>61</v>
      </c>
      <c r="E3002" t="s">
        <v>3955</v>
      </c>
      <c r="F3002">
        <v>2</v>
      </c>
      <c r="G3002" s="3" t="s">
        <v>4</v>
      </c>
      <c r="H3002" s="51" t="s">
        <v>15</v>
      </c>
      <c r="I3002" s="17">
        <v>1000000</v>
      </c>
      <c r="J3002" s="17">
        <f>IF(Gastos[[#This Row],[Divisa]]="$", I3002*1, IF(Gastos[[#This Row],[Divisa]]="U$D", I3002*$N$1, IF(Gastos[[#This Row],[Divisa]]="EUR", I3002*$N$2, 0)))</f>
        <v>1000000</v>
      </c>
      <c r="K3002" s="61">
        <f>Gastos[[#This Row],[Importe AR$]]/$N$1</f>
        <v>660.0660066006601</v>
      </c>
      <c r="L3002" s="99"/>
      <c r="M3002" s="100"/>
      <c r="N3002" s="101" t="str">
        <f>IF(Gastos[[#This Row],[Fecha_Cheque]]&gt;0,WEEKNUM(Gastos[[#This Row],[Fecha_Cheque]]),MID(Gastos[[#This Row],[Semana]],6,2))</f>
        <v>32</v>
      </c>
      <c r="O3002" s="99"/>
      <c r="P3002" s="99" t="s">
        <v>3991</v>
      </c>
    </row>
    <row r="3003" spans="1:16" x14ac:dyDescent="0.25">
      <c r="A3003" s="3" t="s">
        <v>3990</v>
      </c>
      <c r="B3003" t="s">
        <v>2922</v>
      </c>
      <c r="C3003" t="s">
        <v>3530</v>
      </c>
      <c r="D3003" t="s">
        <v>61</v>
      </c>
      <c r="E3003" t="s">
        <v>62</v>
      </c>
      <c r="F3003">
        <v>2</v>
      </c>
      <c r="G3003" s="3" t="s">
        <v>32</v>
      </c>
      <c r="H3003" s="51" t="s">
        <v>15</v>
      </c>
      <c r="I3003" s="17">
        <v>7158165</v>
      </c>
      <c r="J3003" s="17">
        <f>IF(Gastos[[#This Row],[Divisa]]="$", I3003*1, IF(Gastos[[#This Row],[Divisa]]="U$D", I3003*$N$1, IF(Gastos[[#This Row],[Divisa]]="EUR", I3003*$N$2, 0)))</f>
        <v>7158165</v>
      </c>
      <c r="K3003" s="61">
        <f>Gastos[[#This Row],[Importe AR$]]/$N$1</f>
        <v>4724.8613861386139</v>
      </c>
      <c r="M3003" s="76"/>
      <c r="N3003" s="50" t="str">
        <f>IF(Gastos[[#This Row],[Fecha_Cheque]]&gt;0,WEEKNUM(Gastos[[#This Row],[Fecha_Cheque]]),MID(Gastos[[#This Row],[Semana]],6,2))</f>
        <v>32</v>
      </c>
    </row>
    <row r="3004" spans="1:16" hidden="1" x14ac:dyDescent="0.25">
      <c r="A3004" s="3" t="s">
        <v>3907</v>
      </c>
      <c r="B3004" t="s">
        <v>2922</v>
      </c>
      <c r="C3004" t="s">
        <v>3530</v>
      </c>
      <c r="D3004" t="s">
        <v>61</v>
      </c>
      <c r="E3004" t="s">
        <v>42</v>
      </c>
      <c r="F3004">
        <v>2</v>
      </c>
      <c r="G3004" s="3" t="s">
        <v>4</v>
      </c>
      <c r="H3004" s="51" t="s">
        <v>15</v>
      </c>
      <c r="I3004" s="17">
        <v>500000</v>
      </c>
      <c r="J3004" s="17">
        <f>IF(Gastos[[#This Row],[Divisa]]="$", I3004*1, IF(Gastos[[#This Row],[Divisa]]="U$D", I3004*$N$1, IF(Gastos[[#This Row],[Divisa]]="EUR", I3004*$N$2, 0)))</f>
        <v>500000</v>
      </c>
      <c r="K3004" s="61">
        <f>Gastos[[#This Row],[Importe AR$]]/$N$1</f>
        <v>330.03300330033005</v>
      </c>
      <c r="M3004" s="76"/>
      <c r="N3004" s="50" t="str">
        <f>IF(Gastos[[#This Row],[Fecha_Cheque]]&gt;0,WEEKNUM(Gastos[[#This Row],[Fecha_Cheque]]),MID(Gastos[[#This Row],[Semana]],6,2))</f>
        <v>31</v>
      </c>
      <c r="O3004" t="s">
        <v>3948</v>
      </c>
      <c r="P3004" t="s">
        <v>27</v>
      </c>
    </row>
    <row r="3005" spans="1:16" hidden="1" x14ac:dyDescent="0.25">
      <c r="A3005" s="3" t="s">
        <v>2763</v>
      </c>
      <c r="B3005" t="s">
        <v>322</v>
      </c>
      <c r="C3005" t="s">
        <v>125</v>
      </c>
      <c r="D3005" t="s">
        <v>26</v>
      </c>
      <c r="E3005" t="s">
        <v>31</v>
      </c>
      <c r="F3005">
        <v>1</v>
      </c>
      <c r="G3005" s="3" t="s">
        <v>5</v>
      </c>
      <c r="H3005" s="51" t="s">
        <v>15</v>
      </c>
      <c r="I3005" s="17">
        <v>5000000</v>
      </c>
      <c r="J3005" s="17">
        <f>IF(Gastos[[#This Row],[Divisa]]="$", I3005*1, IF(Gastos[[#This Row],[Divisa]]="U$D", I3005*$N$1, IF(Gastos[[#This Row],[Divisa]]="EUR", I3005*$N$2, 0)))</f>
        <v>5000000</v>
      </c>
      <c r="K3005" s="61">
        <f>Gastos[[#This Row],[Importe AR$]]/$N$1</f>
        <v>3300.3300330033003</v>
      </c>
      <c r="M3005" s="76"/>
      <c r="N3005" s="50" t="str">
        <f>IF(Gastos[[#This Row],[Fecha_Cheque]]&gt;0,WEEKNUM(Gastos[[#This Row],[Fecha_Cheque]]),MID(Gastos[[#This Row],[Semana]],6,2))</f>
        <v>23</v>
      </c>
      <c r="O3005" t="s">
        <v>3074</v>
      </c>
      <c r="P3005" t="s">
        <v>27</v>
      </c>
    </row>
    <row r="3006" spans="1:16" hidden="1" x14ac:dyDescent="0.25">
      <c r="A3006" s="3" t="s">
        <v>2726</v>
      </c>
      <c r="B3006" t="s">
        <v>266</v>
      </c>
      <c r="C3006" t="s">
        <v>3075</v>
      </c>
      <c r="D3006" t="s">
        <v>26</v>
      </c>
      <c r="E3006" t="s">
        <v>31</v>
      </c>
      <c r="F3006">
        <v>1</v>
      </c>
      <c r="G3006" s="3" t="s">
        <v>32</v>
      </c>
      <c r="H3006" s="51" t="s">
        <v>15</v>
      </c>
      <c r="I3006" s="17">
        <v>263570.95</v>
      </c>
      <c r="J3006" s="17">
        <f>IF(Gastos[[#This Row],[Divisa]]="$", I3006*1, IF(Gastos[[#This Row],[Divisa]]="U$D", I3006*$N$1, IF(Gastos[[#This Row],[Divisa]]="EUR", I3006*$N$2, 0)))</f>
        <v>263570.95</v>
      </c>
      <c r="K3006" s="61">
        <f>Gastos[[#This Row],[Importe AR$]]/$N$1</f>
        <v>173.97422442244226</v>
      </c>
      <c r="M3006" s="76">
        <v>46212</v>
      </c>
      <c r="N3006" s="50">
        <f>IF(Gastos[[#This Row],[Fecha_Cheque]]&gt;0,WEEKNUM(Gastos[[#This Row],[Fecha_Cheque]]),MID(Gastos[[#This Row],[Semana]],6,2))</f>
        <v>28</v>
      </c>
      <c r="O3006" t="s">
        <v>3076</v>
      </c>
      <c r="P3006" t="s">
        <v>27</v>
      </c>
    </row>
    <row r="3007" spans="1:16" hidden="1" x14ac:dyDescent="0.25">
      <c r="A3007" s="3" t="s">
        <v>2792</v>
      </c>
      <c r="B3007" t="s">
        <v>891</v>
      </c>
      <c r="C3007" t="s">
        <v>3077</v>
      </c>
      <c r="D3007" t="s">
        <v>26</v>
      </c>
      <c r="E3007" t="s">
        <v>42</v>
      </c>
      <c r="F3007">
        <v>1</v>
      </c>
      <c r="G3007" s="3" t="s">
        <v>4</v>
      </c>
      <c r="H3007" s="51" t="s">
        <v>15</v>
      </c>
      <c r="I3007" s="17">
        <v>11500</v>
      </c>
      <c r="J3007" s="17">
        <f>IF(Gastos[[#This Row],[Divisa]]="$", I3007*1, IF(Gastos[[#This Row],[Divisa]]="U$D", I3007*$N$1, IF(Gastos[[#This Row],[Divisa]]="EUR", I3007*$N$2, 0)))</f>
        <v>11500</v>
      </c>
      <c r="K3007" s="61">
        <f>Gastos[[#This Row],[Importe AR$]]/$N$1</f>
        <v>7.5907590759075907</v>
      </c>
      <c r="M3007" s="76"/>
      <c r="N3007" s="50" t="str">
        <f>IF(Gastos[[#This Row],[Fecha_Cheque]]&gt;0,WEEKNUM(Gastos[[#This Row],[Fecha_Cheque]]),MID(Gastos[[#This Row],[Semana]],6,2))</f>
        <v>21</v>
      </c>
      <c r="O3007" t="s">
        <v>3078</v>
      </c>
      <c r="P3007" t="s">
        <v>27</v>
      </c>
    </row>
    <row r="3008" spans="1:16" hidden="1" x14ac:dyDescent="0.25">
      <c r="A3008" s="3" t="s">
        <v>2740</v>
      </c>
      <c r="B3008" t="s">
        <v>2560</v>
      </c>
      <c r="C3008" t="s">
        <v>3079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253261.93</v>
      </c>
      <c r="J3008" s="17">
        <f>IF(Gastos[[#This Row],[Divisa]]="$", I3008*1, IF(Gastos[[#This Row],[Divisa]]="U$D", I3008*$N$1, IF(Gastos[[#This Row],[Divisa]]="EUR", I3008*$N$2, 0)))</f>
        <v>253261.93</v>
      </c>
      <c r="K3008" s="61">
        <f>Gastos[[#This Row],[Importe AR$]]/$N$1</f>
        <v>167.1695907590759</v>
      </c>
      <c r="M3008" s="76">
        <v>46126</v>
      </c>
      <c r="N3008" s="50">
        <f>IF(Gastos[[#This Row],[Fecha_Cheque]]&gt;0,WEEKNUM(Gastos[[#This Row],[Fecha_Cheque]]),MID(Gastos[[#This Row],[Semana]],6,2))</f>
        <v>16</v>
      </c>
      <c r="O3008" t="s">
        <v>3080</v>
      </c>
      <c r="P3008" t="s">
        <v>27</v>
      </c>
    </row>
    <row r="3009" spans="1:16" hidden="1" x14ac:dyDescent="0.25">
      <c r="A3009" s="3" t="s">
        <v>2740</v>
      </c>
      <c r="B3009" t="s">
        <v>2560</v>
      </c>
      <c r="C3009" t="s">
        <v>3079</v>
      </c>
      <c r="D3009" t="s">
        <v>26</v>
      </c>
      <c r="E3009" t="s">
        <v>31</v>
      </c>
      <c r="F3009">
        <v>1</v>
      </c>
      <c r="G3009" s="3" t="s">
        <v>32</v>
      </c>
      <c r="H3009" s="51" t="s">
        <v>15</v>
      </c>
      <c r="I3009" s="17">
        <v>253261.93</v>
      </c>
      <c r="J3009" s="17">
        <f>IF(Gastos[[#This Row],[Divisa]]="$", I3009*1, IF(Gastos[[#This Row],[Divisa]]="U$D", I3009*$N$1, IF(Gastos[[#This Row],[Divisa]]="EUR", I3009*$N$2, 0)))</f>
        <v>253261.93</v>
      </c>
      <c r="K3009" s="61">
        <f>Gastos[[#This Row],[Importe AR$]]/$N$1</f>
        <v>167.1695907590759</v>
      </c>
      <c r="M3009" s="76">
        <v>46156</v>
      </c>
      <c r="N3009" s="50">
        <f>IF(Gastos[[#This Row],[Fecha_Cheque]]&gt;0,WEEKNUM(Gastos[[#This Row],[Fecha_Cheque]]),MID(Gastos[[#This Row],[Semana]],6,2))</f>
        <v>20</v>
      </c>
      <c r="O3009" t="s">
        <v>3080</v>
      </c>
      <c r="P3009" t="s">
        <v>27</v>
      </c>
    </row>
    <row r="3010" spans="1:16" hidden="1" x14ac:dyDescent="0.25">
      <c r="A3010" s="3" t="s">
        <v>2740</v>
      </c>
      <c r="B3010" t="s">
        <v>2560</v>
      </c>
      <c r="C3010" t="s">
        <v>3079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253261.93</v>
      </c>
      <c r="J3010" s="17">
        <f>IF(Gastos[[#This Row],[Divisa]]="$", I3010*1, IF(Gastos[[#This Row],[Divisa]]="U$D", I3010*$N$1, IF(Gastos[[#This Row],[Divisa]]="EUR", I3010*$N$2, 0)))</f>
        <v>253261.93</v>
      </c>
      <c r="K3010" s="61">
        <f>Gastos[[#This Row],[Importe AR$]]/$N$1</f>
        <v>167.1695907590759</v>
      </c>
      <c r="M3010" s="76">
        <v>46171</v>
      </c>
      <c r="N3010" s="50">
        <f>IF(Gastos[[#This Row],[Fecha_Cheque]]&gt;0,WEEKNUM(Gastos[[#This Row],[Fecha_Cheque]]),MID(Gastos[[#This Row],[Semana]],6,2))</f>
        <v>22</v>
      </c>
      <c r="O3010" t="s">
        <v>3080</v>
      </c>
      <c r="P3010" t="s">
        <v>27</v>
      </c>
    </row>
    <row r="3011" spans="1:16" hidden="1" x14ac:dyDescent="0.25">
      <c r="A3011" s="3" t="s">
        <v>2740</v>
      </c>
      <c r="B3011" t="s">
        <v>2560</v>
      </c>
      <c r="C3011" t="s">
        <v>3079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8214.2099999999991</v>
      </c>
      <c r="J3011" s="17">
        <f>IF(Gastos[[#This Row],[Divisa]]="$", I3011*1, IF(Gastos[[#This Row],[Divisa]]="U$D", I3011*$N$1, IF(Gastos[[#This Row],[Divisa]]="EUR", I3011*$N$2, 0)))</f>
        <v>8214.2099999999991</v>
      </c>
      <c r="K3011" s="61">
        <f>Gastos[[#This Row],[Importe AR$]]/$N$1</f>
        <v>5.4219207920792076</v>
      </c>
      <c r="L3011" t="s">
        <v>340</v>
      </c>
      <c r="M3011" s="76"/>
      <c r="N3011" s="50" t="str">
        <f>IF(Gastos[[#This Row],[Fecha_Cheque]]&gt;0,WEEKNUM(Gastos[[#This Row],[Fecha_Cheque]]),MID(Gastos[[#This Row],[Semana]],6,2))</f>
        <v>16</v>
      </c>
      <c r="O3011" t="s">
        <v>3080</v>
      </c>
      <c r="P3011" t="s">
        <v>27</v>
      </c>
    </row>
    <row r="3012" spans="1:16" hidden="1" x14ac:dyDescent="0.25">
      <c r="A3012" s="3" t="s">
        <v>2740</v>
      </c>
      <c r="B3012" t="s">
        <v>3081</v>
      </c>
      <c r="C3012" t="s">
        <v>3082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1603627.92</v>
      </c>
      <c r="J3012" s="17">
        <f>IF(Gastos[[#This Row],[Divisa]]="$", I3012*1, IF(Gastos[[#This Row],[Divisa]]="U$D", I3012*$N$1, IF(Gastos[[#This Row],[Divisa]]="EUR", I3012*$N$2, 0)))</f>
        <v>1603627.92</v>
      </c>
      <c r="K3012" s="61">
        <f>Gastos[[#This Row],[Importe AR$]]/$N$1</f>
        <v>1058.5002772277228</v>
      </c>
      <c r="M3012" s="76">
        <v>46159</v>
      </c>
      <c r="N3012" s="50">
        <f>IF(Gastos[[#This Row],[Fecha_Cheque]]&gt;0,WEEKNUM(Gastos[[#This Row],[Fecha_Cheque]]),MID(Gastos[[#This Row],[Semana]],6,2))</f>
        <v>21</v>
      </c>
      <c r="O3012" t="s">
        <v>3083</v>
      </c>
      <c r="P3012" t="s">
        <v>27</v>
      </c>
    </row>
    <row r="3013" spans="1:16" hidden="1" x14ac:dyDescent="0.25">
      <c r="A3013" s="3" t="s">
        <v>2740</v>
      </c>
      <c r="B3013" t="s">
        <v>3081</v>
      </c>
      <c r="C3013" t="s">
        <v>3082</v>
      </c>
      <c r="D3013" t="s">
        <v>26</v>
      </c>
      <c r="E3013" t="s">
        <v>31</v>
      </c>
      <c r="F3013">
        <v>1</v>
      </c>
      <c r="G3013" s="3" t="s">
        <v>32</v>
      </c>
      <c r="H3013" s="51" t="s">
        <v>15</v>
      </c>
      <c r="I3013" s="17">
        <v>1603627.91</v>
      </c>
      <c r="J3013" s="17">
        <f>IF(Gastos[[#This Row],[Divisa]]="$", I3013*1, IF(Gastos[[#This Row],[Divisa]]="U$D", I3013*$N$1, IF(Gastos[[#This Row],[Divisa]]="EUR", I3013*$N$2, 0)))</f>
        <v>1603627.91</v>
      </c>
      <c r="K3013" s="61">
        <f>Gastos[[#This Row],[Importe AR$]]/$N$1</f>
        <v>1058.5002706270627</v>
      </c>
      <c r="M3013" s="76">
        <v>46190</v>
      </c>
      <c r="N3013" s="50">
        <f>IF(Gastos[[#This Row],[Fecha_Cheque]]&gt;0,WEEKNUM(Gastos[[#This Row],[Fecha_Cheque]]),MID(Gastos[[#This Row],[Semana]],6,2))</f>
        <v>25</v>
      </c>
      <c r="O3013" t="s">
        <v>3083</v>
      </c>
      <c r="P3013" t="s">
        <v>27</v>
      </c>
    </row>
    <row r="3014" spans="1:16" hidden="1" x14ac:dyDescent="0.25">
      <c r="A3014" s="3" t="s">
        <v>2740</v>
      </c>
      <c r="B3014" t="s">
        <v>3081</v>
      </c>
      <c r="C3014" t="s">
        <v>3082</v>
      </c>
      <c r="D3014" t="s">
        <v>26</v>
      </c>
      <c r="E3014" t="s">
        <v>31</v>
      </c>
      <c r="F3014">
        <v>1</v>
      </c>
      <c r="G3014" s="3" t="s">
        <v>32</v>
      </c>
      <c r="H3014" s="51" t="s">
        <v>15</v>
      </c>
      <c r="I3014" s="17">
        <v>49348.17</v>
      </c>
      <c r="J3014" s="17">
        <f>IF(Gastos[[#This Row],[Divisa]]="$", I3014*1, IF(Gastos[[#This Row],[Divisa]]="U$D", I3014*$N$1, IF(Gastos[[#This Row],[Divisa]]="EUR", I3014*$N$2, 0)))</f>
        <v>49348.17</v>
      </c>
      <c r="K3014" s="61">
        <f>Gastos[[#This Row],[Importe AR$]]/$N$1</f>
        <v>32.573049504950497</v>
      </c>
      <c r="L3014" t="s">
        <v>340</v>
      </c>
      <c r="M3014" s="76"/>
      <c r="N3014" s="50" t="str">
        <f>IF(Gastos[[#This Row],[Fecha_Cheque]]&gt;0,WEEKNUM(Gastos[[#This Row],[Fecha_Cheque]]),MID(Gastos[[#This Row],[Semana]],6,2))</f>
        <v>16</v>
      </c>
      <c r="O3014" t="s">
        <v>3083</v>
      </c>
      <c r="P3014" t="s">
        <v>27</v>
      </c>
    </row>
    <row r="3015" spans="1:16" hidden="1" x14ac:dyDescent="0.25">
      <c r="A3015" s="3" t="s">
        <v>2740</v>
      </c>
      <c r="B3015" t="s">
        <v>3051</v>
      </c>
      <c r="C3015" t="s">
        <v>3084</v>
      </c>
      <c r="D3015" t="s">
        <v>26</v>
      </c>
      <c r="E3015" t="s">
        <v>42</v>
      </c>
      <c r="F3015">
        <v>2</v>
      </c>
      <c r="G3015" s="3" t="s">
        <v>4</v>
      </c>
      <c r="H3015" s="51" t="s">
        <v>15</v>
      </c>
      <c r="I3015" s="17">
        <v>4500000</v>
      </c>
      <c r="J3015" s="17">
        <f>IF(Gastos[[#This Row],[Divisa]]="$", I3015*1, IF(Gastos[[#This Row],[Divisa]]="U$D", I3015*$N$1, IF(Gastos[[#This Row],[Divisa]]="EUR", I3015*$N$2, 0)))</f>
        <v>4500000</v>
      </c>
      <c r="K3015" s="61">
        <f>Gastos[[#This Row],[Importe AR$]]/$N$1</f>
        <v>2970.2970297029701</v>
      </c>
      <c r="M3015" s="76"/>
      <c r="N3015" s="50" t="str">
        <f>IF(Gastos[[#This Row],[Fecha_Cheque]]&gt;0,WEEKNUM(Gastos[[#This Row],[Fecha_Cheque]]),MID(Gastos[[#This Row],[Semana]],6,2))</f>
        <v>16</v>
      </c>
      <c r="O3015" t="s">
        <v>3085</v>
      </c>
      <c r="P3015" t="s">
        <v>27</v>
      </c>
    </row>
    <row r="3016" spans="1:16" hidden="1" x14ac:dyDescent="0.25">
      <c r="A3016" s="3" t="s">
        <v>2763</v>
      </c>
      <c r="B3016" t="s">
        <v>327</v>
      </c>
      <c r="C3016" t="s">
        <v>3086</v>
      </c>
      <c r="D3016" t="s">
        <v>26</v>
      </c>
      <c r="E3016" t="s">
        <v>225</v>
      </c>
      <c r="F3016">
        <v>1</v>
      </c>
      <c r="G3016" s="3" t="s">
        <v>5</v>
      </c>
      <c r="H3016" s="51" t="s">
        <v>15</v>
      </c>
      <c r="I3016" s="17">
        <v>453600</v>
      </c>
      <c r="J3016" s="17">
        <f>IF(Gastos[[#This Row],[Divisa]]="$", I3016*1, IF(Gastos[[#This Row],[Divisa]]="U$D", I3016*$N$1, IF(Gastos[[#This Row],[Divisa]]="EUR", I3016*$N$2, 0)))</f>
        <v>453600</v>
      </c>
      <c r="K3016" s="61">
        <f>Gastos[[#This Row],[Importe AR$]]/$N$1</f>
        <v>299.40594059405942</v>
      </c>
      <c r="M3016" s="76"/>
      <c r="N3016" s="50" t="str">
        <f>IF(Gastos[[#This Row],[Fecha_Cheque]]&gt;0,WEEKNUM(Gastos[[#This Row],[Fecha_Cheque]]),MID(Gastos[[#This Row],[Semana]],6,2))</f>
        <v>23</v>
      </c>
      <c r="O3016" t="s">
        <v>3087</v>
      </c>
      <c r="P3016" t="s">
        <v>27</v>
      </c>
    </row>
    <row r="3017" spans="1:16" hidden="1" x14ac:dyDescent="0.25">
      <c r="A3017" s="3" t="s">
        <v>2726</v>
      </c>
      <c r="B3017" t="s">
        <v>266</v>
      </c>
      <c r="C3017" t="s">
        <v>3075</v>
      </c>
      <c r="D3017" t="s">
        <v>26</v>
      </c>
      <c r="E3017" t="s">
        <v>31</v>
      </c>
      <c r="F3017">
        <v>1</v>
      </c>
      <c r="G3017" s="3" t="s">
        <v>32</v>
      </c>
      <c r="H3017" s="51" t="s">
        <v>15</v>
      </c>
      <c r="I3017" s="17">
        <v>4429.7700000000004</v>
      </c>
      <c r="J3017" s="17">
        <f>IF(Gastos[[#This Row],[Divisa]]="$", I3017*1, IF(Gastos[[#This Row],[Divisa]]="U$D", I3017*$N$1, IF(Gastos[[#This Row],[Divisa]]="EUR", I3017*$N$2, 0)))</f>
        <v>4429.7700000000004</v>
      </c>
      <c r="K3017" s="61">
        <f>Gastos[[#This Row],[Importe AR$]]/$N$1</f>
        <v>2.9239405940594061</v>
      </c>
      <c r="L3017" t="s">
        <v>340</v>
      </c>
      <c r="M3017" s="76"/>
      <c r="N3017" s="50" t="str">
        <f>IF(Gastos[[#This Row],[Fecha_Cheque]]&gt;0,WEEKNUM(Gastos[[#This Row],[Fecha_Cheque]]),MID(Gastos[[#This Row],[Semana]],6,2))</f>
        <v>24</v>
      </c>
      <c r="O3017" t="s">
        <v>3076</v>
      </c>
      <c r="P3017" t="s">
        <v>27</v>
      </c>
    </row>
    <row r="3018" spans="1:16" hidden="1" x14ac:dyDescent="0.25">
      <c r="A3018" s="3" t="s">
        <v>2763</v>
      </c>
      <c r="B3018" t="s">
        <v>334</v>
      </c>
      <c r="C3018" t="s">
        <v>2836</v>
      </c>
      <c r="D3018" t="s">
        <v>26</v>
      </c>
      <c r="E3018" t="s">
        <v>62</v>
      </c>
      <c r="F3018">
        <v>1</v>
      </c>
      <c r="G3018" s="3" t="s">
        <v>32</v>
      </c>
      <c r="H3018" s="53" t="s">
        <v>15</v>
      </c>
      <c r="I3018" s="17">
        <v>200000</v>
      </c>
      <c r="J3018" s="17">
        <f>IF(Gastos[[#This Row],[Divisa]]="$", I3018*1, IF(Gastos[[#This Row],[Divisa]]="U$D", I3018*$N$1, IF(Gastos[[#This Row],[Divisa]]="EUR", I3018*$N$2, 0)))</f>
        <v>200000</v>
      </c>
      <c r="K3018" s="61">
        <f>Gastos[[#This Row],[Importe AR$]]/$N$1</f>
        <v>132.01320132013203</v>
      </c>
      <c r="M3018" s="76"/>
      <c r="N3018" s="50" t="str">
        <f>IF(Gastos[[#This Row],[Fecha_Cheque]]&gt;0,WEEKNUM(Gastos[[#This Row],[Fecha_Cheque]]),MID(Gastos[[#This Row],[Semana]],6,2))</f>
        <v>23</v>
      </c>
      <c r="O3018" t="s">
        <v>3088</v>
      </c>
      <c r="P3018" t="s">
        <v>27</v>
      </c>
    </row>
    <row r="3019" spans="1:16" hidden="1" x14ac:dyDescent="0.25">
      <c r="A3019" s="3" t="s">
        <v>2763</v>
      </c>
      <c r="B3019" t="s">
        <v>2757</v>
      </c>
      <c r="C3019" t="s">
        <v>3089</v>
      </c>
      <c r="D3019" t="s">
        <v>26</v>
      </c>
      <c r="E3019" t="s">
        <v>31</v>
      </c>
      <c r="F3019">
        <v>1</v>
      </c>
      <c r="G3019" s="3" t="s">
        <v>5</v>
      </c>
      <c r="H3019" s="51" t="s">
        <v>15</v>
      </c>
      <c r="I3019" s="17">
        <v>344063.4</v>
      </c>
      <c r="J3019" s="17">
        <f>IF(Gastos[[#This Row],[Divisa]]="$", I3019*1, IF(Gastos[[#This Row],[Divisa]]="U$D", I3019*$N$1, IF(Gastos[[#This Row],[Divisa]]="EUR", I3019*$N$2, 0)))</f>
        <v>344063.4</v>
      </c>
      <c r="K3019" s="61">
        <f>Gastos[[#This Row],[Importe AR$]]/$N$1</f>
        <v>227.10455445544557</v>
      </c>
      <c r="M3019" s="76"/>
      <c r="N3019" s="50" t="str">
        <f>IF(Gastos[[#This Row],[Fecha_Cheque]]&gt;0,WEEKNUM(Gastos[[#This Row],[Fecha_Cheque]]),MID(Gastos[[#This Row],[Semana]],6,2))</f>
        <v>23</v>
      </c>
      <c r="O3019" t="s">
        <v>3090</v>
      </c>
      <c r="P3019" t="s">
        <v>27</v>
      </c>
    </row>
    <row r="3020" spans="1:16" hidden="1" x14ac:dyDescent="0.25">
      <c r="A3020" s="3" t="s">
        <v>2792</v>
      </c>
      <c r="B3020" t="s">
        <v>921</v>
      </c>
      <c r="C3020" t="s">
        <v>118</v>
      </c>
      <c r="D3020" t="s">
        <v>26</v>
      </c>
      <c r="E3020" t="s">
        <v>132</v>
      </c>
      <c r="F3020">
        <v>2</v>
      </c>
      <c r="G3020" s="3" t="s">
        <v>32</v>
      </c>
      <c r="H3020" s="51" t="s">
        <v>15</v>
      </c>
      <c r="I3020" s="17">
        <v>1214000</v>
      </c>
      <c r="J3020" s="17">
        <f>IF(Gastos[[#This Row],[Divisa]]="$", I3020*1, IF(Gastos[[#This Row],[Divisa]]="U$D", I3020*$N$1, IF(Gastos[[#This Row],[Divisa]]="EUR", I3020*$N$2, 0)))</f>
        <v>1214000</v>
      </c>
      <c r="K3020" s="61">
        <f>Gastos[[#This Row],[Importe AR$]]/$N$1</f>
        <v>801.32013201320137</v>
      </c>
      <c r="M3020" s="76">
        <v>46170</v>
      </c>
      <c r="N3020" s="50">
        <f>IF(Gastos[[#This Row],[Fecha_Cheque]]&gt;0,WEEKNUM(Gastos[[#This Row],[Fecha_Cheque]]),MID(Gastos[[#This Row],[Semana]],6,2))</f>
        <v>22</v>
      </c>
      <c r="O3020" t="s">
        <v>3091</v>
      </c>
      <c r="P3020" t="s">
        <v>27</v>
      </c>
    </row>
    <row r="3021" spans="1:16" hidden="1" x14ac:dyDescent="0.25">
      <c r="A3021" s="3" t="s">
        <v>2792</v>
      </c>
      <c r="B3021" t="s">
        <v>921</v>
      </c>
      <c r="C3021" t="s">
        <v>118</v>
      </c>
      <c r="D3021" t="s">
        <v>26</v>
      </c>
      <c r="E3021" t="s">
        <v>132</v>
      </c>
      <c r="F3021">
        <v>2</v>
      </c>
      <c r="G3021" s="3" t="s">
        <v>32</v>
      </c>
      <c r="H3021" s="51" t="s">
        <v>15</v>
      </c>
      <c r="I3021" s="17">
        <v>1214000</v>
      </c>
      <c r="J3021" s="17">
        <f>IF(Gastos[[#This Row],[Divisa]]="$", I3021*1, IF(Gastos[[#This Row],[Divisa]]="U$D", I3021*$N$1, IF(Gastos[[#This Row],[Divisa]]="EUR", I3021*$N$2, 0)))</f>
        <v>1214000</v>
      </c>
      <c r="K3021" s="61">
        <f>Gastos[[#This Row],[Importe AR$]]/$N$1</f>
        <v>801.32013201320137</v>
      </c>
      <c r="M3021" s="76">
        <v>46207</v>
      </c>
      <c r="N3021" s="50">
        <f>IF(Gastos[[#This Row],[Fecha_Cheque]]&gt;0,WEEKNUM(Gastos[[#This Row],[Fecha_Cheque]]),MID(Gastos[[#This Row],[Semana]],6,2))</f>
        <v>27</v>
      </c>
      <c r="O3021" t="s">
        <v>3091</v>
      </c>
      <c r="P3021" t="s">
        <v>27</v>
      </c>
    </row>
    <row r="3022" spans="1:16" hidden="1" x14ac:dyDescent="0.25">
      <c r="A3022" s="3" t="s">
        <v>2751</v>
      </c>
      <c r="B3022" t="s">
        <v>2908</v>
      </c>
      <c r="C3022" t="s">
        <v>1948</v>
      </c>
      <c r="D3022" t="s">
        <v>26</v>
      </c>
      <c r="E3022" t="s">
        <v>42</v>
      </c>
      <c r="F3022">
        <v>1</v>
      </c>
      <c r="G3022" s="3" t="s">
        <v>4</v>
      </c>
      <c r="H3022" s="51" t="s">
        <v>15</v>
      </c>
      <c r="I3022" s="17">
        <v>800</v>
      </c>
      <c r="J3022" s="17">
        <f>IF(Gastos[[#This Row],[Divisa]]="$", I3022*1, IF(Gastos[[#This Row],[Divisa]]="U$D", I3022*$N$1, IF(Gastos[[#This Row],[Divisa]]="EUR", I3022*$N$2, 0)))</f>
        <v>800</v>
      </c>
      <c r="K3022" s="61">
        <f>Gastos[[#This Row],[Importe AR$]]/$N$1</f>
        <v>0.528052805280528</v>
      </c>
      <c r="M3022" s="76"/>
      <c r="N3022" s="50" t="str">
        <f>IF(Gastos[[#This Row],[Fecha_Cheque]]&gt;0,WEEKNUM(Gastos[[#This Row],[Fecha_Cheque]]),MID(Gastos[[#This Row],[Semana]],6,2))</f>
        <v>18</v>
      </c>
      <c r="O3022" t="s">
        <v>3092</v>
      </c>
      <c r="P3022" t="s">
        <v>27</v>
      </c>
    </row>
    <row r="3023" spans="1:16" hidden="1" x14ac:dyDescent="0.25">
      <c r="A3023" s="3" t="s">
        <v>2804</v>
      </c>
      <c r="B3023" t="s">
        <v>3093</v>
      </c>
      <c r="C3023" t="s">
        <v>3094</v>
      </c>
      <c r="D3023" t="s">
        <v>26</v>
      </c>
      <c r="E3023" t="s">
        <v>31</v>
      </c>
      <c r="F3023">
        <v>1</v>
      </c>
      <c r="G3023" s="3" t="s">
        <v>32</v>
      </c>
      <c r="H3023" s="51" t="s">
        <v>15</v>
      </c>
      <c r="I3023" s="17">
        <v>1267399.52</v>
      </c>
      <c r="J3023" s="17">
        <f>IF(Gastos[[#This Row],[Divisa]]="$", I3023*1, IF(Gastos[[#This Row],[Divisa]]="U$D", I3023*$N$1, IF(Gastos[[#This Row],[Divisa]]="EUR", I3023*$N$2, 0)))</f>
        <v>1267399.52</v>
      </c>
      <c r="K3023" s="61">
        <f>Gastos[[#This Row],[Importe AR$]]/$N$1</f>
        <v>836.56733993399337</v>
      </c>
      <c r="M3023" s="76">
        <v>46186</v>
      </c>
      <c r="N3023" s="50">
        <f>IF(Gastos[[#This Row],[Fecha_Cheque]]&gt;0,WEEKNUM(Gastos[[#This Row],[Fecha_Cheque]]),MID(Gastos[[#This Row],[Semana]],6,2))</f>
        <v>24</v>
      </c>
      <c r="O3023" t="s">
        <v>3095</v>
      </c>
      <c r="P3023" t="s">
        <v>27</v>
      </c>
    </row>
    <row r="3024" spans="1:16" hidden="1" x14ac:dyDescent="0.25">
      <c r="A3024" s="3" t="s">
        <v>2740</v>
      </c>
      <c r="B3024" t="s">
        <v>2153</v>
      </c>
      <c r="C3024" t="s">
        <v>155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195022.91</v>
      </c>
      <c r="J3024" s="17">
        <f>IF(Gastos[[#This Row],[Divisa]]="$", I3024*1, IF(Gastos[[#This Row],[Divisa]]="U$D", I3024*$N$1, IF(Gastos[[#This Row],[Divisa]]="EUR", I3024*$N$2, 0)))</f>
        <v>195022.91</v>
      </c>
      <c r="K3024" s="61">
        <f>Gastos[[#This Row],[Importe AR$]]/$N$1</f>
        <v>128.72799339933994</v>
      </c>
      <c r="M3024" s="76"/>
      <c r="N3024" s="50" t="str">
        <f>IF(Gastos[[#This Row],[Fecha_Cheque]]&gt;0,WEEKNUM(Gastos[[#This Row],[Fecha_Cheque]]),MID(Gastos[[#This Row],[Semana]],6,2))</f>
        <v>16</v>
      </c>
      <c r="O3024" t="s">
        <v>3096</v>
      </c>
      <c r="P3024" t="s">
        <v>27</v>
      </c>
    </row>
    <row r="3025" spans="1:16" hidden="1" x14ac:dyDescent="0.25">
      <c r="A3025" s="3" t="s">
        <v>2804</v>
      </c>
      <c r="B3025" t="s">
        <v>3093</v>
      </c>
      <c r="C3025" t="s">
        <v>3094</v>
      </c>
      <c r="D3025" t="s">
        <v>26</v>
      </c>
      <c r="E3025" t="s">
        <v>31</v>
      </c>
      <c r="F3025">
        <v>1</v>
      </c>
      <c r="G3025" s="3" t="s">
        <v>32</v>
      </c>
      <c r="H3025" s="51" t="s">
        <v>15</v>
      </c>
      <c r="I3025" s="17">
        <v>5000000</v>
      </c>
      <c r="J3025" s="17">
        <f>IF(Gastos[[#This Row],[Divisa]]="$", I3025*1, IF(Gastos[[#This Row],[Divisa]]="U$D", I3025*$N$1, IF(Gastos[[#This Row],[Divisa]]="EUR", I3025*$N$2, 0)))</f>
        <v>5000000</v>
      </c>
      <c r="K3025" s="61">
        <f>Gastos[[#This Row],[Importe AR$]]/$N$1</f>
        <v>3300.3300330033003</v>
      </c>
      <c r="M3025" s="76">
        <v>46193</v>
      </c>
      <c r="N3025" s="50">
        <f>IF(Gastos[[#This Row],[Fecha_Cheque]]&gt;0,WEEKNUM(Gastos[[#This Row],[Fecha_Cheque]]),MID(Gastos[[#This Row],[Semana]],6,2))</f>
        <v>25</v>
      </c>
      <c r="O3025" t="s">
        <v>3095</v>
      </c>
      <c r="P3025" t="s">
        <v>27</v>
      </c>
    </row>
    <row r="3026" spans="1:16" hidden="1" x14ac:dyDescent="0.25">
      <c r="A3026" s="3" t="s">
        <v>2740</v>
      </c>
      <c r="B3026" t="s">
        <v>2587</v>
      </c>
      <c r="C3026" t="s">
        <v>1948</v>
      </c>
      <c r="D3026" t="s">
        <v>26</v>
      </c>
      <c r="E3026" t="s">
        <v>42</v>
      </c>
      <c r="F3026">
        <v>1</v>
      </c>
      <c r="G3026" s="3" t="s">
        <v>4</v>
      </c>
      <c r="H3026" s="51" t="s">
        <v>15</v>
      </c>
      <c r="I3026" s="17">
        <v>33000</v>
      </c>
      <c r="J3026" s="17">
        <f>IF(Gastos[[#This Row],[Divisa]]="$", I3026*1, IF(Gastos[[#This Row],[Divisa]]="U$D", I3026*$N$1, IF(Gastos[[#This Row],[Divisa]]="EUR", I3026*$N$2, 0)))</f>
        <v>33000</v>
      </c>
      <c r="K3026" s="61">
        <f>Gastos[[#This Row],[Importe AR$]]/$N$1</f>
        <v>21.782178217821784</v>
      </c>
      <c r="M3026" s="76"/>
      <c r="N3026" s="50" t="str">
        <f>IF(Gastos[[#This Row],[Fecha_Cheque]]&gt;0,WEEKNUM(Gastos[[#This Row],[Fecha_Cheque]]),MID(Gastos[[#This Row],[Semana]],6,2))</f>
        <v>16</v>
      </c>
      <c r="O3026" t="s">
        <v>3097</v>
      </c>
      <c r="P3026" t="s">
        <v>27</v>
      </c>
    </row>
    <row r="3027" spans="1:16" hidden="1" x14ac:dyDescent="0.25">
      <c r="A3027" s="3" t="s">
        <v>2731</v>
      </c>
      <c r="B3027" t="s">
        <v>1841</v>
      </c>
      <c r="C3027" t="s">
        <v>1842</v>
      </c>
      <c r="D3027" t="s">
        <v>26</v>
      </c>
      <c r="E3027" t="s">
        <v>42</v>
      </c>
      <c r="F3027">
        <v>2</v>
      </c>
      <c r="G3027" s="3" t="s">
        <v>4</v>
      </c>
      <c r="H3027" s="51" t="s">
        <v>15</v>
      </c>
      <c r="I3027" s="17">
        <v>1000000</v>
      </c>
      <c r="J3027" s="17">
        <f>IF(Gastos[[#This Row],[Divisa]]="$", I3027*1, IF(Gastos[[#This Row],[Divisa]]="U$D", I3027*$N$1, IF(Gastos[[#This Row],[Divisa]]="EUR", I3027*$N$2, 0)))</f>
        <v>1000000</v>
      </c>
      <c r="K3027" s="61">
        <f>Gastos[[#This Row],[Importe AR$]]/$N$1</f>
        <v>660.0660066006601</v>
      </c>
      <c r="M3027" s="76"/>
      <c r="N3027" s="50" t="str">
        <f>IF(Gastos[[#This Row],[Fecha_Cheque]]&gt;0,WEEKNUM(Gastos[[#This Row],[Fecha_Cheque]]),MID(Gastos[[#This Row],[Semana]],6,2))</f>
        <v>17</v>
      </c>
      <c r="O3027" t="s">
        <v>3098</v>
      </c>
      <c r="P3027" t="s">
        <v>27</v>
      </c>
    </row>
    <row r="3028" spans="1:16" hidden="1" x14ac:dyDescent="0.25">
      <c r="A3028" s="3" t="s">
        <v>2804</v>
      </c>
      <c r="B3028" t="s">
        <v>3093</v>
      </c>
      <c r="C3028" t="s">
        <v>3094</v>
      </c>
      <c r="D3028" t="s">
        <v>26</v>
      </c>
      <c r="E3028" t="s">
        <v>31</v>
      </c>
      <c r="F3028">
        <v>1</v>
      </c>
      <c r="G3028" s="3" t="s">
        <v>32</v>
      </c>
      <c r="H3028" s="51" t="s">
        <v>15</v>
      </c>
      <c r="I3028" s="17">
        <v>5012987.83</v>
      </c>
      <c r="J3028" s="17">
        <f>IF(Gastos[[#This Row],[Divisa]]="$", I3028*1, IF(Gastos[[#This Row],[Divisa]]="U$D", I3028*$N$1, IF(Gastos[[#This Row],[Divisa]]="EUR", I3028*$N$2, 0)))</f>
        <v>5012987.83</v>
      </c>
      <c r="K3028" s="61">
        <f>Gastos[[#This Row],[Importe AR$]]/$N$1</f>
        <v>3308.9028580858085</v>
      </c>
      <c r="M3028" s="76">
        <v>46197</v>
      </c>
      <c r="N3028" s="50">
        <f>IF(Gastos[[#This Row],[Fecha_Cheque]]&gt;0,WEEKNUM(Gastos[[#This Row],[Fecha_Cheque]]),MID(Gastos[[#This Row],[Semana]],6,2))</f>
        <v>26</v>
      </c>
      <c r="O3028" t="s">
        <v>3095</v>
      </c>
      <c r="P3028" t="s">
        <v>27</v>
      </c>
    </row>
    <row r="3029" spans="1:16" hidden="1" x14ac:dyDescent="0.25">
      <c r="A3029" s="3" t="s">
        <v>2804</v>
      </c>
      <c r="B3029" t="s">
        <v>3093</v>
      </c>
      <c r="C3029" t="s">
        <v>3094</v>
      </c>
      <c r="D3029" t="s">
        <v>26</v>
      </c>
      <c r="E3029" t="s">
        <v>31</v>
      </c>
      <c r="F3029">
        <v>1</v>
      </c>
      <c r="G3029" s="3" t="s">
        <v>32</v>
      </c>
      <c r="H3029" s="51" t="s">
        <v>15</v>
      </c>
      <c r="I3029" s="17">
        <v>4816306.6500000004</v>
      </c>
      <c r="J3029" s="17">
        <f>IF(Gastos[[#This Row],[Divisa]]="$", I3029*1, IF(Gastos[[#This Row],[Divisa]]="U$D", I3029*$N$1, IF(Gastos[[#This Row],[Divisa]]="EUR", I3029*$N$2, 0)))</f>
        <v>4816306.6500000004</v>
      </c>
      <c r="K3029" s="61">
        <f>Gastos[[#This Row],[Importe AR$]]/$N$1</f>
        <v>3179.0802970297032</v>
      </c>
      <c r="M3029" s="76">
        <v>46191</v>
      </c>
      <c r="N3029" s="50">
        <f>IF(Gastos[[#This Row],[Fecha_Cheque]]&gt;0,WEEKNUM(Gastos[[#This Row],[Fecha_Cheque]]),MID(Gastos[[#This Row],[Semana]],6,2))</f>
        <v>25</v>
      </c>
      <c r="O3029" t="s">
        <v>3095</v>
      </c>
      <c r="P3029" t="s">
        <v>27</v>
      </c>
    </row>
    <row r="3030" spans="1:16" hidden="1" x14ac:dyDescent="0.25">
      <c r="A3030" s="3" t="s">
        <v>2804</v>
      </c>
      <c r="B3030" t="s">
        <v>3093</v>
      </c>
      <c r="C3030" t="s">
        <v>3094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7164157.6200000001</v>
      </c>
      <c r="J3030" s="17">
        <f>IF(Gastos[[#This Row],[Divisa]]="$", I3030*1, IF(Gastos[[#This Row],[Divisa]]="U$D", I3030*$N$1, IF(Gastos[[#This Row],[Divisa]]="EUR", I3030*$N$2, 0)))</f>
        <v>7164157.6200000001</v>
      </c>
      <c r="K3030" s="61">
        <f>Gastos[[#This Row],[Importe AR$]]/$N$1</f>
        <v>4728.8169108910888</v>
      </c>
      <c r="M3030" s="76">
        <v>46210</v>
      </c>
      <c r="N3030" s="50">
        <f>IF(Gastos[[#This Row],[Fecha_Cheque]]&gt;0,WEEKNUM(Gastos[[#This Row],[Fecha_Cheque]]),MID(Gastos[[#This Row],[Semana]],6,2))</f>
        <v>28</v>
      </c>
      <c r="O3030" t="s">
        <v>3095</v>
      </c>
      <c r="P3030" t="s">
        <v>27</v>
      </c>
    </row>
    <row r="3031" spans="1:16" hidden="1" x14ac:dyDescent="0.25">
      <c r="A3031" s="3" t="s">
        <v>2804</v>
      </c>
      <c r="B3031" t="s">
        <v>3093</v>
      </c>
      <c r="C3031" t="s">
        <v>3094</v>
      </c>
      <c r="D3031" t="s">
        <v>26</v>
      </c>
      <c r="E3031" t="s">
        <v>31</v>
      </c>
      <c r="F3031">
        <v>1</v>
      </c>
      <c r="G3031" s="3" t="s">
        <v>32</v>
      </c>
      <c r="H3031" s="51" t="s">
        <v>15</v>
      </c>
      <c r="I3031" s="17">
        <v>424208.88</v>
      </c>
      <c r="J3031" s="17">
        <f>IF(Gastos[[#This Row],[Divisa]]="$", I3031*1, IF(Gastos[[#This Row],[Divisa]]="U$D", I3031*$N$1, IF(Gastos[[#This Row],[Divisa]]="EUR", I3031*$N$2, 0)))</f>
        <v>424208.88</v>
      </c>
      <c r="K3031" s="61">
        <f>Gastos[[#This Row],[Importe AR$]]/$N$1</f>
        <v>280.00586138613863</v>
      </c>
      <c r="L3031" t="s">
        <v>340</v>
      </c>
      <c r="M3031" s="76"/>
      <c r="N3031" s="50" t="str">
        <f>IF(Gastos[[#This Row],[Fecha_Cheque]]&gt;0,WEEKNUM(Gastos[[#This Row],[Fecha_Cheque]]),MID(Gastos[[#This Row],[Semana]],6,2))</f>
        <v>19</v>
      </c>
      <c r="O3031" t="s">
        <v>3095</v>
      </c>
      <c r="P3031" t="s">
        <v>27</v>
      </c>
    </row>
    <row r="3032" spans="1:16" hidden="1" x14ac:dyDescent="0.25">
      <c r="A3032" s="3" t="s">
        <v>2804</v>
      </c>
      <c r="B3032" t="s">
        <v>3099</v>
      </c>
      <c r="C3032" t="s">
        <v>3100</v>
      </c>
      <c r="D3032" t="s">
        <v>26</v>
      </c>
      <c r="E3032" t="s">
        <v>31</v>
      </c>
      <c r="F3032">
        <v>1</v>
      </c>
      <c r="G3032" s="3" t="s">
        <v>32</v>
      </c>
      <c r="H3032" s="51" t="s">
        <v>15</v>
      </c>
      <c r="I3032" s="17">
        <v>1004080</v>
      </c>
      <c r="J3032" s="17">
        <f>IF(Gastos[[#This Row],[Divisa]]="$", I3032*1, IF(Gastos[[#This Row],[Divisa]]="U$D", I3032*$N$1, IF(Gastos[[#This Row],[Divisa]]="EUR", I3032*$N$2, 0)))</f>
        <v>1004080</v>
      </c>
      <c r="K3032" s="61">
        <f>Gastos[[#This Row],[Importe AR$]]/$N$1</f>
        <v>662.75907590759073</v>
      </c>
      <c r="M3032" s="76">
        <v>46178</v>
      </c>
      <c r="N3032" s="50">
        <f>IF(Gastos[[#This Row],[Fecha_Cheque]]&gt;0,WEEKNUM(Gastos[[#This Row],[Fecha_Cheque]]),MID(Gastos[[#This Row],[Semana]],6,2))</f>
        <v>23</v>
      </c>
      <c r="O3032" t="s">
        <v>3101</v>
      </c>
      <c r="P3032" t="s">
        <v>27</v>
      </c>
    </row>
    <row r="3033" spans="1:16" hidden="1" x14ac:dyDescent="0.25">
      <c r="A3033" s="3" t="s">
        <v>2731</v>
      </c>
      <c r="B3033" t="s">
        <v>1854</v>
      </c>
      <c r="C3033" t="s">
        <v>554</v>
      </c>
      <c r="D3033" t="s">
        <v>26</v>
      </c>
      <c r="E3033" t="s">
        <v>42</v>
      </c>
      <c r="F3033">
        <v>2</v>
      </c>
      <c r="G3033" s="3" t="s">
        <v>4</v>
      </c>
      <c r="H3033" s="51" t="s">
        <v>15</v>
      </c>
      <c r="I3033" s="17">
        <v>3500000</v>
      </c>
      <c r="J3033" s="17">
        <f>IF(Gastos[[#This Row],[Divisa]]="$", I3033*1, IF(Gastos[[#This Row],[Divisa]]="U$D", I3033*$N$1, IF(Gastos[[#This Row],[Divisa]]="EUR", I3033*$N$2, 0)))</f>
        <v>3500000</v>
      </c>
      <c r="K3033" s="61">
        <f>Gastos[[#This Row],[Importe AR$]]/$N$1</f>
        <v>2310.2310231023102</v>
      </c>
      <c r="M3033" s="76"/>
      <c r="N3033" s="50" t="str">
        <f>IF(Gastos[[#This Row],[Fecha_Cheque]]&gt;0,WEEKNUM(Gastos[[#This Row],[Fecha_Cheque]]),MID(Gastos[[#This Row],[Semana]],6,2))</f>
        <v>17</v>
      </c>
      <c r="O3033" t="s">
        <v>3102</v>
      </c>
      <c r="P3033" t="s">
        <v>27</v>
      </c>
    </row>
    <row r="3034" spans="1:16" hidden="1" x14ac:dyDescent="0.25">
      <c r="A3034" s="3" t="s">
        <v>2731</v>
      </c>
      <c r="B3034" t="s">
        <v>1854</v>
      </c>
      <c r="C3034" t="s">
        <v>2667</v>
      </c>
      <c r="D3034" t="s">
        <v>26</v>
      </c>
      <c r="E3034" t="s">
        <v>42</v>
      </c>
      <c r="F3034">
        <v>2</v>
      </c>
      <c r="G3034" s="3" t="s">
        <v>4</v>
      </c>
      <c r="H3034" s="51" t="s">
        <v>15</v>
      </c>
      <c r="I3034" s="17">
        <v>8000000</v>
      </c>
      <c r="J3034" s="17">
        <f>IF(Gastos[[#This Row],[Divisa]]="$", I3034*1, IF(Gastos[[#This Row],[Divisa]]="U$D", I3034*$N$1, IF(Gastos[[#This Row],[Divisa]]="EUR", I3034*$N$2, 0)))</f>
        <v>8000000</v>
      </c>
      <c r="K3034" s="61">
        <f>Gastos[[#This Row],[Importe AR$]]/$N$1</f>
        <v>5280.5280528052808</v>
      </c>
      <c r="M3034" s="76"/>
      <c r="N3034" s="50" t="str">
        <f>IF(Gastos[[#This Row],[Fecha_Cheque]]&gt;0,WEEKNUM(Gastos[[#This Row],[Fecha_Cheque]]),MID(Gastos[[#This Row],[Semana]],6,2))</f>
        <v>17</v>
      </c>
      <c r="O3034" t="s">
        <v>3103</v>
      </c>
      <c r="P3034" t="s">
        <v>27</v>
      </c>
    </row>
    <row r="3035" spans="1:16" hidden="1" x14ac:dyDescent="0.25">
      <c r="A3035" s="3" t="s">
        <v>2804</v>
      </c>
      <c r="B3035" t="s">
        <v>3099</v>
      </c>
      <c r="C3035" t="s">
        <v>3100</v>
      </c>
      <c r="D3035" t="s">
        <v>26</v>
      </c>
      <c r="E3035" t="s">
        <v>31</v>
      </c>
      <c r="F3035">
        <v>1</v>
      </c>
      <c r="G3035" s="3" t="s">
        <v>32</v>
      </c>
      <c r="H3035" s="51" t="s">
        <v>15</v>
      </c>
      <c r="I3035" s="17">
        <v>12320</v>
      </c>
      <c r="J3035" s="17">
        <f>IF(Gastos[[#This Row],[Divisa]]="$", I3035*1, IF(Gastos[[#This Row],[Divisa]]="U$D", I3035*$N$1, IF(Gastos[[#This Row],[Divisa]]="EUR", I3035*$N$2, 0)))</f>
        <v>12320</v>
      </c>
      <c r="K3035" s="61">
        <f>Gastos[[#This Row],[Importe AR$]]/$N$1</f>
        <v>8.1320132013201327</v>
      </c>
      <c r="L3035" t="s">
        <v>340</v>
      </c>
      <c r="M3035" s="76"/>
      <c r="N3035" s="50" t="str">
        <f>IF(Gastos[[#This Row],[Fecha_Cheque]]&gt;0,WEEKNUM(Gastos[[#This Row],[Fecha_Cheque]]),MID(Gastos[[#This Row],[Semana]],6,2))</f>
        <v>19</v>
      </c>
      <c r="O3035" t="s">
        <v>3101</v>
      </c>
      <c r="P3035" t="s">
        <v>27</v>
      </c>
    </row>
    <row r="3036" spans="1:16" hidden="1" x14ac:dyDescent="0.25">
      <c r="A3036" s="3" t="s">
        <v>2731</v>
      </c>
      <c r="B3036" t="s">
        <v>1854</v>
      </c>
      <c r="C3036" t="s">
        <v>2667</v>
      </c>
      <c r="D3036" t="s">
        <v>26</v>
      </c>
      <c r="E3036" t="s">
        <v>42</v>
      </c>
      <c r="F3036">
        <v>2</v>
      </c>
      <c r="G3036" s="3" t="s">
        <v>4</v>
      </c>
      <c r="H3036" s="51" t="s">
        <v>15</v>
      </c>
      <c r="I3036" s="17">
        <v>5000000</v>
      </c>
      <c r="J3036" s="17">
        <f>IF(Gastos[[#This Row],[Divisa]]="$", I3036*1, IF(Gastos[[#This Row],[Divisa]]="U$D", I3036*$N$1, IF(Gastos[[#This Row],[Divisa]]="EUR", I3036*$N$2, 0)))</f>
        <v>5000000</v>
      </c>
      <c r="K3036" s="61">
        <f>Gastos[[#This Row],[Importe AR$]]/$N$1</f>
        <v>3300.3300330033003</v>
      </c>
      <c r="M3036" s="76"/>
      <c r="N3036" s="50" t="str">
        <f>IF(Gastos[[#This Row],[Fecha_Cheque]]&gt;0,WEEKNUM(Gastos[[#This Row],[Fecha_Cheque]]),MID(Gastos[[#This Row],[Semana]],6,2))</f>
        <v>17</v>
      </c>
      <c r="O3036" t="s">
        <v>3104</v>
      </c>
      <c r="P3036" t="s">
        <v>27</v>
      </c>
    </row>
    <row r="3037" spans="1:16" hidden="1" x14ac:dyDescent="0.25">
      <c r="A3037" s="3" t="s">
        <v>2763</v>
      </c>
      <c r="B3037" t="s">
        <v>2757</v>
      </c>
      <c r="C3037" t="s">
        <v>3089</v>
      </c>
      <c r="D3037" t="s">
        <v>26</v>
      </c>
      <c r="E3037" t="s">
        <v>31</v>
      </c>
      <c r="F3037">
        <v>1</v>
      </c>
      <c r="G3037" s="3" t="s">
        <v>5</v>
      </c>
      <c r="H3037" s="51" t="s">
        <v>15</v>
      </c>
      <c r="I3037" s="17">
        <v>4416.6000000000004</v>
      </c>
      <c r="J3037" s="17">
        <f>IF(Gastos[[#This Row],[Divisa]]="$", I3037*1, IF(Gastos[[#This Row],[Divisa]]="U$D", I3037*$N$1, IF(Gastos[[#This Row],[Divisa]]="EUR", I3037*$N$2, 0)))</f>
        <v>4416.6000000000004</v>
      </c>
      <c r="K3037" s="61">
        <f>Gastos[[#This Row],[Importe AR$]]/$N$1</f>
        <v>2.9152475247524756</v>
      </c>
      <c r="L3037" t="s">
        <v>340</v>
      </c>
      <c r="M3037" s="76"/>
      <c r="N3037" s="50" t="str">
        <f>IF(Gastos[[#This Row],[Fecha_Cheque]]&gt;0,WEEKNUM(Gastos[[#This Row],[Fecha_Cheque]]),MID(Gastos[[#This Row],[Semana]],6,2))</f>
        <v>23</v>
      </c>
      <c r="O3037" t="s">
        <v>3090</v>
      </c>
      <c r="P3037" t="s">
        <v>27</v>
      </c>
    </row>
    <row r="3038" spans="1:16" hidden="1" x14ac:dyDescent="0.25">
      <c r="A3038" s="3" t="s">
        <v>2731</v>
      </c>
      <c r="B3038" t="s">
        <v>3105</v>
      </c>
      <c r="C3038" t="s">
        <v>2934</v>
      </c>
      <c r="D3038" t="s">
        <v>26</v>
      </c>
      <c r="E3038" t="s">
        <v>31</v>
      </c>
      <c r="F3038">
        <v>1</v>
      </c>
      <c r="G3038" s="3" t="s">
        <v>32</v>
      </c>
      <c r="H3038" s="51" t="s">
        <v>15</v>
      </c>
      <c r="I3038" s="17">
        <v>548831</v>
      </c>
      <c r="J3038" s="17">
        <f>IF(Gastos[[#This Row],[Divisa]]="$", I3038*1, IF(Gastos[[#This Row],[Divisa]]="U$D", I3038*$N$1, IF(Gastos[[#This Row],[Divisa]]="EUR", I3038*$N$2, 0)))</f>
        <v>548831</v>
      </c>
      <c r="K3038" s="61">
        <f>Gastos[[#This Row],[Importe AR$]]/$N$1</f>
        <v>362.26468646864686</v>
      </c>
      <c r="M3038" s="76">
        <v>46171</v>
      </c>
      <c r="N3038" s="50">
        <f>IF(Gastos[[#This Row],[Fecha_Cheque]]&gt;0,WEEKNUM(Gastos[[#This Row],[Fecha_Cheque]]),MID(Gastos[[#This Row],[Semana]],6,2))</f>
        <v>22</v>
      </c>
      <c r="O3038" t="s">
        <v>3106</v>
      </c>
      <c r="P3038" t="s">
        <v>27</v>
      </c>
    </row>
    <row r="3039" spans="1:16" hidden="1" x14ac:dyDescent="0.25">
      <c r="A3039" s="3" t="s">
        <v>2731</v>
      </c>
      <c r="B3039" t="s">
        <v>3105</v>
      </c>
      <c r="C3039" t="s">
        <v>2934</v>
      </c>
      <c r="D3039" t="s">
        <v>26</v>
      </c>
      <c r="E3039" t="s">
        <v>31</v>
      </c>
      <c r="F3039">
        <v>1</v>
      </c>
      <c r="G3039" s="3" t="s">
        <v>32</v>
      </c>
      <c r="H3039" s="51" t="s">
        <v>15</v>
      </c>
      <c r="I3039" s="17">
        <v>548831</v>
      </c>
      <c r="J3039" s="17">
        <f>IF(Gastos[[#This Row],[Divisa]]="$", I3039*1, IF(Gastos[[#This Row],[Divisa]]="U$D", I3039*$N$1, IF(Gastos[[#This Row],[Divisa]]="EUR", I3039*$N$2, 0)))</f>
        <v>548831</v>
      </c>
      <c r="K3039" s="61">
        <f>Gastos[[#This Row],[Importe AR$]]/$N$1</f>
        <v>362.26468646864686</v>
      </c>
      <c r="M3039" s="76">
        <v>46161</v>
      </c>
      <c r="N3039" s="50">
        <f>IF(Gastos[[#This Row],[Fecha_Cheque]]&gt;0,WEEKNUM(Gastos[[#This Row],[Fecha_Cheque]]),MID(Gastos[[#This Row],[Semana]],6,2))</f>
        <v>21</v>
      </c>
      <c r="O3039" t="s">
        <v>3106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548831</v>
      </c>
      <c r="J3040" s="17">
        <f>IF(Gastos[[#This Row],[Divisa]]="$", I3040*1, IF(Gastos[[#This Row],[Divisa]]="U$D", I3040*$N$1, IF(Gastos[[#This Row],[Divisa]]="EUR", I3040*$N$2, 0)))</f>
        <v>548831</v>
      </c>
      <c r="K3040" s="61">
        <f>Gastos[[#This Row],[Importe AR$]]/$N$1</f>
        <v>362.26468646864686</v>
      </c>
      <c r="M3040" s="76">
        <v>46178</v>
      </c>
      <c r="N3040" s="50">
        <f>IF(Gastos[[#This Row],[Fecha_Cheque]]&gt;0,WEEKNUM(Gastos[[#This Row],[Fecha_Cheque]]),MID(Gastos[[#This Row],[Semana]],6,2))</f>
        <v>23</v>
      </c>
      <c r="O3040" t="s">
        <v>3106</v>
      </c>
      <c r="P3040" t="s">
        <v>27</v>
      </c>
    </row>
    <row r="3041" spans="1:16" hidden="1" x14ac:dyDescent="0.25">
      <c r="A3041" s="3" t="s">
        <v>2731</v>
      </c>
      <c r="B3041" t="s">
        <v>3105</v>
      </c>
      <c r="C3041" t="s">
        <v>2934</v>
      </c>
      <c r="D3041" t="s">
        <v>26</v>
      </c>
      <c r="E3041" t="s">
        <v>31</v>
      </c>
      <c r="F3041">
        <v>1</v>
      </c>
      <c r="G3041" s="3" t="s">
        <v>32</v>
      </c>
      <c r="H3041" s="51" t="s">
        <v>15</v>
      </c>
      <c r="I3041" s="17">
        <v>2406885</v>
      </c>
      <c r="J3041" s="17">
        <f>IF(Gastos[[#This Row],[Divisa]]="$", I3041*1, IF(Gastos[[#This Row],[Divisa]]="U$D", I3041*$N$1, IF(Gastos[[#This Row],[Divisa]]="EUR", I3041*$N$2, 0)))</f>
        <v>2406885</v>
      </c>
      <c r="K3041" s="61">
        <f>Gastos[[#This Row],[Importe AR$]]/$N$1</f>
        <v>1588.7029702970297</v>
      </c>
      <c r="M3041" s="76">
        <v>46163</v>
      </c>
      <c r="N3041" s="50">
        <f>IF(Gastos[[#This Row],[Fecha_Cheque]]&gt;0,WEEKNUM(Gastos[[#This Row],[Fecha_Cheque]]),MID(Gastos[[#This Row],[Semana]],6,2))</f>
        <v>21</v>
      </c>
      <c r="O3041" t="s">
        <v>3106</v>
      </c>
      <c r="P3041" t="s">
        <v>27</v>
      </c>
    </row>
    <row r="3042" spans="1:16" hidden="1" x14ac:dyDescent="0.25">
      <c r="A3042" s="3" t="s">
        <v>2731</v>
      </c>
      <c r="B3042" t="s">
        <v>3105</v>
      </c>
      <c r="C3042" t="s">
        <v>2934</v>
      </c>
      <c r="D3042" t="s">
        <v>26</v>
      </c>
      <c r="E3042" t="s">
        <v>31</v>
      </c>
      <c r="F3042">
        <v>1</v>
      </c>
      <c r="G3042" s="3" t="s">
        <v>32</v>
      </c>
      <c r="H3042" s="51" t="s">
        <v>15</v>
      </c>
      <c r="I3042" s="17">
        <v>68124</v>
      </c>
      <c r="J3042" s="17">
        <f>IF(Gastos[[#This Row],[Divisa]]="$", I3042*1, IF(Gastos[[#This Row],[Divisa]]="U$D", I3042*$N$1, IF(Gastos[[#This Row],[Divisa]]="EUR", I3042*$N$2, 0)))</f>
        <v>68124</v>
      </c>
      <c r="K3042" s="61">
        <f>Gastos[[#This Row],[Importe AR$]]/$N$1</f>
        <v>44.966336633663367</v>
      </c>
      <c r="L3042" t="s">
        <v>340</v>
      </c>
      <c r="M3042" s="76"/>
      <c r="N3042" s="50" t="str">
        <f>IF(Gastos[[#This Row],[Fecha_Cheque]]&gt;0,WEEKNUM(Gastos[[#This Row],[Fecha_Cheque]]),MID(Gastos[[#This Row],[Semana]],6,2))</f>
        <v>17</v>
      </c>
      <c r="O3042" t="s">
        <v>3106</v>
      </c>
      <c r="P3042" t="s">
        <v>27</v>
      </c>
    </row>
    <row r="3043" spans="1:16" hidden="1" x14ac:dyDescent="0.25">
      <c r="A3043" s="3" t="s">
        <v>2792</v>
      </c>
      <c r="B3043" t="s">
        <v>921</v>
      </c>
      <c r="C3043" t="s">
        <v>118</v>
      </c>
      <c r="D3043" t="s">
        <v>26</v>
      </c>
      <c r="E3043" t="s">
        <v>132</v>
      </c>
      <c r="F3043">
        <v>2</v>
      </c>
      <c r="G3043" s="3" t="s">
        <v>32</v>
      </c>
      <c r="H3043" s="51" t="s">
        <v>15</v>
      </c>
      <c r="I3043" s="17">
        <v>1214000</v>
      </c>
      <c r="J3043" s="17">
        <f>IF(Gastos[[#This Row],[Divisa]]="$", I3043*1, IF(Gastos[[#This Row],[Divisa]]="U$D", I3043*$N$1, IF(Gastos[[#This Row],[Divisa]]="EUR", I3043*$N$2, 0)))</f>
        <v>1214000</v>
      </c>
      <c r="K3043" s="61">
        <f>Gastos[[#This Row],[Importe AR$]]/$N$1</f>
        <v>801.32013201320137</v>
      </c>
      <c r="M3043" s="76">
        <v>46170</v>
      </c>
      <c r="N3043" s="50">
        <f>IF(Gastos[[#This Row],[Fecha_Cheque]]&gt;0,WEEKNUM(Gastos[[#This Row],[Fecha_Cheque]]),MID(Gastos[[#This Row],[Semana]],6,2))</f>
        <v>22</v>
      </c>
      <c r="O3043" t="s">
        <v>3091</v>
      </c>
      <c r="P3043" t="s">
        <v>27</v>
      </c>
    </row>
    <row r="3044" spans="1:16" hidden="1" x14ac:dyDescent="0.25">
      <c r="A3044" s="3" t="s">
        <v>2792</v>
      </c>
      <c r="B3044" t="s">
        <v>921</v>
      </c>
      <c r="C3044" t="s">
        <v>118</v>
      </c>
      <c r="D3044" t="s">
        <v>26</v>
      </c>
      <c r="E3044" t="s">
        <v>132</v>
      </c>
      <c r="F3044">
        <v>2</v>
      </c>
      <c r="G3044" s="3" t="s">
        <v>32</v>
      </c>
      <c r="H3044" s="51" t="s">
        <v>15</v>
      </c>
      <c r="I3044" s="17">
        <v>1214000</v>
      </c>
      <c r="J3044" s="17">
        <f>IF(Gastos[[#This Row],[Divisa]]="$", I3044*1, IF(Gastos[[#This Row],[Divisa]]="U$D", I3044*$N$1, IF(Gastos[[#This Row],[Divisa]]="EUR", I3044*$N$2, 0)))</f>
        <v>1214000</v>
      </c>
      <c r="K3044" s="61">
        <f>Gastos[[#This Row],[Importe AR$]]/$N$1</f>
        <v>801.32013201320137</v>
      </c>
      <c r="M3044" s="76">
        <v>46207</v>
      </c>
      <c r="N3044" s="50">
        <f>IF(Gastos[[#This Row],[Fecha_Cheque]]&gt;0,WEEKNUM(Gastos[[#This Row],[Fecha_Cheque]]),MID(Gastos[[#This Row],[Semana]],6,2))</f>
        <v>27</v>
      </c>
      <c r="O3044" t="s">
        <v>3091</v>
      </c>
      <c r="P3044" t="s">
        <v>27</v>
      </c>
    </row>
    <row r="3045" spans="1:16" hidden="1" x14ac:dyDescent="0.25">
      <c r="A3045" s="3" t="s">
        <v>2792</v>
      </c>
      <c r="B3045" t="s">
        <v>3107</v>
      </c>
      <c r="C3045" t="s">
        <v>3108</v>
      </c>
      <c r="D3045" t="s">
        <v>26</v>
      </c>
      <c r="E3045" t="s">
        <v>42</v>
      </c>
      <c r="F3045">
        <v>1</v>
      </c>
      <c r="G3045" s="3" t="s">
        <v>4</v>
      </c>
      <c r="H3045" s="51" t="s">
        <v>15</v>
      </c>
      <c r="I3045" s="17">
        <v>41999.99</v>
      </c>
      <c r="J3045" s="17">
        <f>IF(Gastos[[#This Row],[Divisa]]="$", I3045*1, IF(Gastos[[#This Row],[Divisa]]="U$D", I3045*$N$1, IF(Gastos[[#This Row],[Divisa]]="EUR", I3045*$N$2, 0)))</f>
        <v>41999.99</v>
      </c>
      <c r="K3045" s="61">
        <f>Gastos[[#This Row],[Importe AR$]]/$N$1</f>
        <v>27.722765676567654</v>
      </c>
      <c r="M3045" s="76"/>
      <c r="N3045" s="50" t="str">
        <f>IF(Gastos[[#This Row],[Fecha_Cheque]]&gt;0,WEEKNUM(Gastos[[#This Row],[Fecha_Cheque]]),MID(Gastos[[#This Row],[Semana]],6,2))</f>
        <v>21</v>
      </c>
      <c r="O3045" t="s">
        <v>3109</v>
      </c>
      <c r="P3045" t="s">
        <v>27</v>
      </c>
    </row>
    <row r="3046" spans="1:16" hidden="1" x14ac:dyDescent="0.25">
      <c r="A3046" s="3" t="s">
        <v>2731</v>
      </c>
      <c r="B3046" t="s">
        <v>2002</v>
      </c>
      <c r="C3046" t="s">
        <v>2010</v>
      </c>
      <c r="D3046" t="s">
        <v>26</v>
      </c>
      <c r="E3046" t="s">
        <v>225</v>
      </c>
      <c r="F3046">
        <v>1</v>
      </c>
      <c r="G3046" s="3" t="s">
        <v>32</v>
      </c>
      <c r="H3046" s="53" t="s">
        <v>15</v>
      </c>
      <c r="I3046" s="17">
        <v>1320000</v>
      </c>
      <c r="J3046" s="17">
        <f>IF(Gastos[[#This Row],[Divisa]]="$", I3046*1, IF(Gastos[[#This Row],[Divisa]]="U$D", I3046*$N$1, IF(Gastos[[#This Row],[Divisa]]="EUR", I3046*$N$2, 0)))</f>
        <v>1320000</v>
      </c>
      <c r="K3046" s="61">
        <f>Gastos[[#This Row],[Importe AR$]]/$N$1</f>
        <v>871.28712871287132</v>
      </c>
      <c r="M3046" s="76"/>
      <c r="N3046" s="50" t="str">
        <f>IF(Gastos[[#This Row],[Fecha_Cheque]]&gt;0,WEEKNUM(Gastos[[#This Row],[Fecha_Cheque]]),MID(Gastos[[#This Row],[Semana]],6,2))</f>
        <v>17</v>
      </c>
      <c r="O3046" t="s">
        <v>3110</v>
      </c>
      <c r="P3046" t="s">
        <v>27</v>
      </c>
    </row>
    <row r="3047" spans="1:16" hidden="1" x14ac:dyDescent="0.25">
      <c r="A3047" s="3" t="s">
        <v>2751</v>
      </c>
      <c r="B3047" t="s">
        <v>1719</v>
      </c>
      <c r="C3047" t="s">
        <v>3062</v>
      </c>
      <c r="D3047" t="s">
        <v>26</v>
      </c>
      <c r="E3047" t="s">
        <v>31</v>
      </c>
      <c r="F3047">
        <v>1</v>
      </c>
      <c r="G3047" s="3" t="s">
        <v>32</v>
      </c>
      <c r="H3047" s="51" t="s">
        <v>15</v>
      </c>
      <c r="I3047" s="17">
        <v>484572.33</v>
      </c>
      <c r="J3047" s="17">
        <f>IF(Gastos[[#This Row],[Divisa]]="$", I3047*1, IF(Gastos[[#This Row],[Divisa]]="U$D", I3047*$N$1, IF(Gastos[[#This Row],[Divisa]]="EUR", I3047*$N$2, 0)))</f>
        <v>484572.33</v>
      </c>
      <c r="K3047" s="61">
        <f>Gastos[[#This Row],[Importe AR$]]/$N$1</f>
        <v>319.84972277227723</v>
      </c>
      <c r="M3047" s="76"/>
      <c r="N3047" s="50" t="str">
        <f>IF(Gastos[[#This Row],[Fecha_Cheque]]&gt;0,WEEKNUM(Gastos[[#This Row],[Fecha_Cheque]]),MID(Gastos[[#This Row],[Semana]],6,2))</f>
        <v>18</v>
      </c>
      <c r="O3047" t="s">
        <v>3111</v>
      </c>
      <c r="P3047" t="s">
        <v>27</v>
      </c>
    </row>
    <row r="3048" spans="1:16" hidden="1" x14ac:dyDescent="0.25">
      <c r="A3048" s="3" t="s">
        <v>2731</v>
      </c>
      <c r="B3048" t="s">
        <v>2049</v>
      </c>
      <c r="C3048" t="s">
        <v>2473</v>
      </c>
      <c r="D3048" t="s">
        <v>26</v>
      </c>
      <c r="E3048" t="s">
        <v>31</v>
      </c>
      <c r="F3048">
        <v>1</v>
      </c>
      <c r="G3048" s="3" t="s">
        <v>32</v>
      </c>
      <c r="H3048" s="53" t="s">
        <v>15</v>
      </c>
      <c r="I3048" s="17">
        <v>12103384.810000001</v>
      </c>
      <c r="J3048" s="17">
        <f>IF(Gastos[[#This Row],[Divisa]]="$", I3048*1, IF(Gastos[[#This Row],[Divisa]]="U$D", I3048*$N$1, IF(Gastos[[#This Row],[Divisa]]="EUR", I3048*$N$2, 0)))</f>
        <v>12103384.810000001</v>
      </c>
      <c r="K3048" s="61">
        <f>Gastos[[#This Row],[Importe AR$]]/$N$1</f>
        <v>7989.0328778877893</v>
      </c>
      <c r="M3048" s="76">
        <v>46158</v>
      </c>
      <c r="N3048" s="50">
        <f>IF(Gastos[[#This Row],[Fecha_Cheque]]&gt;0,WEEKNUM(Gastos[[#This Row],[Fecha_Cheque]]),MID(Gastos[[#This Row],[Semana]],6,2))</f>
        <v>20</v>
      </c>
      <c r="O3048" t="s">
        <v>3034</v>
      </c>
      <c r="P3048" t="s">
        <v>27</v>
      </c>
    </row>
    <row r="3049" spans="1:16" hidden="1" x14ac:dyDescent="0.25">
      <c r="A3049" s="3" t="s">
        <v>2751</v>
      </c>
      <c r="B3049" t="s">
        <v>1742</v>
      </c>
      <c r="C3049" t="s">
        <v>1748</v>
      </c>
      <c r="D3049" t="s">
        <v>26</v>
      </c>
      <c r="E3049" t="s">
        <v>42</v>
      </c>
      <c r="F3049">
        <v>1</v>
      </c>
      <c r="G3049" s="3" t="s">
        <v>4</v>
      </c>
      <c r="H3049" s="53" t="s">
        <v>15</v>
      </c>
      <c r="I3049" s="17">
        <v>150000.89000000001</v>
      </c>
      <c r="J3049" s="17">
        <f>IF(Gastos[[#This Row],[Divisa]]="$", I3049*1, IF(Gastos[[#This Row],[Divisa]]="U$D", I3049*$N$1, IF(Gastos[[#This Row],[Divisa]]="EUR", I3049*$N$2, 0)))</f>
        <v>150000.89000000001</v>
      </c>
      <c r="K3049" s="61">
        <f>Gastos[[#This Row],[Importe AR$]]/$N$1</f>
        <v>99.010488448844896</v>
      </c>
      <c r="M3049" s="76"/>
      <c r="N3049" s="50" t="str">
        <f>IF(Gastos[[#This Row],[Fecha_Cheque]]&gt;0,WEEKNUM(Gastos[[#This Row],[Fecha_Cheque]]),MID(Gastos[[#This Row],[Semana]],6,2))</f>
        <v>18</v>
      </c>
      <c r="O3049" t="s">
        <v>3112</v>
      </c>
      <c r="P3049" t="s">
        <v>27</v>
      </c>
    </row>
    <row r="3050" spans="1:16" hidden="1" x14ac:dyDescent="0.25">
      <c r="A3050" s="3" t="s">
        <v>2773</v>
      </c>
      <c r="B3050" t="s">
        <v>1120</v>
      </c>
      <c r="C3050" t="s">
        <v>3113</v>
      </c>
      <c r="D3050" t="s">
        <v>26</v>
      </c>
      <c r="E3050" t="s">
        <v>31</v>
      </c>
      <c r="F3050">
        <v>1</v>
      </c>
      <c r="G3050" s="3" t="s">
        <v>32</v>
      </c>
      <c r="H3050" s="51" t="s">
        <v>15</v>
      </c>
      <c r="I3050" s="17">
        <v>200000</v>
      </c>
      <c r="J3050" s="17">
        <f>IF(Gastos[[#This Row],[Divisa]]="$", I3050*1, IF(Gastos[[#This Row],[Divisa]]="U$D", I3050*$N$1, IF(Gastos[[#This Row],[Divisa]]="EUR", I3050*$N$2, 0)))</f>
        <v>200000</v>
      </c>
      <c r="K3050" s="61">
        <f>Gastos[[#This Row],[Importe AR$]]/$N$1</f>
        <v>132.01320132013203</v>
      </c>
      <c r="M3050" s="76">
        <v>46175</v>
      </c>
      <c r="N3050" s="50">
        <f>IF(Gastos[[#This Row],[Fecha_Cheque]]&gt;0,WEEKNUM(Gastos[[#This Row],[Fecha_Cheque]]),MID(Gastos[[#This Row],[Semana]],6,2))</f>
        <v>23</v>
      </c>
      <c r="O3050" t="s">
        <v>3114</v>
      </c>
      <c r="P3050" t="s">
        <v>27</v>
      </c>
    </row>
    <row r="3051" spans="1:16" hidden="1" x14ac:dyDescent="0.25">
      <c r="A3051" s="3" t="s">
        <v>2731</v>
      </c>
      <c r="B3051" t="s">
        <v>3051</v>
      </c>
      <c r="C3051" t="s">
        <v>3084</v>
      </c>
      <c r="D3051" t="s">
        <v>26</v>
      </c>
      <c r="E3051" t="s">
        <v>42</v>
      </c>
      <c r="F3051">
        <v>2</v>
      </c>
      <c r="G3051" s="3" t="s">
        <v>4</v>
      </c>
      <c r="H3051" s="51" t="s">
        <v>2</v>
      </c>
      <c r="I3051" s="17">
        <v>7000</v>
      </c>
      <c r="J3051" s="17">
        <f>IF(Gastos[[#This Row],[Divisa]]="$", I3051*1, IF(Gastos[[#This Row],[Divisa]]="U$D", I3051*$N$1, IF(Gastos[[#This Row],[Divisa]]="EUR", I3051*$N$2, 0)))</f>
        <v>10605000</v>
      </c>
      <c r="K3051" s="61">
        <f>Gastos[[#This Row],[Importe AR$]]/$N$1</f>
        <v>7000</v>
      </c>
      <c r="M3051" s="76"/>
      <c r="N3051" s="50" t="str">
        <f>IF(Gastos[[#This Row],[Fecha_Cheque]]&gt;0,WEEKNUM(Gastos[[#This Row],[Fecha_Cheque]]),MID(Gastos[[#This Row],[Semana]],6,2))</f>
        <v>17</v>
      </c>
      <c r="O3051" t="s">
        <v>3115</v>
      </c>
      <c r="P3051" t="s">
        <v>27</v>
      </c>
    </row>
    <row r="3052" spans="1:16" hidden="1" x14ac:dyDescent="0.25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100000</v>
      </c>
      <c r="J3052" s="17">
        <f>IF(Gastos[[#This Row],[Divisa]]="$", I3052*1, IF(Gastos[[#This Row],[Divisa]]="U$D", I3052*$N$1, IF(Gastos[[#This Row],[Divisa]]="EUR", I3052*$N$2, 0)))</f>
        <v>100000</v>
      </c>
      <c r="K3052" s="61">
        <f>Gastos[[#This Row],[Importe AR$]]/$N$1</f>
        <v>66.006600660066013</v>
      </c>
      <c r="M3052" s="76">
        <v>46192</v>
      </c>
      <c r="N3052" s="50">
        <f>IF(Gastos[[#This Row],[Fecha_Cheque]]&gt;0,WEEKNUM(Gastos[[#This Row],[Fecha_Cheque]]),MID(Gastos[[#This Row],[Semana]],6,2))</f>
        <v>25</v>
      </c>
      <c r="O3052" t="s">
        <v>3114</v>
      </c>
      <c r="P3052" t="s">
        <v>27</v>
      </c>
    </row>
    <row r="3053" spans="1:16" hidden="1" x14ac:dyDescent="0.25">
      <c r="A3053" s="3" t="s">
        <v>2773</v>
      </c>
      <c r="B3053" t="s">
        <v>1120</v>
      </c>
      <c r="C3053" t="s">
        <v>3113</v>
      </c>
      <c r="D3053" t="s">
        <v>26</v>
      </c>
      <c r="E3053" t="s">
        <v>42</v>
      </c>
      <c r="F3053">
        <v>1</v>
      </c>
      <c r="G3053" s="3" t="s">
        <v>4</v>
      </c>
      <c r="H3053" s="51" t="s">
        <v>15</v>
      </c>
      <c r="I3053" s="17">
        <v>25091.62</v>
      </c>
      <c r="J3053" s="17">
        <f>IF(Gastos[[#This Row],[Divisa]]="$", I3053*1, IF(Gastos[[#This Row],[Divisa]]="U$D", I3053*$N$1, IF(Gastos[[#This Row],[Divisa]]="EUR", I3053*$N$2, 0)))</f>
        <v>25091.62</v>
      </c>
      <c r="K3053" s="61">
        <f>Gastos[[#This Row],[Importe AR$]]/$N$1</f>
        <v>16.562125412541253</v>
      </c>
      <c r="M3053" s="76">
        <v>46184</v>
      </c>
      <c r="N3053" s="50">
        <f>IF(Gastos[[#This Row],[Fecha_Cheque]]&gt;0,WEEKNUM(Gastos[[#This Row],[Fecha_Cheque]]),MID(Gastos[[#This Row],[Semana]],6,2))</f>
        <v>24</v>
      </c>
      <c r="O3053" t="s">
        <v>3114</v>
      </c>
      <c r="P3053" t="s">
        <v>27</v>
      </c>
    </row>
    <row r="3054" spans="1:16" hidden="1" x14ac:dyDescent="0.25">
      <c r="A3054" s="3" t="s">
        <v>2773</v>
      </c>
      <c r="B3054" t="s">
        <v>1120</v>
      </c>
      <c r="C3054" t="s">
        <v>3113</v>
      </c>
      <c r="D3054" t="s">
        <v>26</v>
      </c>
      <c r="E3054" t="s">
        <v>31</v>
      </c>
      <c r="F3054">
        <v>1</v>
      </c>
      <c r="G3054" s="3" t="s">
        <v>32</v>
      </c>
      <c r="H3054" s="51" t="s">
        <v>15</v>
      </c>
      <c r="I3054" s="17">
        <v>908.43</v>
      </c>
      <c r="J3054" s="17">
        <f>IF(Gastos[[#This Row],[Divisa]]="$", I3054*1, IF(Gastos[[#This Row],[Divisa]]="U$D", I3054*$N$1, IF(Gastos[[#This Row],[Divisa]]="EUR", I3054*$N$2, 0)))</f>
        <v>908.43</v>
      </c>
      <c r="K3054" s="61">
        <f>Gastos[[#This Row],[Importe AR$]]/$N$1</f>
        <v>0.5996237623762376</v>
      </c>
      <c r="L3054" t="s">
        <v>340</v>
      </c>
      <c r="M3054" s="76"/>
      <c r="N3054" s="50" t="str">
        <f>IF(Gastos[[#This Row],[Fecha_Cheque]]&gt;0,WEEKNUM(Gastos[[#This Row],[Fecha_Cheque]]),MID(Gastos[[#This Row],[Semana]],6,2))</f>
        <v>20</v>
      </c>
      <c r="O3054" t="s">
        <v>3114</v>
      </c>
      <c r="P3054" t="s">
        <v>27</v>
      </c>
    </row>
    <row r="3055" spans="1:16" hidden="1" x14ac:dyDescent="0.25">
      <c r="A3055" s="3" t="s">
        <v>3718</v>
      </c>
      <c r="B3055" t="s">
        <v>2728</v>
      </c>
      <c r="C3055" t="s">
        <v>3578</v>
      </c>
      <c r="D3055" t="s">
        <v>26</v>
      </c>
      <c r="E3055" t="s">
        <v>31</v>
      </c>
      <c r="F3055">
        <v>2</v>
      </c>
      <c r="G3055" s="3" t="s">
        <v>32</v>
      </c>
      <c r="H3055" s="51" t="s">
        <v>15</v>
      </c>
      <c r="I3055" s="17">
        <v>2726733</v>
      </c>
      <c r="J3055" s="17">
        <f>IF(Gastos[[#This Row],[Divisa]]="$", I3055*1, IF(Gastos[[#This Row],[Divisa]]="U$D", I3055*$N$1, IF(Gastos[[#This Row],[Divisa]]="EUR", I3055*$N$2, 0)))</f>
        <v>2726733</v>
      </c>
      <c r="K3055" s="61">
        <f>Gastos[[#This Row],[Importe AR$]]/$N$1</f>
        <v>1799.8237623762377</v>
      </c>
      <c r="M3055" s="76">
        <v>46261</v>
      </c>
      <c r="N3055" s="50">
        <f>IF(Gastos[[#This Row],[Fecha_Cheque]]&gt;0,WEEKNUM(Gastos[[#This Row],[Fecha_Cheque]]),MID(Gastos[[#This Row],[Semana]],6,2))</f>
        <v>35</v>
      </c>
      <c r="O3055" t="s">
        <v>3734</v>
      </c>
      <c r="P3055" t="s">
        <v>27</v>
      </c>
    </row>
    <row r="3056" spans="1:16" hidden="1" x14ac:dyDescent="0.25">
      <c r="A3056" s="3" t="s">
        <v>2763</v>
      </c>
      <c r="B3056" t="s">
        <v>2788</v>
      </c>
      <c r="C3056" t="s">
        <v>3116</v>
      </c>
      <c r="D3056" t="s">
        <v>26</v>
      </c>
      <c r="E3056" t="s">
        <v>42</v>
      </c>
      <c r="F3056">
        <v>1</v>
      </c>
      <c r="G3056" s="3" t="s">
        <v>4</v>
      </c>
      <c r="H3056" s="51" t="s">
        <v>15</v>
      </c>
      <c r="I3056" s="17">
        <v>41950</v>
      </c>
      <c r="J3056" s="17">
        <f>IF(Gastos[[#This Row],[Divisa]]="$", I3056*1, IF(Gastos[[#This Row],[Divisa]]="U$D", I3056*$N$1, IF(Gastos[[#This Row],[Divisa]]="EUR", I3056*$N$2, 0)))</f>
        <v>41950</v>
      </c>
      <c r="K3056" s="61">
        <f>Gastos[[#This Row],[Importe AR$]]/$N$1</f>
        <v>27.689768976897689</v>
      </c>
      <c r="M3056" s="76"/>
      <c r="N3056" s="50" t="str">
        <f>IF(Gastos[[#This Row],[Fecha_Cheque]]&gt;0,WEEKNUM(Gastos[[#This Row],[Fecha_Cheque]]),MID(Gastos[[#This Row],[Semana]],6,2))</f>
        <v>23</v>
      </c>
      <c r="O3056" t="s">
        <v>3117</v>
      </c>
      <c r="P3056" t="s">
        <v>27</v>
      </c>
    </row>
    <row r="3057" spans="1:16" hidden="1" x14ac:dyDescent="0.25">
      <c r="A3057" s="3" t="s">
        <v>3440</v>
      </c>
      <c r="B3057" t="s">
        <v>266</v>
      </c>
      <c r="C3057" t="s">
        <v>3535</v>
      </c>
      <c r="D3057" t="s">
        <v>26</v>
      </c>
      <c r="E3057" t="s">
        <v>31</v>
      </c>
      <c r="F3057">
        <v>1</v>
      </c>
      <c r="G3057" s="3" t="s">
        <v>32</v>
      </c>
      <c r="H3057" s="51" t="s">
        <v>15</v>
      </c>
      <c r="I3057" s="17">
        <v>102496.76</v>
      </c>
      <c r="J3057" s="17">
        <f>IF(Gastos[[#This Row],[Divisa]]="$", I3057*1, IF(Gastos[[#This Row],[Divisa]]="U$D", I3057*$N$1, IF(Gastos[[#This Row],[Divisa]]="EUR", I3057*$N$2, 0)))</f>
        <v>102496.76</v>
      </c>
      <c r="K3057" s="61">
        <f>Gastos[[#This Row],[Importe AR$]]/$N$1</f>
        <v>67.654627062706268</v>
      </c>
      <c r="M3057" s="76">
        <v>46219</v>
      </c>
      <c r="N3057" s="50">
        <f>IF(Gastos[[#This Row],[Fecha_Cheque]]&gt;0,WEEKNUM(Gastos[[#This Row],[Fecha_Cheque]]),MID(Gastos[[#This Row],[Semana]],6,2))</f>
        <v>29</v>
      </c>
      <c r="O3057" t="s">
        <v>3536</v>
      </c>
      <c r="P3057" t="s">
        <v>27</v>
      </c>
    </row>
    <row r="3058" spans="1:16" hidden="1" x14ac:dyDescent="0.25">
      <c r="A3058" s="3" t="s">
        <v>2804</v>
      </c>
      <c r="B3058" t="s">
        <v>1485</v>
      </c>
      <c r="C3058" t="s">
        <v>3119</v>
      </c>
      <c r="D3058" t="s">
        <v>26</v>
      </c>
      <c r="E3058" t="s">
        <v>42</v>
      </c>
      <c r="F3058">
        <v>1</v>
      </c>
      <c r="G3058" s="3" t="s">
        <v>4</v>
      </c>
      <c r="H3058" s="51" t="s">
        <v>15</v>
      </c>
      <c r="I3058" s="17">
        <v>22500</v>
      </c>
      <c r="J3058" s="17">
        <f>IF(Gastos[[#This Row],[Divisa]]="$", I3058*1, IF(Gastos[[#This Row],[Divisa]]="U$D", I3058*$N$1, IF(Gastos[[#This Row],[Divisa]]="EUR", I3058*$N$2, 0)))</f>
        <v>22500</v>
      </c>
      <c r="K3058" s="61">
        <f>Gastos[[#This Row],[Importe AR$]]/$N$1</f>
        <v>14.851485148514852</v>
      </c>
      <c r="M3058" s="76"/>
      <c r="N3058" s="50" t="str">
        <f>IF(Gastos[[#This Row],[Fecha_Cheque]]&gt;0,WEEKNUM(Gastos[[#This Row],[Fecha_Cheque]]),MID(Gastos[[#This Row],[Semana]],6,2))</f>
        <v>19</v>
      </c>
      <c r="O3058" t="s">
        <v>3120</v>
      </c>
      <c r="P3058" t="s">
        <v>27</v>
      </c>
    </row>
    <row r="3059" spans="1:16" hidden="1" x14ac:dyDescent="0.25">
      <c r="A3059" s="3" t="s">
        <v>2731</v>
      </c>
      <c r="B3059" t="s">
        <v>2687</v>
      </c>
      <c r="C3059" t="s">
        <v>2688</v>
      </c>
      <c r="D3059" t="s">
        <v>61</v>
      </c>
      <c r="E3059" t="s">
        <v>62</v>
      </c>
      <c r="F3059">
        <v>1</v>
      </c>
      <c r="G3059" s="3" t="s">
        <v>32</v>
      </c>
      <c r="H3059" s="53" t="s">
        <v>15</v>
      </c>
      <c r="I3059" s="17">
        <v>3547.72</v>
      </c>
      <c r="J3059" s="17">
        <f>IF(Gastos[[#This Row],[Divisa]]="$", I3059*1, IF(Gastos[[#This Row],[Divisa]]="U$D", I3059*$N$1, IF(Gastos[[#This Row],[Divisa]]="EUR", I3059*$N$2, 0)))</f>
        <v>3547.72</v>
      </c>
      <c r="K3059" s="61">
        <f>Gastos[[#This Row],[Importe AR$]]/$N$1</f>
        <v>2.3417293729372934</v>
      </c>
      <c r="L3059" t="s">
        <v>340</v>
      </c>
      <c r="M3059" s="76"/>
      <c r="N3059" s="50" t="str">
        <f>IF(Gastos[[#This Row],[Fecha_Cheque]]&gt;0,WEEKNUM(Gastos[[#This Row],[Fecha_Cheque]]),MID(Gastos[[#This Row],[Semana]],6,2))</f>
        <v>17</v>
      </c>
      <c r="O3059" t="s">
        <v>3121</v>
      </c>
      <c r="P3059" t="s">
        <v>27</v>
      </c>
    </row>
    <row r="3060" spans="1:16" hidden="1" x14ac:dyDescent="0.25">
      <c r="A3060" s="3" t="s">
        <v>2731</v>
      </c>
      <c r="B3060" t="s">
        <v>2687</v>
      </c>
      <c r="C3060" t="s">
        <v>2688</v>
      </c>
      <c r="D3060" t="s">
        <v>61</v>
      </c>
      <c r="E3060" t="s">
        <v>62</v>
      </c>
      <c r="F3060">
        <v>1</v>
      </c>
      <c r="G3060" s="3" t="s">
        <v>32</v>
      </c>
      <c r="H3060" s="53" t="s">
        <v>15</v>
      </c>
      <c r="I3060" s="17">
        <v>1190922.75</v>
      </c>
      <c r="J3060" s="17">
        <f>IF(Gastos[[#This Row],[Divisa]]="$", I3060*1, IF(Gastos[[#This Row],[Divisa]]="U$D", I3060*$N$1, IF(Gastos[[#This Row],[Divisa]]="EUR", I3060*$N$2, 0)))</f>
        <v>1190922.75</v>
      </c>
      <c r="K3060" s="61">
        <f>Gastos[[#This Row],[Importe AR$]]/$N$1</f>
        <v>786.08762376237621</v>
      </c>
      <c r="M3060" s="76">
        <v>46128</v>
      </c>
      <c r="N3060" s="50">
        <f>IF(Gastos[[#This Row],[Fecha_Cheque]]&gt;0,WEEKNUM(Gastos[[#This Row],[Fecha_Cheque]]),MID(Gastos[[#This Row],[Semana]],6,2))</f>
        <v>16</v>
      </c>
      <c r="O3060" t="s">
        <v>3121</v>
      </c>
      <c r="P3060" t="s">
        <v>27</v>
      </c>
    </row>
    <row r="3061" spans="1:16" hidden="1" x14ac:dyDescent="0.25">
      <c r="A3061" s="3" t="s">
        <v>2731</v>
      </c>
      <c r="B3061" t="s">
        <v>2687</v>
      </c>
      <c r="C3061" t="s">
        <v>2688</v>
      </c>
      <c r="D3061" t="s">
        <v>61</v>
      </c>
      <c r="E3061" t="s">
        <v>62</v>
      </c>
      <c r="F3061">
        <v>1</v>
      </c>
      <c r="G3061" s="3" t="s">
        <v>32</v>
      </c>
      <c r="H3061" s="53" t="s">
        <v>15</v>
      </c>
      <c r="I3061" s="17">
        <v>1190922.75</v>
      </c>
      <c r="J3061" s="17">
        <f>IF(Gastos[[#This Row],[Divisa]]="$", I3061*1, IF(Gastos[[#This Row],[Divisa]]="U$D", I3061*$N$1, IF(Gastos[[#This Row],[Divisa]]="EUR", I3061*$N$2, 0)))</f>
        <v>1190922.75</v>
      </c>
      <c r="K3061" s="61">
        <f>Gastos[[#This Row],[Importe AR$]]/$N$1</f>
        <v>786.08762376237621</v>
      </c>
      <c r="M3061" s="76">
        <v>46128</v>
      </c>
      <c r="N3061" s="50">
        <f>IF(Gastos[[#This Row],[Fecha_Cheque]]&gt;0,WEEKNUM(Gastos[[#This Row],[Fecha_Cheque]]),MID(Gastos[[#This Row],[Semana]],6,2))</f>
        <v>16</v>
      </c>
      <c r="O3061" t="s">
        <v>3121</v>
      </c>
      <c r="P3061" t="s">
        <v>27</v>
      </c>
    </row>
    <row r="3062" spans="1:16" hidden="1" x14ac:dyDescent="0.25">
      <c r="A3062" s="3" t="s">
        <v>2841</v>
      </c>
      <c r="B3062" t="s">
        <v>785</v>
      </c>
      <c r="C3062" t="s">
        <v>3122</v>
      </c>
      <c r="D3062" t="s">
        <v>26</v>
      </c>
      <c r="E3062" t="s">
        <v>62</v>
      </c>
      <c r="F3062">
        <v>1</v>
      </c>
      <c r="G3062" s="3" t="s">
        <v>32</v>
      </c>
      <c r="H3062" s="51" t="s">
        <v>15</v>
      </c>
      <c r="I3062" s="17">
        <v>120000</v>
      </c>
      <c r="J3062" s="17">
        <f>IF(Gastos[[#This Row],[Divisa]]="$", I3062*1, IF(Gastos[[#This Row],[Divisa]]="U$D", I3062*$N$1, IF(Gastos[[#This Row],[Divisa]]="EUR", I3062*$N$2, 0)))</f>
        <v>120000</v>
      </c>
      <c r="K3062" s="61">
        <f>Gastos[[#This Row],[Importe AR$]]/$N$1</f>
        <v>79.207920792079207</v>
      </c>
      <c r="M3062" s="76"/>
      <c r="N3062" s="50" t="str">
        <f>IF(Gastos[[#This Row],[Fecha_Cheque]]&gt;0,WEEKNUM(Gastos[[#This Row],[Fecha_Cheque]]),MID(Gastos[[#This Row],[Semana]],6,2))</f>
        <v>22</v>
      </c>
      <c r="O3062" t="s">
        <v>3123</v>
      </c>
      <c r="P3062" t="s">
        <v>27</v>
      </c>
    </row>
    <row r="3063" spans="1:16" hidden="1" x14ac:dyDescent="0.25">
      <c r="A3063" s="3" t="s">
        <v>2773</v>
      </c>
      <c r="B3063" t="s">
        <v>3048</v>
      </c>
      <c r="C3063" t="s">
        <v>155</v>
      </c>
      <c r="D3063" t="s">
        <v>26</v>
      </c>
      <c r="E3063" t="s">
        <v>42</v>
      </c>
      <c r="F3063">
        <v>1</v>
      </c>
      <c r="G3063" s="3" t="s">
        <v>4</v>
      </c>
      <c r="H3063" s="51" t="s">
        <v>15</v>
      </c>
      <c r="I3063" s="17">
        <v>70000.09</v>
      </c>
      <c r="J3063" s="17">
        <f>IF(Gastos[[#This Row],[Divisa]]="$", I3063*1, IF(Gastos[[#This Row],[Divisa]]="U$D", I3063*$N$1, IF(Gastos[[#This Row],[Divisa]]="EUR", I3063*$N$2, 0)))</f>
        <v>70000.09</v>
      </c>
      <c r="K3063" s="61">
        <f>Gastos[[#This Row],[Importe AR$]]/$N$1</f>
        <v>46.204679867986798</v>
      </c>
      <c r="M3063" s="76"/>
      <c r="N3063" s="50" t="str">
        <f>IF(Gastos[[#This Row],[Fecha_Cheque]]&gt;0,WEEKNUM(Gastos[[#This Row],[Fecha_Cheque]]),MID(Gastos[[#This Row],[Semana]],6,2))</f>
        <v>20</v>
      </c>
      <c r="O3063" t="s">
        <v>3124</v>
      </c>
      <c r="P3063" t="s">
        <v>27</v>
      </c>
    </row>
    <row r="3064" spans="1:16" hidden="1" x14ac:dyDescent="0.25">
      <c r="A3064" s="3" t="s">
        <v>2751</v>
      </c>
      <c r="B3064" t="s">
        <v>1841</v>
      </c>
      <c r="C3064" t="s">
        <v>1842</v>
      </c>
      <c r="D3064" t="s">
        <v>26</v>
      </c>
      <c r="E3064" t="s">
        <v>42</v>
      </c>
      <c r="F3064">
        <v>2</v>
      </c>
      <c r="G3064" s="3" t="s">
        <v>4</v>
      </c>
      <c r="H3064" s="51" t="s">
        <v>15</v>
      </c>
      <c r="I3064" s="17">
        <v>600000</v>
      </c>
      <c r="J3064" s="17">
        <f>IF(Gastos[[#This Row],[Divisa]]="$", I3064*1, IF(Gastos[[#This Row],[Divisa]]="U$D", I3064*$N$1, IF(Gastos[[#This Row],[Divisa]]="EUR", I3064*$N$2, 0)))</f>
        <v>600000</v>
      </c>
      <c r="K3064" s="61">
        <f>Gastos[[#This Row],[Importe AR$]]/$N$1</f>
        <v>396.03960396039605</v>
      </c>
      <c r="M3064" s="76"/>
      <c r="N3064" s="50" t="str">
        <f>IF(Gastos[[#This Row],[Fecha_Cheque]]&gt;0,WEEKNUM(Gastos[[#This Row],[Fecha_Cheque]]),MID(Gastos[[#This Row],[Semana]],6,2))</f>
        <v>18</v>
      </c>
      <c r="O3064" t="s">
        <v>3125</v>
      </c>
      <c r="P3064" t="s">
        <v>27</v>
      </c>
    </row>
    <row r="3065" spans="1:16" hidden="1" x14ac:dyDescent="0.25">
      <c r="A3065" s="3" t="s">
        <v>3440</v>
      </c>
      <c r="B3065" t="s">
        <v>266</v>
      </c>
      <c r="C3065" t="s">
        <v>3535</v>
      </c>
      <c r="D3065" t="s">
        <v>26</v>
      </c>
      <c r="E3065" t="s">
        <v>31</v>
      </c>
      <c r="F3065">
        <v>1</v>
      </c>
      <c r="G3065" s="3" t="s">
        <v>32</v>
      </c>
      <c r="H3065" s="51" t="s">
        <v>15</v>
      </c>
      <c r="I3065" s="17">
        <v>79031.45</v>
      </c>
      <c r="J3065" s="17">
        <f>IF(Gastos[[#This Row],[Divisa]]="$", I3065*1, IF(Gastos[[#This Row],[Divisa]]="U$D", I3065*$N$1, IF(Gastos[[#This Row],[Divisa]]="EUR", I3065*$N$2, 0)))</f>
        <v>79031.45</v>
      </c>
      <c r="K3065" s="61">
        <f>Gastos[[#This Row],[Importe AR$]]/$N$1</f>
        <v>52.165973597359731</v>
      </c>
      <c r="M3065" s="76">
        <v>46222</v>
      </c>
      <c r="N3065" s="50">
        <f>IF(Gastos[[#This Row],[Fecha_Cheque]]&gt;0,WEEKNUM(Gastos[[#This Row],[Fecha_Cheque]]),MID(Gastos[[#This Row],[Semana]],6,2))</f>
        <v>30</v>
      </c>
      <c r="O3065" t="s">
        <v>3572</v>
      </c>
      <c r="P3065" t="s">
        <v>27</v>
      </c>
    </row>
    <row r="3066" spans="1:16" hidden="1" x14ac:dyDescent="0.25">
      <c r="A3066" s="3" t="s">
        <v>3591</v>
      </c>
      <c r="B3066" t="s">
        <v>203</v>
      </c>
      <c r="C3066" t="s">
        <v>3617</v>
      </c>
      <c r="D3066" t="s">
        <v>26</v>
      </c>
      <c r="E3066" t="s">
        <v>31</v>
      </c>
      <c r="F3066">
        <v>1</v>
      </c>
      <c r="G3066" s="3" t="s">
        <v>5</v>
      </c>
      <c r="H3066" s="51" t="s">
        <v>15</v>
      </c>
      <c r="I3066" s="17">
        <v>104665</v>
      </c>
      <c r="J3066" s="17">
        <f>IF(Gastos[[#This Row],[Divisa]]="$", I3066*1, IF(Gastos[[#This Row],[Divisa]]="U$D", I3066*$N$1, IF(Gastos[[#This Row],[Divisa]]="EUR", I3066*$N$2, 0)))</f>
        <v>104665</v>
      </c>
      <c r="K3066" s="61">
        <f>Gastos[[#This Row],[Importe AR$]]/$N$1</f>
        <v>69.085808580858085</v>
      </c>
      <c r="M3066" s="76"/>
      <c r="N3066" s="50" t="str">
        <f>IF(Gastos[[#This Row],[Fecha_Cheque]]&gt;0,WEEKNUM(Gastos[[#This Row],[Fecha_Cheque]]),MID(Gastos[[#This Row],[Semana]],6,2))</f>
        <v>26</v>
      </c>
      <c r="O3066" t="s">
        <v>3618</v>
      </c>
      <c r="P3066" t="s">
        <v>27</v>
      </c>
    </row>
    <row r="3067" spans="1:16" hidden="1" x14ac:dyDescent="0.25">
      <c r="A3067" s="3" t="s">
        <v>2726</v>
      </c>
      <c r="B3067" t="s">
        <v>344</v>
      </c>
      <c r="C3067" t="s">
        <v>3126</v>
      </c>
      <c r="D3067" t="s">
        <v>26</v>
      </c>
      <c r="E3067" t="s">
        <v>42</v>
      </c>
      <c r="F3067">
        <v>1</v>
      </c>
      <c r="G3067" s="3" t="s">
        <v>32</v>
      </c>
      <c r="H3067" s="51" t="s">
        <v>15</v>
      </c>
      <c r="I3067" s="17">
        <v>458548.59</v>
      </c>
      <c r="J3067" s="17">
        <f>IF(Gastos[[#This Row],[Divisa]]="$", I3067*1, IF(Gastos[[#This Row],[Divisa]]="U$D", I3067*$N$1, IF(Gastos[[#This Row],[Divisa]]="EUR", I3067*$N$2, 0)))</f>
        <v>458548.59</v>
      </c>
      <c r="K3067" s="61">
        <f>Gastos[[#This Row],[Importe AR$]]/$N$1</f>
        <v>302.67233663366341</v>
      </c>
      <c r="M3067" s="76">
        <v>46206</v>
      </c>
      <c r="N3067" s="50">
        <f>IF(Gastos[[#This Row],[Fecha_Cheque]]&gt;0,WEEKNUM(Gastos[[#This Row],[Fecha_Cheque]]),MID(Gastos[[#This Row],[Semana]],6,2))</f>
        <v>27</v>
      </c>
      <c r="O3067" t="s">
        <v>3127</v>
      </c>
      <c r="P3067" t="s">
        <v>27</v>
      </c>
    </row>
    <row r="3068" spans="1:16" hidden="1" x14ac:dyDescent="0.25">
      <c r="A3068" s="3" t="s">
        <v>2763</v>
      </c>
      <c r="B3068" t="s">
        <v>478</v>
      </c>
      <c r="C3068" t="s">
        <v>3128</v>
      </c>
      <c r="D3068" t="s">
        <v>26</v>
      </c>
      <c r="E3068" t="s">
        <v>31</v>
      </c>
      <c r="F3068">
        <v>1</v>
      </c>
      <c r="G3068" s="3" t="s">
        <v>32</v>
      </c>
      <c r="H3068" s="51" t="s">
        <v>15</v>
      </c>
      <c r="I3068" s="17">
        <v>3239012.7</v>
      </c>
      <c r="J3068" s="17">
        <f>IF(Gastos[[#This Row],[Divisa]]="$", I3068*1, IF(Gastos[[#This Row],[Divisa]]="U$D", I3068*$N$1, IF(Gastos[[#This Row],[Divisa]]="EUR", I3068*$N$2, 0)))</f>
        <v>3239012.7</v>
      </c>
      <c r="K3068" s="61">
        <f>Gastos[[#This Row],[Importe AR$]]/$N$1</f>
        <v>2137.9621782178219</v>
      </c>
      <c r="M3068" s="76">
        <v>46207</v>
      </c>
      <c r="N3068" s="50">
        <f>IF(Gastos[[#This Row],[Fecha_Cheque]]&gt;0,WEEKNUM(Gastos[[#This Row],[Fecha_Cheque]]),MID(Gastos[[#This Row],[Semana]],6,2))</f>
        <v>27</v>
      </c>
      <c r="O3068" t="s">
        <v>3129</v>
      </c>
      <c r="P3068" t="s">
        <v>27</v>
      </c>
    </row>
    <row r="3069" spans="1:16" hidden="1" x14ac:dyDescent="0.25">
      <c r="A3069" s="3" t="s">
        <v>2731</v>
      </c>
      <c r="B3069" t="s">
        <v>2312</v>
      </c>
      <c r="C3069" t="s">
        <v>3130</v>
      </c>
      <c r="D3069" t="s">
        <v>26</v>
      </c>
      <c r="E3069" t="s">
        <v>31</v>
      </c>
      <c r="F3069">
        <v>1</v>
      </c>
      <c r="G3069" s="3" t="s">
        <v>32</v>
      </c>
      <c r="H3069" s="51" t="s">
        <v>15</v>
      </c>
      <c r="I3069" s="17">
        <v>15124.39</v>
      </c>
      <c r="J3069" s="17">
        <f>IF(Gastos[[#This Row],[Divisa]]="$", I3069*1, IF(Gastos[[#This Row],[Divisa]]="U$D", I3069*$N$1, IF(Gastos[[#This Row],[Divisa]]="EUR", I3069*$N$2, 0)))</f>
        <v>15124.39</v>
      </c>
      <c r="K3069" s="61">
        <f>Gastos[[#This Row],[Importe AR$]]/$N$1</f>
        <v>9.9830957095709572</v>
      </c>
      <c r="L3069" t="s">
        <v>340</v>
      </c>
      <c r="M3069" s="76"/>
      <c r="N3069" s="50" t="str">
        <f>IF(Gastos[[#This Row],[Fecha_Cheque]]&gt;0,WEEKNUM(Gastos[[#This Row],[Fecha_Cheque]]),MID(Gastos[[#This Row],[Semana]],6,2))</f>
        <v>17</v>
      </c>
      <c r="O3069" t="s">
        <v>3131</v>
      </c>
      <c r="P3069" t="s">
        <v>27</v>
      </c>
    </row>
    <row r="3070" spans="1:16" hidden="1" x14ac:dyDescent="0.25">
      <c r="A3070" s="3" t="s">
        <v>2731</v>
      </c>
      <c r="B3070" t="s">
        <v>2312</v>
      </c>
      <c r="C3070" t="s">
        <v>3130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170941.23</v>
      </c>
      <c r="J3070" s="17">
        <f>IF(Gastos[[#This Row],[Divisa]]="$", I3070*1, IF(Gastos[[#This Row],[Divisa]]="U$D", I3070*$N$1, IF(Gastos[[#This Row],[Divisa]]="EUR", I3070*$N$2, 0)))</f>
        <v>170941.23</v>
      </c>
      <c r="K3070" s="61">
        <f>Gastos[[#This Row],[Importe AR$]]/$N$1</f>
        <v>112.83249504950496</v>
      </c>
      <c r="M3070" s="76">
        <v>46163</v>
      </c>
      <c r="N3070" s="50">
        <f>IF(Gastos[[#This Row],[Fecha_Cheque]]&gt;0,WEEKNUM(Gastos[[#This Row],[Fecha_Cheque]]),MID(Gastos[[#This Row],[Semana]],6,2))</f>
        <v>21</v>
      </c>
      <c r="O3070" t="s">
        <v>3131</v>
      </c>
      <c r="P3070" t="s">
        <v>27</v>
      </c>
    </row>
    <row r="3071" spans="1:16" hidden="1" x14ac:dyDescent="0.25">
      <c r="A3071" s="3" t="s">
        <v>2731</v>
      </c>
      <c r="B3071" t="s">
        <v>2312</v>
      </c>
      <c r="C3071" t="s">
        <v>3130</v>
      </c>
      <c r="D3071" t="s">
        <v>26</v>
      </c>
      <c r="E3071" t="s">
        <v>31</v>
      </c>
      <c r="F3071">
        <v>1</v>
      </c>
      <c r="G3071" s="3" t="s">
        <v>32</v>
      </c>
      <c r="H3071" s="51" t="s">
        <v>15</v>
      </c>
      <c r="I3071" s="17">
        <v>1000000</v>
      </c>
      <c r="J3071" s="17">
        <f>IF(Gastos[[#This Row],[Divisa]]="$", I3071*1, IF(Gastos[[#This Row],[Divisa]]="U$D", I3071*$N$1, IF(Gastos[[#This Row],[Divisa]]="EUR", I3071*$N$2, 0)))</f>
        <v>1000000</v>
      </c>
      <c r="K3071" s="61">
        <f>Gastos[[#This Row],[Importe AR$]]/$N$1</f>
        <v>660.0660066006601</v>
      </c>
      <c r="M3071" s="76">
        <v>46157</v>
      </c>
      <c r="N3071" s="50">
        <f>IF(Gastos[[#This Row],[Fecha_Cheque]]&gt;0,WEEKNUM(Gastos[[#This Row],[Fecha_Cheque]]),MID(Gastos[[#This Row],[Semana]],6,2))</f>
        <v>20</v>
      </c>
      <c r="O3071" t="s">
        <v>3131</v>
      </c>
      <c r="P3071" t="s">
        <v>27</v>
      </c>
    </row>
    <row r="3072" spans="1:16" hidden="1" x14ac:dyDescent="0.25">
      <c r="A3072" s="3" t="s">
        <v>2763</v>
      </c>
      <c r="B3072" t="s">
        <v>478</v>
      </c>
      <c r="C3072" t="s">
        <v>3128</v>
      </c>
      <c r="D3072" t="s">
        <v>26</v>
      </c>
      <c r="E3072" t="s">
        <v>31</v>
      </c>
      <c r="F3072">
        <v>1</v>
      </c>
      <c r="G3072" s="3" t="s">
        <v>32</v>
      </c>
      <c r="H3072" s="51" t="s">
        <v>15</v>
      </c>
      <c r="I3072" s="17">
        <v>3239012.7</v>
      </c>
      <c r="J3072" s="17">
        <f>IF(Gastos[[#This Row],[Divisa]]="$", I3072*1, IF(Gastos[[#This Row],[Divisa]]="U$D", I3072*$N$1, IF(Gastos[[#This Row],[Divisa]]="EUR", I3072*$N$2, 0)))</f>
        <v>3239012.7</v>
      </c>
      <c r="K3072" s="61">
        <f>Gastos[[#This Row],[Importe AR$]]/$N$1</f>
        <v>2137.9621782178219</v>
      </c>
      <c r="M3072" s="76">
        <v>46238</v>
      </c>
      <c r="N3072" s="50">
        <f>IF(Gastos[[#This Row],[Fecha_Cheque]]&gt;0,WEEKNUM(Gastos[[#This Row],[Fecha_Cheque]]),MID(Gastos[[#This Row],[Semana]],6,2))</f>
        <v>32</v>
      </c>
      <c r="O3072" t="s">
        <v>3129</v>
      </c>
      <c r="P3072" t="s">
        <v>27</v>
      </c>
    </row>
    <row r="3073" spans="1:16" hidden="1" x14ac:dyDescent="0.25">
      <c r="A3073" s="3" t="s">
        <v>2751</v>
      </c>
      <c r="B3073" t="s">
        <v>1854</v>
      </c>
      <c r="C3073" t="s">
        <v>118</v>
      </c>
      <c r="D3073" t="s">
        <v>26</v>
      </c>
      <c r="E3073" t="s">
        <v>132</v>
      </c>
      <c r="F3073">
        <v>2</v>
      </c>
      <c r="G3073" s="3" t="s">
        <v>32</v>
      </c>
      <c r="H3073" s="51" t="s">
        <v>15</v>
      </c>
      <c r="I3073" s="17">
        <v>1500000</v>
      </c>
      <c r="J3073" s="17">
        <f>IF(Gastos[[#This Row],[Divisa]]="$", I3073*1, IF(Gastos[[#This Row],[Divisa]]="U$D", I3073*$N$1, IF(Gastos[[#This Row],[Divisa]]="EUR", I3073*$N$2, 0)))</f>
        <v>1500000</v>
      </c>
      <c r="K3073" s="61">
        <f>Gastos[[#This Row],[Importe AR$]]/$N$1</f>
        <v>990.09900990099015</v>
      </c>
      <c r="M3073" s="76"/>
      <c r="N3073" s="50" t="str">
        <f>IF(Gastos[[#This Row],[Fecha_Cheque]]&gt;0,WEEKNUM(Gastos[[#This Row],[Fecha_Cheque]]),MID(Gastos[[#This Row],[Semana]],6,2))</f>
        <v>18</v>
      </c>
      <c r="O3073" t="s">
        <v>3132</v>
      </c>
      <c r="P3073" t="s">
        <v>27</v>
      </c>
    </row>
    <row r="3074" spans="1:16" hidden="1" x14ac:dyDescent="0.25">
      <c r="A3074" s="3" t="s">
        <v>2751</v>
      </c>
      <c r="B3074" t="s">
        <v>1854</v>
      </c>
      <c r="C3074" t="s">
        <v>118</v>
      </c>
      <c r="D3074" t="s">
        <v>26</v>
      </c>
      <c r="E3074" t="s">
        <v>132</v>
      </c>
      <c r="F3074">
        <v>2</v>
      </c>
      <c r="G3074" s="3" t="s">
        <v>32</v>
      </c>
      <c r="H3074" s="51" t="s">
        <v>2</v>
      </c>
      <c r="I3074" s="17">
        <v>2800</v>
      </c>
      <c r="J3074" s="17">
        <f>IF(Gastos[[#This Row],[Divisa]]="$", I3074*1, IF(Gastos[[#This Row],[Divisa]]="U$D", I3074*$N$1, IF(Gastos[[#This Row],[Divisa]]="EUR", I3074*$N$2, 0)))</f>
        <v>4242000</v>
      </c>
      <c r="K3074" s="61">
        <f>Gastos[[#This Row],[Importe AR$]]/$N$1</f>
        <v>2800</v>
      </c>
      <c r="M3074" s="76"/>
      <c r="N3074" s="50" t="str">
        <f>IF(Gastos[[#This Row],[Fecha_Cheque]]&gt;0,WEEKNUM(Gastos[[#This Row],[Fecha_Cheque]]),MID(Gastos[[#This Row],[Semana]],6,2))</f>
        <v>18</v>
      </c>
      <c r="O3074" t="s">
        <v>3133</v>
      </c>
      <c r="P3074" t="s">
        <v>27</v>
      </c>
    </row>
    <row r="3075" spans="1:16" hidden="1" x14ac:dyDescent="0.25">
      <c r="A3075" s="3" t="s">
        <v>2726</v>
      </c>
      <c r="B3075" t="s">
        <v>344</v>
      </c>
      <c r="C3075" t="s">
        <v>3126</v>
      </c>
      <c r="D3075" t="s">
        <v>26</v>
      </c>
      <c r="E3075" t="s">
        <v>42</v>
      </c>
      <c r="F3075">
        <v>1</v>
      </c>
      <c r="G3075" s="3" t="s">
        <v>32</v>
      </c>
      <c r="H3075" s="51" t="s">
        <v>15</v>
      </c>
      <c r="I3075" s="17">
        <v>3151.41</v>
      </c>
      <c r="J3075" s="17">
        <f>IF(Gastos[[#This Row],[Divisa]]="$", I3075*1, IF(Gastos[[#This Row],[Divisa]]="U$D", I3075*$N$1, IF(Gastos[[#This Row],[Divisa]]="EUR", I3075*$N$2, 0)))</f>
        <v>3151.41</v>
      </c>
      <c r="K3075" s="61">
        <f>Gastos[[#This Row],[Importe AR$]]/$N$1</f>
        <v>2.080138613861386</v>
      </c>
      <c r="L3075" t="s">
        <v>340</v>
      </c>
      <c r="M3075" s="76"/>
      <c r="N3075" s="50" t="str">
        <f>IF(Gastos[[#This Row],[Fecha_Cheque]]&gt;0,WEEKNUM(Gastos[[#This Row],[Fecha_Cheque]]),MID(Gastos[[#This Row],[Semana]],6,2))</f>
        <v>24</v>
      </c>
      <c r="O3075" t="s">
        <v>3127</v>
      </c>
      <c r="P3075" t="s">
        <v>27</v>
      </c>
    </row>
    <row r="3076" spans="1:16" hidden="1" x14ac:dyDescent="0.25">
      <c r="A3076" s="3" t="s">
        <v>2751</v>
      </c>
      <c r="B3076" t="s">
        <v>3037</v>
      </c>
      <c r="C3076" t="s">
        <v>3134</v>
      </c>
      <c r="D3076" t="s">
        <v>26</v>
      </c>
      <c r="E3076" t="s">
        <v>42</v>
      </c>
      <c r="F3076">
        <v>1</v>
      </c>
      <c r="G3076" s="3" t="s">
        <v>4</v>
      </c>
      <c r="H3076" s="51" t="s">
        <v>15</v>
      </c>
      <c r="I3076" s="17">
        <v>13000</v>
      </c>
      <c r="J3076" s="17">
        <f>IF(Gastos[[#This Row],[Divisa]]="$", I3076*1, IF(Gastos[[#This Row],[Divisa]]="U$D", I3076*$N$1, IF(Gastos[[#This Row],[Divisa]]="EUR", I3076*$N$2, 0)))</f>
        <v>13000</v>
      </c>
      <c r="K3076" s="61">
        <f>Gastos[[#This Row],[Importe AR$]]/$N$1</f>
        <v>8.5808580858085808</v>
      </c>
      <c r="M3076" s="76"/>
      <c r="N3076" s="50" t="str">
        <f>IF(Gastos[[#This Row],[Fecha_Cheque]]&gt;0,WEEKNUM(Gastos[[#This Row],[Fecha_Cheque]]),MID(Gastos[[#This Row],[Semana]],6,2))</f>
        <v>18</v>
      </c>
      <c r="O3076" t="s">
        <v>3135</v>
      </c>
      <c r="P3076" t="s">
        <v>27</v>
      </c>
    </row>
    <row r="3077" spans="1:16" hidden="1" x14ac:dyDescent="0.25">
      <c r="A3077" s="3" t="s">
        <v>2763</v>
      </c>
      <c r="B3077" t="s">
        <v>522</v>
      </c>
      <c r="C3077" t="s">
        <v>3136</v>
      </c>
      <c r="D3077" t="s">
        <v>26</v>
      </c>
      <c r="E3077" t="s">
        <v>62</v>
      </c>
      <c r="F3077">
        <v>1</v>
      </c>
      <c r="G3077" s="3" t="s">
        <v>32</v>
      </c>
      <c r="H3077" s="53" t="s">
        <v>15</v>
      </c>
      <c r="I3077" s="17">
        <v>446667.34</v>
      </c>
      <c r="J3077" s="17">
        <f>IF(Gastos[[#This Row],[Divisa]]="$", I3077*1, IF(Gastos[[#This Row],[Divisa]]="U$D", I3077*$N$1, IF(Gastos[[#This Row],[Divisa]]="EUR", I3077*$N$2, 0)))</f>
        <v>446667.34</v>
      </c>
      <c r="K3077" s="61">
        <f>Gastos[[#This Row],[Importe AR$]]/$N$1</f>
        <v>294.82992739273931</v>
      </c>
      <c r="M3077" s="76"/>
      <c r="N3077" s="50" t="str">
        <f>IF(Gastos[[#This Row],[Fecha_Cheque]]&gt;0,WEEKNUM(Gastos[[#This Row],[Fecha_Cheque]]),MID(Gastos[[#This Row],[Semana]],6,2))</f>
        <v>23</v>
      </c>
      <c r="O3077" t="s">
        <v>3137</v>
      </c>
      <c r="P3077" t="s">
        <v>27</v>
      </c>
    </row>
    <row r="3078" spans="1:16" hidden="1" x14ac:dyDescent="0.25">
      <c r="A3078" s="3" t="s">
        <v>2841</v>
      </c>
      <c r="B3078" t="s">
        <v>2904</v>
      </c>
      <c r="C3078" t="s">
        <v>41</v>
      </c>
      <c r="D3078" t="s">
        <v>26</v>
      </c>
      <c r="E3078" t="s">
        <v>31</v>
      </c>
      <c r="F3078">
        <v>1</v>
      </c>
      <c r="G3078" s="3" t="s">
        <v>5</v>
      </c>
      <c r="H3078" s="51" t="s">
        <v>15</v>
      </c>
      <c r="I3078" s="17">
        <v>668143</v>
      </c>
      <c r="J3078" s="17">
        <f>IF(Gastos[[#This Row],[Divisa]]="$", I3078*1, IF(Gastos[[#This Row],[Divisa]]="U$D", I3078*$N$1, IF(Gastos[[#This Row],[Divisa]]="EUR", I3078*$N$2, 0)))</f>
        <v>668143</v>
      </c>
      <c r="K3078" s="61">
        <f>Gastos[[#This Row],[Importe AR$]]/$N$1</f>
        <v>441.01848184818482</v>
      </c>
      <c r="M3078" s="76"/>
      <c r="N3078" s="50" t="str">
        <f>IF(Gastos[[#This Row],[Fecha_Cheque]]&gt;0,WEEKNUM(Gastos[[#This Row],[Fecha_Cheque]]),MID(Gastos[[#This Row],[Semana]],6,2))</f>
        <v>22</v>
      </c>
      <c r="O3078" t="s">
        <v>3138</v>
      </c>
      <c r="P3078" t="s">
        <v>27</v>
      </c>
    </row>
    <row r="3079" spans="1:16" hidden="1" x14ac:dyDescent="0.25">
      <c r="A3079" s="3" t="s">
        <v>2751</v>
      </c>
      <c r="B3079" t="s">
        <v>1979</v>
      </c>
      <c r="C3079" t="s">
        <v>155</v>
      </c>
      <c r="D3079" t="s">
        <v>26</v>
      </c>
      <c r="E3079" t="s">
        <v>42</v>
      </c>
      <c r="F3079">
        <v>1</v>
      </c>
      <c r="G3079" s="3" t="s">
        <v>4</v>
      </c>
      <c r="H3079" s="51" t="s">
        <v>15</v>
      </c>
      <c r="I3079" s="17">
        <v>85999.88</v>
      </c>
      <c r="J3079" s="17">
        <f>IF(Gastos[[#This Row],[Divisa]]="$", I3079*1, IF(Gastos[[#This Row],[Divisa]]="U$D", I3079*$N$1, IF(Gastos[[#This Row],[Divisa]]="EUR", I3079*$N$2, 0)))</f>
        <v>85999.88</v>
      </c>
      <c r="K3079" s="61">
        <f>Gastos[[#This Row],[Importe AR$]]/$N$1</f>
        <v>56.765597359735978</v>
      </c>
      <c r="M3079" s="76"/>
      <c r="N3079" s="50" t="str">
        <f>IF(Gastos[[#This Row],[Fecha_Cheque]]&gt;0,WEEKNUM(Gastos[[#This Row],[Fecha_Cheque]]),MID(Gastos[[#This Row],[Semana]],6,2))</f>
        <v>18</v>
      </c>
      <c r="O3079" t="s">
        <v>3139</v>
      </c>
      <c r="P3079" t="s">
        <v>27</v>
      </c>
    </row>
    <row r="3080" spans="1:16" hidden="1" x14ac:dyDescent="0.25">
      <c r="A3080" s="3" t="s">
        <v>2751</v>
      </c>
      <c r="B3080" t="s">
        <v>1979</v>
      </c>
      <c r="C3080" t="s">
        <v>155</v>
      </c>
      <c r="D3080" t="s">
        <v>26</v>
      </c>
      <c r="E3080" t="s">
        <v>42</v>
      </c>
      <c r="F3080">
        <v>1</v>
      </c>
      <c r="G3080" s="3" t="s">
        <v>4</v>
      </c>
      <c r="H3080" s="51" t="s">
        <v>15</v>
      </c>
      <c r="I3080" s="17">
        <v>85999.88</v>
      </c>
      <c r="J3080" s="17">
        <f>IF(Gastos[[#This Row],[Divisa]]="$", I3080*1, IF(Gastos[[#This Row],[Divisa]]="U$D", I3080*$N$1, IF(Gastos[[#This Row],[Divisa]]="EUR", I3080*$N$2, 0)))</f>
        <v>85999.88</v>
      </c>
      <c r="K3080" s="61">
        <f>Gastos[[#This Row],[Importe AR$]]/$N$1</f>
        <v>56.765597359735978</v>
      </c>
      <c r="M3080" s="76"/>
      <c r="N3080" s="50" t="str">
        <f>IF(Gastos[[#This Row],[Fecha_Cheque]]&gt;0,WEEKNUM(Gastos[[#This Row],[Fecha_Cheque]]),MID(Gastos[[#This Row],[Semana]],6,2))</f>
        <v>18</v>
      </c>
      <c r="O3080" t="s">
        <v>3140</v>
      </c>
      <c r="P3080" t="s">
        <v>27</v>
      </c>
    </row>
    <row r="3081" spans="1:16" hidden="1" x14ac:dyDescent="0.25">
      <c r="A3081" s="3" t="s">
        <v>2751</v>
      </c>
      <c r="B3081" t="s">
        <v>2014</v>
      </c>
      <c r="C3081" t="s">
        <v>2015</v>
      </c>
      <c r="D3081" t="s">
        <v>26</v>
      </c>
      <c r="E3081" t="s">
        <v>31</v>
      </c>
      <c r="F3081">
        <v>1</v>
      </c>
      <c r="G3081" s="3" t="s">
        <v>32</v>
      </c>
      <c r="H3081" s="51" t="s">
        <v>15</v>
      </c>
      <c r="I3081" s="17">
        <v>132679.4</v>
      </c>
      <c r="J3081" s="17">
        <f>IF(Gastos[[#This Row],[Divisa]]="$", I3081*1, IF(Gastos[[#This Row],[Divisa]]="U$D", I3081*$N$1, IF(Gastos[[#This Row],[Divisa]]="EUR", I3081*$N$2, 0)))</f>
        <v>132679.4</v>
      </c>
      <c r="K3081" s="61">
        <f>Gastos[[#This Row],[Importe AR$]]/$N$1</f>
        <v>87.577161716171616</v>
      </c>
      <c r="M3081" s="76"/>
      <c r="N3081" s="50" t="str">
        <f>IF(Gastos[[#This Row],[Fecha_Cheque]]&gt;0,WEEKNUM(Gastos[[#This Row],[Fecha_Cheque]]),MID(Gastos[[#This Row],[Semana]],6,2))</f>
        <v>18</v>
      </c>
      <c r="O3081" t="s">
        <v>3141</v>
      </c>
      <c r="P3081" t="s">
        <v>27</v>
      </c>
    </row>
    <row r="3082" spans="1:16" hidden="1" x14ac:dyDescent="0.25">
      <c r="A3082" s="3" t="s">
        <v>2731</v>
      </c>
      <c r="B3082" t="s">
        <v>2540</v>
      </c>
      <c r="C3082" t="s">
        <v>2541</v>
      </c>
      <c r="D3082" t="s">
        <v>26</v>
      </c>
      <c r="E3082" t="s">
        <v>62</v>
      </c>
      <c r="F3082">
        <v>1</v>
      </c>
      <c r="G3082" s="3" t="s">
        <v>32</v>
      </c>
      <c r="H3082" s="53" t="s">
        <v>15</v>
      </c>
      <c r="I3082" s="17">
        <v>17338.18</v>
      </c>
      <c r="J3082" s="17">
        <f>IF(Gastos[[#This Row],[Divisa]]="$", I3082*1, IF(Gastos[[#This Row],[Divisa]]="U$D", I3082*$N$1, IF(Gastos[[#This Row],[Divisa]]="EUR", I3082*$N$2, 0)))</f>
        <v>17338.18</v>
      </c>
      <c r="K3082" s="61">
        <f>Gastos[[#This Row],[Importe AR$]]/$N$1</f>
        <v>11.444343234323432</v>
      </c>
      <c r="L3082" t="s">
        <v>340</v>
      </c>
      <c r="M3082" s="76"/>
      <c r="N3082" s="50" t="str">
        <f>IF(Gastos[[#This Row],[Fecha_Cheque]]&gt;0,WEEKNUM(Gastos[[#This Row],[Fecha_Cheque]]),MID(Gastos[[#This Row],[Semana]],6,2))</f>
        <v>17</v>
      </c>
      <c r="O3082" t="s">
        <v>3142</v>
      </c>
      <c r="P3082" t="s">
        <v>27</v>
      </c>
    </row>
    <row r="3083" spans="1:16" hidden="1" x14ac:dyDescent="0.25">
      <c r="A3083" s="3" t="s">
        <v>2731</v>
      </c>
      <c r="B3083" t="s">
        <v>2540</v>
      </c>
      <c r="C3083" t="s">
        <v>2541</v>
      </c>
      <c r="D3083" t="s">
        <v>26</v>
      </c>
      <c r="E3083" t="s">
        <v>62</v>
      </c>
      <c r="F3083">
        <v>1</v>
      </c>
      <c r="G3083" s="3" t="s">
        <v>32</v>
      </c>
      <c r="H3083" s="53" t="s">
        <v>15</v>
      </c>
      <c r="I3083" s="17">
        <v>1320000</v>
      </c>
      <c r="J3083" s="17">
        <f>IF(Gastos[[#This Row],[Divisa]]="$", I3083*1, IF(Gastos[[#This Row],[Divisa]]="U$D", I3083*$N$1, IF(Gastos[[#This Row],[Divisa]]="EUR", I3083*$N$2, 0)))</f>
        <v>1320000</v>
      </c>
      <c r="K3083" s="61">
        <f>Gastos[[#This Row],[Importe AR$]]/$N$1</f>
        <v>871.28712871287132</v>
      </c>
      <c r="M3083" s="76">
        <v>46163</v>
      </c>
      <c r="N3083" s="50">
        <f>IF(Gastos[[#This Row],[Fecha_Cheque]]&gt;0,WEEKNUM(Gastos[[#This Row],[Fecha_Cheque]]),MID(Gastos[[#This Row],[Semana]],6,2))</f>
        <v>21</v>
      </c>
      <c r="O3083" t="s">
        <v>3142</v>
      </c>
      <c r="P3083" t="s">
        <v>27</v>
      </c>
    </row>
    <row r="3084" spans="1:16" hidden="1" x14ac:dyDescent="0.25">
      <c r="A3084" s="3" t="s">
        <v>2763</v>
      </c>
      <c r="B3084" t="s">
        <v>522</v>
      </c>
      <c r="C3084" t="s">
        <v>3136</v>
      </c>
      <c r="D3084" t="s">
        <v>26</v>
      </c>
      <c r="E3084" t="s">
        <v>62</v>
      </c>
      <c r="F3084">
        <v>1</v>
      </c>
      <c r="G3084" s="3" t="s">
        <v>32</v>
      </c>
      <c r="H3084" s="53" t="s">
        <v>15</v>
      </c>
      <c r="I3084" s="17">
        <v>2951.72</v>
      </c>
      <c r="J3084" s="17">
        <f>IF(Gastos[[#This Row],[Divisa]]="$", I3084*1, IF(Gastos[[#This Row],[Divisa]]="U$D", I3084*$N$1, IF(Gastos[[#This Row],[Divisa]]="EUR", I3084*$N$2, 0)))</f>
        <v>2951.72</v>
      </c>
      <c r="K3084" s="61">
        <f>Gastos[[#This Row],[Importe AR$]]/$N$1</f>
        <v>1.9483300330033002</v>
      </c>
      <c r="L3084" t="s">
        <v>340</v>
      </c>
      <c r="M3084" s="76"/>
      <c r="N3084" s="50" t="str">
        <f>IF(Gastos[[#This Row],[Fecha_Cheque]]&gt;0,WEEKNUM(Gastos[[#This Row],[Fecha_Cheque]]),MID(Gastos[[#This Row],[Semana]],6,2))</f>
        <v>23</v>
      </c>
      <c r="O3084" t="s">
        <v>3137</v>
      </c>
      <c r="P3084" t="s">
        <v>27</v>
      </c>
    </row>
    <row r="3085" spans="1:16" hidden="1" x14ac:dyDescent="0.25">
      <c r="A3085" s="3" t="s">
        <v>2731</v>
      </c>
      <c r="B3085" t="s">
        <v>2255</v>
      </c>
      <c r="C3085" t="s">
        <v>3143</v>
      </c>
      <c r="D3085" t="s">
        <v>26</v>
      </c>
      <c r="E3085" t="s">
        <v>62</v>
      </c>
      <c r="F3085">
        <v>1</v>
      </c>
      <c r="G3085" s="3" t="s">
        <v>32</v>
      </c>
      <c r="H3085" s="51" t="s">
        <v>15</v>
      </c>
      <c r="I3085" s="17">
        <v>151150</v>
      </c>
      <c r="J3085" s="17">
        <f>IF(Gastos[[#This Row],[Divisa]]="$", I3085*1, IF(Gastos[[#This Row],[Divisa]]="U$D", I3085*$N$1, IF(Gastos[[#This Row],[Divisa]]="EUR", I3085*$N$2, 0)))</f>
        <v>151150</v>
      </c>
      <c r="K3085" s="61">
        <f>Gastos[[#This Row],[Importe AR$]]/$N$1</f>
        <v>99.768976897689768</v>
      </c>
      <c r="M3085" s="76">
        <v>46126</v>
      </c>
      <c r="N3085" s="50">
        <f>IF(Gastos[[#This Row],[Fecha_Cheque]]&gt;0,WEEKNUM(Gastos[[#This Row],[Fecha_Cheque]]),MID(Gastos[[#This Row],[Semana]],6,2))</f>
        <v>16</v>
      </c>
      <c r="O3085" t="s">
        <v>3144</v>
      </c>
      <c r="P3085" t="s">
        <v>27</v>
      </c>
    </row>
    <row r="3086" spans="1:16" hidden="1" x14ac:dyDescent="0.25">
      <c r="A3086" s="3" t="s">
        <v>2731</v>
      </c>
      <c r="B3086" t="s">
        <v>2255</v>
      </c>
      <c r="C3086" t="s">
        <v>3143</v>
      </c>
      <c r="D3086" t="s">
        <v>26</v>
      </c>
      <c r="E3086" t="s">
        <v>62</v>
      </c>
      <c r="F3086">
        <v>1</v>
      </c>
      <c r="G3086" s="3" t="s">
        <v>32</v>
      </c>
      <c r="H3086" s="51" t="s">
        <v>15</v>
      </c>
      <c r="I3086" s="17">
        <v>750000</v>
      </c>
      <c r="J3086" s="17">
        <f>IF(Gastos[[#This Row],[Divisa]]="$", I3086*1, IF(Gastos[[#This Row],[Divisa]]="U$D", I3086*$N$1, IF(Gastos[[#This Row],[Divisa]]="EUR", I3086*$N$2, 0)))</f>
        <v>750000</v>
      </c>
      <c r="K3086" s="61">
        <f>Gastos[[#This Row],[Importe AR$]]/$N$1</f>
        <v>495.04950495049508</v>
      </c>
      <c r="M3086" s="76">
        <v>46119</v>
      </c>
      <c r="N3086" s="50">
        <f>IF(Gastos[[#This Row],[Fecha_Cheque]]&gt;0,WEEKNUM(Gastos[[#This Row],[Fecha_Cheque]]),MID(Gastos[[#This Row],[Semana]],6,2))</f>
        <v>15</v>
      </c>
      <c r="O3086" t="s">
        <v>3144</v>
      </c>
      <c r="P3086" t="s">
        <v>27</v>
      </c>
    </row>
    <row r="3087" spans="1:16" hidden="1" x14ac:dyDescent="0.25">
      <c r="A3087" s="3" t="s">
        <v>2731</v>
      </c>
      <c r="B3087" t="s">
        <v>2255</v>
      </c>
      <c r="C3087" t="s">
        <v>3143</v>
      </c>
      <c r="D3087" t="s">
        <v>26</v>
      </c>
      <c r="E3087" t="s">
        <v>62</v>
      </c>
      <c r="F3087">
        <v>1</v>
      </c>
      <c r="G3087" s="3" t="s">
        <v>32</v>
      </c>
      <c r="H3087" s="51" t="s">
        <v>15</v>
      </c>
      <c r="I3087" s="17">
        <v>10415.040000000001</v>
      </c>
      <c r="J3087" s="17">
        <f>IF(Gastos[[#This Row],[Divisa]]="$", I3087*1, IF(Gastos[[#This Row],[Divisa]]="U$D", I3087*$N$1, IF(Gastos[[#This Row],[Divisa]]="EUR", I3087*$N$2, 0)))</f>
        <v>10415.040000000001</v>
      </c>
      <c r="K3087" s="61">
        <f>Gastos[[#This Row],[Importe AR$]]/$N$1</f>
        <v>6.8746138613861394</v>
      </c>
      <c r="L3087" t="s">
        <v>340</v>
      </c>
      <c r="M3087" s="76"/>
      <c r="N3087" s="50" t="str">
        <f>IF(Gastos[[#This Row],[Fecha_Cheque]]&gt;0,WEEKNUM(Gastos[[#This Row],[Fecha_Cheque]]),MID(Gastos[[#This Row],[Semana]],6,2))</f>
        <v>17</v>
      </c>
      <c r="O3087" t="s">
        <v>3144</v>
      </c>
      <c r="P3087" t="s">
        <v>27</v>
      </c>
    </row>
    <row r="3088" spans="1:16" hidden="1" x14ac:dyDescent="0.25">
      <c r="A3088" s="3" t="s">
        <v>2731</v>
      </c>
      <c r="B3088" t="s">
        <v>1742</v>
      </c>
      <c r="C3088" t="s">
        <v>1748</v>
      </c>
      <c r="D3088" t="s">
        <v>26</v>
      </c>
      <c r="E3088" t="s">
        <v>42</v>
      </c>
      <c r="F3088">
        <v>1</v>
      </c>
      <c r="G3088" s="3" t="s">
        <v>4</v>
      </c>
      <c r="H3088" s="51" t="s">
        <v>15</v>
      </c>
      <c r="I3088" s="17">
        <v>59999.94</v>
      </c>
      <c r="J3088" s="17">
        <f>IF(Gastos[[#This Row],[Divisa]]="$", I3088*1, IF(Gastos[[#This Row],[Divisa]]="U$D", I3088*$N$1, IF(Gastos[[#This Row],[Divisa]]="EUR", I3088*$N$2, 0)))</f>
        <v>59999.94</v>
      </c>
      <c r="K3088" s="61">
        <f>Gastos[[#This Row],[Importe AR$]]/$N$1</f>
        <v>39.603920792079208</v>
      </c>
      <c r="M3088" s="76"/>
      <c r="N3088" s="50" t="str">
        <f>IF(Gastos[[#This Row],[Fecha_Cheque]]&gt;0,WEEKNUM(Gastos[[#This Row],[Fecha_Cheque]]),MID(Gastos[[#This Row],[Semana]],6,2))</f>
        <v>17</v>
      </c>
      <c r="O3088" t="s">
        <v>3145</v>
      </c>
      <c r="P3088" t="s">
        <v>27</v>
      </c>
    </row>
    <row r="3089" spans="1:16" hidden="1" x14ac:dyDescent="0.25">
      <c r="A3089" s="3" t="s">
        <v>2731</v>
      </c>
      <c r="B3089" t="s">
        <v>2940</v>
      </c>
      <c r="C3089" t="s">
        <v>421</v>
      </c>
      <c r="D3089" t="s">
        <v>26</v>
      </c>
      <c r="E3089" t="s">
        <v>42</v>
      </c>
      <c r="F3089">
        <v>2</v>
      </c>
      <c r="G3089" s="3" t="s">
        <v>4</v>
      </c>
      <c r="H3089" s="51" t="s">
        <v>15</v>
      </c>
      <c r="I3089" s="17">
        <v>528506.82999999996</v>
      </c>
      <c r="J3089" s="17">
        <f>IF(Gastos[[#This Row],[Divisa]]="$", I3089*1, IF(Gastos[[#This Row],[Divisa]]="U$D", I3089*$N$1, IF(Gastos[[#This Row],[Divisa]]="EUR", I3089*$N$2, 0)))</f>
        <v>528506.82999999996</v>
      </c>
      <c r="K3089" s="61">
        <f>Gastos[[#This Row],[Importe AR$]]/$N$1</f>
        <v>348.84939273927392</v>
      </c>
      <c r="M3089" s="76"/>
      <c r="N3089" s="50" t="str">
        <f>IF(Gastos[[#This Row],[Fecha_Cheque]]&gt;0,WEEKNUM(Gastos[[#This Row],[Fecha_Cheque]]),MID(Gastos[[#This Row],[Semana]],6,2))</f>
        <v>17</v>
      </c>
      <c r="O3089" t="s">
        <v>3146</v>
      </c>
      <c r="P3089" t="s">
        <v>27</v>
      </c>
    </row>
    <row r="3090" spans="1:16" hidden="1" x14ac:dyDescent="0.25">
      <c r="A3090" s="3" t="s">
        <v>2751</v>
      </c>
      <c r="B3090" t="s">
        <v>3051</v>
      </c>
      <c r="C3090" t="s">
        <v>3084</v>
      </c>
      <c r="D3090" t="s">
        <v>26</v>
      </c>
      <c r="E3090" t="s">
        <v>42</v>
      </c>
      <c r="F3090">
        <v>2</v>
      </c>
      <c r="G3090" s="3" t="s">
        <v>4</v>
      </c>
      <c r="H3090" s="51" t="s">
        <v>2</v>
      </c>
      <c r="I3090" s="17">
        <v>3000</v>
      </c>
      <c r="J3090" s="17">
        <f>IF(Gastos[[#This Row],[Divisa]]="$", I3090*1, IF(Gastos[[#This Row],[Divisa]]="U$D", I3090*$N$1, IF(Gastos[[#This Row],[Divisa]]="EUR", I3090*$N$2, 0)))</f>
        <v>4545000</v>
      </c>
      <c r="K3090" s="61">
        <f>Gastos[[#This Row],[Importe AR$]]/$N$1</f>
        <v>3000</v>
      </c>
      <c r="M3090" s="76"/>
      <c r="N3090" s="50" t="str">
        <f>IF(Gastos[[#This Row],[Fecha_Cheque]]&gt;0,WEEKNUM(Gastos[[#This Row],[Fecha_Cheque]]),MID(Gastos[[#This Row],[Semana]],6,2))</f>
        <v>18</v>
      </c>
      <c r="O3090" t="s">
        <v>3147</v>
      </c>
      <c r="P3090" t="s">
        <v>27</v>
      </c>
    </row>
    <row r="3091" spans="1:16" hidden="1" x14ac:dyDescent="0.25">
      <c r="A3091" s="3" t="s">
        <v>3718</v>
      </c>
      <c r="B3091" t="s">
        <v>2728</v>
      </c>
      <c r="C3091" t="s">
        <v>3578</v>
      </c>
      <c r="D3091" t="s">
        <v>26</v>
      </c>
      <c r="E3091" t="s">
        <v>31</v>
      </c>
      <c r="F3091">
        <v>2</v>
      </c>
      <c r="G3091" s="3" t="s">
        <v>4</v>
      </c>
      <c r="H3091" s="51" t="s">
        <v>15</v>
      </c>
      <c r="I3091" s="17">
        <v>273267</v>
      </c>
      <c r="J3091" s="17">
        <f>IF(Gastos[[#This Row],[Divisa]]="$", I3091*1, IF(Gastos[[#This Row],[Divisa]]="U$D", I3091*$N$1, IF(Gastos[[#This Row],[Divisa]]="EUR", I3091*$N$2, 0)))</f>
        <v>273267</v>
      </c>
      <c r="K3091" s="61">
        <f>Gastos[[#This Row],[Importe AR$]]/$N$1</f>
        <v>180.37425742574257</v>
      </c>
      <c r="M3091" s="76"/>
      <c r="N3091" s="50" t="str">
        <f>IF(Gastos[[#This Row],[Fecha_Cheque]]&gt;0,WEEKNUM(Gastos[[#This Row],[Fecha_Cheque]]),MID(Gastos[[#This Row],[Semana]],6,2))</f>
        <v>28</v>
      </c>
      <c r="O3091" t="s">
        <v>3734</v>
      </c>
      <c r="P3091" t="s">
        <v>27</v>
      </c>
    </row>
    <row r="3092" spans="1:16" hidden="1" x14ac:dyDescent="0.25">
      <c r="A3092" s="3" t="s">
        <v>3779</v>
      </c>
      <c r="B3092" t="s">
        <v>2728</v>
      </c>
      <c r="C3092" t="s">
        <v>3632</v>
      </c>
      <c r="D3092" t="s">
        <v>26</v>
      </c>
      <c r="E3092" t="s">
        <v>62</v>
      </c>
      <c r="F3092">
        <v>2</v>
      </c>
      <c r="G3092" s="3" t="s">
        <v>32</v>
      </c>
      <c r="H3092" s="51" t="s">
        <v>15</v>
      </c>
      <c r="I3092" s="17">
        <v>290000</v>
      </c>
      <c r="J3092" s="17">
        <f>IF(Gastos[[#This Row],[Divisa]]="$", I3092*1, IF(Gastos[[#This Row],[Divisa]]="U$D", I3092*$N$1, IF(Gastos[[#This Row],[Divisa]]="EUR", I3092*$N$2, 0)))</f>
        <v>290000</v>
      </c>
      <c r="K3092" s="61">
        <f>Gastos[[#This Row],[Importe AR$]]/$N$1</f>
        <v>191.41914191419141</v>
      </c>
      <c r="M3092" s="76">
        <v>46227</v>
      </c>
      <c r="N3092" s="50">
        <f>IF(Gastos[[#This Row],[Fecha_Cheque]]&gt;0,WEEKNUM(Gastos[[#This Row],[Fecha_Cheque]]),MID(Gastos[[#This Row],[Semana]],6,2))</f>
        <v>30</v>
      </c>
      <c r="O3092" t="s">
        <v>3798</v>
      </c>
      <c r="P3092" t="s">
        <v>27</v>
      </c>
    </row>
    <row r="3093" spans="1:16" hidden="1" x14ac:dyDescent="0.25">
      <c r="A3093" s="3" t="s">
        <v>3779</v>
      </c>
      <c r="B3093" t="s">
        <v>2728</v>
      </c>
      <c r="C3093" t="s">
        <v>3632</v>
      </c>
      <c r="D3093" t="s">
        <v>26</v>
      </c>
      <c r="E3093" t="s">
        <v>62</v>
      </c>
      <c r="F3093">
        <v>2</v>
      </c>
      <c r="G3093" s="3" t="s">
        <v>32</v>
      </c>
      <c r="H3093" s="51" t="s">
        <v>15</v>
      </c>
      <c r="I3093" s="17">
        <v>600000</v>
      </c>
      <c r="J3093" s="17">
        <f>IF(Gastos[[#This Row],[Divisa]]="$", I3093*1, IF(Gastos[[#This Row],[Divisa]]="U$D", I3093*$N$1, IF(Gastos[[#This Row],[Divisa]]="EUR", I3093*$N$2, 0)))</f>
        <v>600000</v>
      </c>
      <c r="K3093" s="61">
        <f>Gastos[[#This Row],[Importe AR$]]/$N$1</f>
        <v>396.03960396039605</v>
      </c>
      <c r="M3093" s="76">
        <v>46227</v>
      </c>
      <c r="N3093" s="50">
        <f>IF(Gastos[[#This Row],[Fecha_Cheque]]&gt;0,WEEKNUM(Gastos[[#This Row],[Fecha_Cheque]]),MID(Gastos[[#This Row],[Semana]],6,2))</f>
        <v>30</v>
      </c>
      <c r="O3093" t="s">
        <v>3798</v>
      </c>
      <c r="P3093" t="s">
        <v>27</v>
      </c>
    </row>
    <row r="3094" spans="1:16" hidden="1" x14ac:dyDescent="0.25">
      <c r="A3094" s="3" t="s">
        <v>3779</v>
      </c>
      <c r="B3094" t="s">
        <v>2728</v>
      </c>
      <c r="C3094" t="s">
        <v>3632</v>
      </c>
      <c r="D3094" t="s">
        <v>26</v>
      </c>
      <c r="E3094" t="s">
        <v>62</v>
      </c>
      <c r="F3094">
        <v>2</v>
      </c>
      <c r="G3094" s="3" t="s">
        <v>32</v>
      </c>
      <c r="H3094" s="51" t="s">
        <v>15</v>
      </c>
      <c r="I3094" s="17">
        <v>1200000</v>
      </c>
      <c r="J3094" s="17">
        <f>IF(Gastos[[#This Row],[Divisa]]="$", I3094*1, IF(Gastos[[#This Row],[Divisa]]="U$D", I3094*$N$1, IF(Gastos[[#This Row],[Divisa]]="EUR", I3094*$N$2, 0)))</f>
        <v>1200000</v>
      </c>
      <c r="K3094" s="61">
        <f>Gastos[[#This Row],[Importe AR$]]/$N$1</f>
        <v>792.0792079207921</v>
      </c>
      <c r="M3094" s="76">
        <v>46258</v>
      </c>
      <c r="N3094" s="50">
        <f>IF(Gastos[[#This Row],[Fecha_Cheque]]&gt;0,WEEKNUM(Gastos[[#This Row],[Fecha_Cheque]]),MID(Gastos[[#This Row],[Semana]],6,2))</f>
        <v>35</v>
      </c>
      <c r="O3094" t="s">
        <v>3798</v>
      </c>
      <c r="P3094" t="s">
        <v>27</v>
      </c>
    </row>
    <row r="3095" spans="1:16" hidden="1" x14ac:dyDescent="0.25">
      <c r="A3095" s="3" t="s">
        <v>3779</v>
      </c>
      <c r="B3095" t="s">
        <v>2728</v>
      </c>
      <c r="C3095" t="s">
        <v>3632</v>
      </c>
      <c r="D3095" t="s">
        <v>26</v>
      </c>
      <c r="E3095" t="s">
        <v>42</v>
      </c>
      <c r="F3095">
        <v>2</v>
      </c>
      <c r="G3095" s="3" t="s">
        <v>4</v>
      </c>
      <c r="H3095" s="51" t="s">
        <v>15</v>
      </c>
      <c r="I3095" s="17">
        <v>400000</v>
      </c>
      <c r="J3095" s="17">
        <f>IF(Gastos[[#This Row],[Divisa]]="$", I3095*1, IF(Gastos[[#This Row],[Divisa]]="U$D", I3095*$N$1, IF(Gastos[[#This Row],[Divisa]]="EUR", I3095*$N$2, 0)))</f>
        <v>400000</v>
      </c>
      <c r="K3095" s="61">
        <f>Gastos[[#This Row],[Importe AR$]]/$N$1</f>
        <v>264.02640264026405</v>
      </c>
      <c r="M3095" s="76"/>
      <c r="N3095" s="50" t="str">
        <f>IF(Gastos[[#This Row],[Fecha_Cheque]]&gt;0,WEEKNUM(Gastos[[#This Row],[Fecha_Cheque]]),MID(Gastos[[#This Row],[Semana]],6,2))</f>
        <v>29</v>
      </c>
      <c r="O3095" t="s">
        <v>3836</v>
      </c>
      <c r="P3095" t="s">
        <v>27</v>
      </c>
    </row>
    <row r="3096" spans="1:16" hidden="1" x14ac:dyDescent="0.25">
      <c r="A3096" s="3" t="s">
        <v>2773</v>
      </c>
      <c r="B3096" t="s">
        <v>3149</v>
      </c>
      <c r="C3096" t="s">
        <v>3150</v>
      </c>
      <c r="D3096" t="s">
        <v>26</v>
      </c>
      <c r="E3096" t="s">
        <v>42</v>
      </c>
      <c r="F3096">
        <v>1</v>
      </c>
      <c r="G3096" s="3" t="s">
        <v>32</v>
      </c>
      <c r="H3096" s="51" t="s">
        <v>15</v>
      </c>
      <c r="I3096" s="17">
        <v>1634754.05</v>
      </c>
      <c r="J3096" s="17">
        <f>IF(Gastos[[#This Row],[Divisa]]="$", I3096*1, IF(Gastos[[#This Row],[Divisa]]="U$D", I3096*$N$1, IF(Gastos[[#This Row],[Divisa]]="EUR", I3096*$N$2, 0)))</f>
        <v>1634754.05</v>
      </c>
      <c r="K3096" s="61">
        <f>Gastos[[#This Row],[Importe AR$]]/$N$1</f>
        <v>1079.0455775577559</v>
      </c>
      <c r="M3096" s="76">
        <v>46185</v>
      </c>
      <c r="N3096" s="50">
        <f>IF(Gastos[[#This Row],[Fecha_Cheque]]&gt;0,WEEKNUM(Gastos[[#This Row],[Fecha_Cheque]]),MID(Gastos[[#This Row],[Semana]],6,2))</f>
        <v>24</v>
      </c>
      <c r="O3096" t="s">
        <v>3151</v>
      </c>
      <c r="P3096" t="s">
        <v>27</v>
      </c>
    </row>
    <row r="3097" spans="1:16" hidden="1" x14ac:dyDescent="0.25">
      <c r="A3097" s="3" t="s">
        <v>2773</v>
      </c>
      <c r="B3097" t="s">
        <v>3149</v>
      </c>
      <c r="C3097" t="s">
        <v>3150</v>
      </c>
      <c r="D3097" t="s">
        <v>26</v>
      </c>
      <c r="E3097" t="s">
        <v>42</v>
      </c>
      <c r="F3097">
        <v>1</v>
      </c>
      <c r="G3097" s="3" t="s">
        <v>32</v>
      </c>
      <c r="H3097" s="51" t="s">
        <v>15</v>
      </c>
      <c r="I3097" s="17">
        <v>1634754.05</v>
      </c>
      <c r="J3097" s="17">
        <f>IF(Gastos[[#This Row],[Divisa]]="$", I3097*1, IF(Gastos[[#This Row],[Divisa]]="U$D", I3097*$N$1, IF(Gastos[[#This Row],[Divisa]]="EUR", I3097*$N$2, 0)))</f>
        <v>1634754.05</v>
      </c>
      <c r="K3097" s="61">
        <f>Gastos[[#This Row],[Importe AR$]]/$N$1</f>
        <v>1079.0455775577559</v>
      </c>
      <c r="M3097" s="76">
        <v>46215</v>
      </c>
      <c r="N3097" s="50">
        <f>IF(Gastos[[#This Row],[Fecha_Cheque]]&gt;0,WEEKNUM(Gastos[[#This Row],[Fecha_Cheque]]),MID(Gastos[[#This Row],[Semana]],6,2))</f>
        <v>29</v>
      </c>
      <c r="O3097" t="s">
        <v>3151</v>
      </c>
      <c r="P3097" t="s">
        <v>27</v>
      </c>
    </row>
    <row r="3098" spans="1:16" hidden="1" x14ac:dyDescent="0.25">
      <c r="A3098" s="3" t="s">
        <v>2804</v>
      </c>
      <c r="B3098" t="s">
        <v>2966</v>
      </c>
      <c r="C3098" t="s">
        <v>1736</v>
      </c>
      <c r="D3098" t="s">
        <v>26</v>
      </c>
      <c r="E3098" t="s">
        <v>31</v>
      </c>
      <c r="F3098">
        <v>1</v>
      </c>
      <c r="G3098" s="3" t="s">
        <v>32</v>
      </c>
      <c r="H3098" s="51" t="s">
        <v>15</v>
      </c>
      <c r="I3098" s="17">
        <v>1132740</v>
      </c>
      <c r="J3098" s="17">
        <f>IF(Gastos[[#This Row],[Divisa]]="$", I3098*1, IF(Gastos[[#This Row],[Divisa]]="U$D", I3098*$N$1, IF(Gastos[[#This Row],[Divisa]]="EUR", I3098*$N$2, 0)))</f>
        <v>1132740</v>
      </c>
      <c r="K3098" s="61">
        <f>Gastos[[#This Row],[Importe AR$]]/$N$1</f>
        <v>747.68316831683171</v>
      </c>
      <c r="M3098" s="76">
        <v>46178</v>
      </c>
      <c r="N3098" s="50">
        <f>IF(Gastos[[#This Row],[Fecha_Cheque]]&gt;0,WEEKNUM(Gastos[[#This Row],[Fecha_Cheque]]),MID(Gastos[[#This Row],[Semana]],6,2))</f>
        <v>23</v>
      </c>
      <c r="O3098" t="s">
        <v>3152</v>
      </c>
      <c r="P3098" t="s">
        <v>27</v>
      </c>
    </row>
    <row r="3099" spans="1:16" hidden="1" x14ac:dyDescent="0.25">
      <c r="A3099" s="3" t="s">
        <v>2804</v>
      </c>
      <c r="B3099" t="s">
        <v>2966</v>
      </c>
      <c r="C3099" t="s">
        <v>1736</v>
      </c>
      <c r="D3099" t="s">
        <v>26</v>
      </c>
      <c r="E3099" t="s">
        <v>31</v>
      </c>
      <c r="F3099">
        <v>1</v>
      </c>
      <c r="G3099" s="3" t="s">
        <v>32</v>
      </c>
      <c r="H3099" s="51" t="s">
        <v>15</v>
      </c>
      <c r="I3099" s="17">
        <v>1132740</v>
      </c>
      <c r="J3099" s="17">
        <f>IF(Gastos[[#This Row],[Divisa]]="$", I3099*1, IF(Gastos[[#This Row],[Divisa]]="U$D", I3099*$N$1, IF(Gastos[[#This Row],[Divisa]]="EUR", I3099*$N$2, 0)))</f>
        <v>1132740</v>
      </c>
      <c r="K3099" s="61">
        <f>Gastos[[#This Row],[Importe AR$]]/$N$1</f>
        <v>747.68316831683171</v>
      </c>
      <c r="M3099" s="76">
        <v>46188</v>
      </c>
      <c r="N3099" s="50">
        <f>IF(Gastos[[#This Row],[Fecha_Cheque]]&gt;0,WEEKNUM(Gastos[[#This Row],[Fecha_Cheque]]),MID(Gastos[[#This Row],[Semana]],6,2))</f>
        <v>25</v>
      </c>
      <c r="O3099" t="s">
        <v>3152</v>
      </c>
      <c r="P3099" t="s">
        <v>27</v>
      </c>
    </row>
    <row r="3100" spans="1:16" hidden="1" x14ac:dyDescent="0.25">
      <c r="A3100" s="3" t="s">
        <v>2804</v>
      </c>
      <c r="B3100" t="s">
        <v>2966</v>
      </c>
      <c r="C3100" t="s">
        <v>1736</v>
      </c>
      <c r="D3100" t="s">
        <v>26</v>
      </c>
      <c r="E3100" t="s">
        <v>31</v>
      </c>
      <c r="F3100">
        <v>1</v>
      </c>
      <c r="G3100" s="3" t="s">
        <v>32</v>
      </c>
      <c r="H3100" s="51" t="s">
        <v>15</v>
      </c>
      <c r="I3100" s="17">
        <v>33520</v>
      </c>
      <c r="J3100" s="17">
        <f>IF(Gastos[[#This Row],[Divisa]]="$", I3100*1, IF(Gastos[[#This Row],[Divisa]]="U$D", I3100*$N$1, IF(Gastos[[#This Row],[Divisa]]="EUR", I3100*$N$2, 0)))</f>
        <v>33520</v>
      </c>
      <c r="K3100" s="61">
        <f>Gastos[[#This Row],[Importe AR$]]/$N$1</f>
        <v>22.125412541254125</v>
      </c>
      <c r="L3100" t="s">
        <v>340</v>
      </c>
      <c r="M3100" s="76"/>
      <c r="N3100" s="50" t="str">
        <f>IF(Gastos[[#This Row],[Fecha_Cheque]]&gt;0,WEEKNUM(Gastos[[#This Row],[Fecha_Cheque]]),MID(Gastos[[#This Row],[Semana]],6,2))</f>
        <v>19</v>
      </c>
      <c r="O3100" t="s">
        <v>3152</v>
      </c>
      <c r="P3100" t="s">
        <v>27</v>
      </c>
    </row>
    <row r="3101" spans="1:16" hidden="1" x14ac:dyDescent="0.25">
      <c r="A3101" s="3" t="s">
        <v>2773</v>
      </c>
      <c r="B3101" t="s">
        <v>3149</v>
      </c>
      <c r="C3101" t="s">
        <v>3150</v>
      </c>
      <c r="D3101" t="s">
        <v>26</v>
      </c>
      <c r="E3101" t="s">
        <v>42</v>
      </c>
      <c r="F3101">
        <v>1</v>
      </c>
      <c r="G3101" s="3" t="s">
        <v>32</v>
      </c>
      <c r="H3101" s="51" t="s">
        <v>15</v>
      </c>
      <c r="I3101" s="17">
        <v>1634754.05</v>
      </c>
      <c r="J3101" s="17">
        <f>IF(Gastos[[#This Row],[Divisa]]="$", I3101*1, IF(Gastos[[#This Row],[Divisa]]="U$D", I3101*$N$1, IF(Gastos[[#This Row],[Divisa]]="EUR", I3101*$N$2, 0)))</f>
        <v>1634754.05</v>
      </c>
      <c r="K3101" s="61">
        <f>Gastos[[#This Row],[Importe AR$]]/$N$1</f>
        <v>1079.0455775577559</v>
      </c>
      <c r="M3101" s="76">
        <v>46246</v>
      </c>
      <c r="N3101" s="50">
        <f>IF(Gastos[[#This Row],[Fecha_Cheque]]&gt;0,WEEKNUM(Gastos[[#This Row],[Fecha_Cheque]]),MID(Gastos[[#This Row],[Semana]],6,2))</f>
        <v>33</v>
      </c>
      <c r="O3101" t="s">
        <v>3151</v>
      </c>
      <c r="P3101" t="s">
        <v>27</v>
      </c>
    </row>
    <row r="3102" spans="1:16" hidden="1" x14ac:dyDescent="0.25">
      <c r="A3102" s="3" t="s">
        <v>2751</v>
      </c>
      <c r="B3102" t="s">
        <v>2255</v>
      </c>
      <c r="C3102" t="s">
        <v>2692</v>
      </c>
      <c r="D3102" t="s">
        <v>26</v>
      </c>
      <c r="E3102" t="s">
        <v>62</v>
      </c>
      <c r="F3102">
        <v>1</v>
      </c>
      <c r="G3102" s="3" t="s">
        <v>32</v>
      </c>
      <c r="H3102" s="51" t="s">
        <v>15</v>
      </c>
      <c r="I3102" s="17">
        <v>151150</v>
      </c>
      <c r="J3102" s="17">
        <f>IF(Gastos[[#This Row],[Divisa]]="$", I3102*1, IF(Gastos[[#This Row],[Divisa]]="U$D", I3102*$N$1, IF(Gastos[[#This Row],[Divisa]]="EUR", I3102*$N$2, 0)))</f>
        <v>151150</v>
      </c>
      <c r="K3102" s="61">
        <f>Gastos[[#This Row],[Importe AR$]]/$N$1</f>
        <v>99.768976897689768</v>
      </c>
      <c r="M3102" s="76">
        <v>46126</v>
      </c>
      <c r="N3102" s="50">
        <f>IF(Gastos[[#This Row],[Fecha_Cheque]]&gt;0,WEEKNUM(Gastos[[#This Row],[Fecha_Cheque]]),MID(Gastos[[#This Row],[Semana]],6,2))</f>
        <v>16</v>
      </c>
      <c r="O3102" t="s">
        <v>3144</v>
      </c>
      <c r="P3102" t="s">
        <v>27</v>
      </c>
    </row>
    <row r="3103" spans="1:16" hidden="1" x14ac:dyDescent="0.25">
      <c r="A3103" s="3" t="s">
        <v>2751</v>
      </c>
      <c r="B3103" t="s">
        <v>2255</v>
      </c>
      <c r="C3103" t="s">
        <v>2692</v>
      </c>
      <c r="D3103" t="s">
        <v>26</v>
      </c>
      <c r="E3103" t="s">
        <v>62</v>
      </c>
      <c r="F3103">
        <v>1</v>
      </c>
      <c r="G3103" s="3" t="s">
        <v>32</v>
      </c>
      <c r="H3103" s="51" t="s">
        <v>15</v>
      </c>
      <c r="I3103" s="17">
        <v>750000</v>
      </c>
      <c r="J3103" s="17">
        <f>IF(Gastos[[#This Row],[Divisa]]="$", I3103*1, IF(Gastos[[#This Row],[Divisa]]="U$D", I3103*$N$1, IF(Gastos[[#This Row],[Divisa]]="EUR", I3103*$N$2, 0)))</f>
        <v>750000</v>
      </c>
      <c r="K3103" s="61">
        <f>Gastos[[#This Row],[Importe AR$]]/$N$1</f>
        <v>495.04950495049508</v>
      </c>
      <c r="M3103" s="76">
        <v>46119</v>
      </c>
      <c r="N3103" s="50">
        <f>IF(Gastos[[#This Row],[Fecha_Cheque]]&gt;0,WEEKNUM(Gastos[[#This Row],[Fecha_Cheque]]),MID(Gastos[[#This Row],[Semana]],6,2))</f>
        <v>15</v>
      </c>
      <c r="O3103" t="s">
        <v>3144</v>
      </c>
      <c r="P3103" t="s">
        <v>27</v>
      </c>
    </row>
    <row r="3104" spans="1:16" hidden="1" x14ac:dyDescent="0.25">
      <c r="A3104" s="3" t="s">
        <v>2751</v>
      </c>
      <c r="B3104" t="s">
        <v>2255</v>
      </c>
      <c r="C3104" t="s">
        <v>2692</v>
      </c>
      <c r="D3104" t="s">
        <v>26</v>
      </c>
      <c r="E3104" t="s">
        <v>62</v>
      </c>
      <c r="F3104">
        <v>1</v>
      </c>
      <c r="G3104" s="3" t="s">
        <v>32</v>
      </c>
      <c r="H3104" s="51" t="s">
        <v>15</v>
      </c>
      <c r="I3104" s="17">
        <v>10415.040000000001</v>
      </c>
      <c r="J3104" s="17">
        <f>IF(Gastos[[#This Row],[Divisa]]="$", I3104*1, IF(Gastos[[#This Row],[Divisa]]="U$D", I3104*$N$1, IF(Gastos[[#This Row],[Divisa]]="EUR", I3104*$N$2, 0)))</f>
        <v>10415.040000000001</v>
      </c>
      <c r="K3104" s="61">
        <f>Gastos[[#This Row],[Importe AR$]]/$N$1</f>
        <v>6.8746138613861394</v>
      </c>
      <c r="L3104" t="s">
        <v>340</v>
      </c>
      <c r="M3104" s="76"/>
      <c r="N3104" s="50" t="str">
        <f>IF(Gastos[[#This Row],[Fecha_Cheque]]&gt;0,WEEKNUM(Gastos[[#This Row],[Fecha_Cheque]]),MID(Gastos[[#This Row],[Semana]],6,2))</f>
        <v>18</v>
      </c>
      <c r="O3104" t="s">
        <v>3144</v>
      </c>
      <c r="P3104" t="s">
        <v>27</v>
      </c>
    </row>
    <row r="3105" spans="1:16" hidden="1" x14ac:dyDescent="0.25">
      <c r="A3105" s="3" t="s">
        <v>2804</v>
      </c>
      <c r="B3105" t="s">
        <v>1742</v>
      </c>
      <c r="C3105" t="s">
        <v>1748</v>
      </c>
      <c r="D3105" t="s">
        <v>26</v>
      </c>
      <c r="E3105" t="s">
        <v>42</v>
      </c>
      <c r="F3105">
        <v>1</v>
      </c>
      <c r="G3105" s="3" t="s">
        <v>4</v>
      </c>
      <c r="H3105" s="53" t="s">
        <v>15</v>
      </c>
      <c r="I3105" s="17">
        <v>150089</v>
      </c>
      <c r="J3105" s="17">
        <f>IF(Gastos[[#This Row],[Divisa]]="$", I3105*1, IF(Gastos[[#This Row],[Divisa]]="U$D", I3105*$N$1, IF(Gastos[[#This Row],[Divisa]]="EUR", I3105*$N$2, 0)))</f>
        <v>150089</v>
      </c>
      <c r="K3105" s="61">
        <f>Gastos[[#This Row],[Importe AR$]]/$N$1</f>
        <v>99.068646864686471</v>
      </c>
      <c r="M3105" s="76"/>
      <c r="N3105" s="50" t="str">
        <f>IF(Gastos[[#This Row],[Fecha_Cheque]]&gt;0,WEEKNUM(Gastos[[#This Row],[Fecha_Cheque]]),MID(Gastos[[#This Row],[Semana]],6,2))</f>
        <v>19</v>
      </c>
      <c r="O3105" t="s">
        <v>3153</v>
      </c>
      <c r="P3105" t="s">
        <v>27</v>
      </c>
    </row>
    <row r="3106" spans="1:16" hidden="1" x14ac:dyDescent="0.25">
      <c r="A3106" s="3" t="s">
        <v>2773</v>
      </c>
      <c r="B3106" t="s">
        <v>3149</v>
      </c>
      <c r="C3106" t="s">
        <v>3150</v>
      </c>
      <c r="D3106" t="s">
        <v>26</v>
      </c>
      <c r="E3106" t="s">
        <v>42</v>
      </c>
      <c r="F3106">
        <v>1</v>
      </c>
      <c r="G3106" s="3" t="s">
        <v>32</v>
      </c>
      <c r="H3106" s="51" t="s">
        <v>15</v>
      </c>
      <c r="I3106" s="17">
        <v>77869.279999999999</v>
      </c>
      <c r="J3106" s="17">
        <f>IF(Gastos[[#This Row],[Divisa]]="$", I3106*1, IF(Gastos[[#This Row],[Divisa]]="U$D", I3106*$N$1, IF(Gastos[[#This Row],[Divisa]]="EUR", I3106*$N$2, 0)))</f>
        <v>77869.279999999999</v>
      </c>
      <c r="K3106" s="61">
        <f>Gastos[[#This Row],[Importe AR$]]/$N$1</f>
        <v>51.398864686468649</v>
      </c>
      <c r="L3106" t="s">
        <v>340</v>
      </c>
      <c r="M3106" s="76"/>
      <c r="N3106" s="50" t="str">
        <f>IF(Gastos[[#This Row],[Fecha_Cheque]]&gt;0,WEEKNUM(Gastos[[#This Row],[Fecha_Cheque]]),MID(Gastos[[#This Row],[Semana]],6,2))</f>
        <v>20</v>
      </c>
      <c r="O3106" t="s">
        <v>3151</v>
      </c>
      <c r="P3106" t="s">
        <v>27</v>
      </c>
    </row>
    <row r="3107" spans="1:16" hidden="1" x14ac:dyDescent="0.25">
      <c r="A3107" s="3" t="s">
        <v>2763</v>
      </c>
      <c r="B3107" t="s">
        <v>568</v>
      </c>
      <c r="C3107" t="s">
        <v>569</v>
      </c>
      <c r="D3107" t="s">
        <v>26</v>
      </c>
      <c r="E3107" t="s">
        <v>62</v>
      </c>
      <c r="F3107">
        <v>1</v>
      </c>
      <c r="G3107" s="3" t="s">
        <v>32</v>
      </c>
      <c r="H3107" s="53" t="s">
        <v>15</v>
      </c>
      <c r="I3107" s="17">
        <v>3254640.08</v>
      </c>
      <c r="J3107" s="17">
        <f>IF(Gastos[[#This Row],[Divisa]]="$", I3107*1, IF(Gastos[[#This Row],[Divisa]]="U$D", I3107*$N$1, IF(Gastos[[#This Row],[Divisa]]="EUR", I3107*$N$2, 0)))</f>
        <v>3254640.08</v>
      </c>
      <c r="K3107" s="61">
        <f>Gastos[[#This Row],[Importe AR$]]/$N$1</f>
        <v>2148.2772805280529</v>
      </c>
      <c r="M3107" s="76"/>
      <c r="N3107" s="50" t="str">
        <f>IF(Gastos[[#This Row],[Fecha_Cheque]]&gt;0,WEEKNUM(Gastos[[#This Row],[Fecha_Cheque]]),MID(Gastos[[#This Row],[Semana]],6,2))</f>
        <v>23</v>
      </c>
      <c r="O3107" t="s">
        <v>3154</v>
      </c>
      <c r="P3107" t="s">
        <v>27</v>
      </c>
    </row>
    <row r="3108" spans="1:16" hidden="1" x14ac:dyDescent="0.25">
      <c r="A3108" s="3" t="s">
        <v>2763</v>
      </c>
      <c r="B3108" t="s">
        <v>568</v>
      </c>
      <c r="C3108" t="s">
        <v>569</v>
      </c>
      <c r="D3108" t="s">
        <v>26</v>
      </c>
      <c r="E3108" t="s">
        <v>62</v>
      </c>
      <c r="F3108">
        <v>1</v>
      </c>
      <c r="G3108" s="3" t="s">
        <v>32</v>
      </c>
      <c r="H3108" s="53" t="s">
        <v>15</v>
      </c>
      <c r="I3108" s="17">
        <v>56306.64</v>
      </c>
      <c r="J3108" s="17">
        <f>IF(Gastos[[#This Row],[Divisa]]="$", I3108*1, IF(Gastos[[#This Row],[Divisa]]="U$D", I3108*$N$1, IF(Gastos[[#This Row],[Divisa]]="EUR", I3108*$N$2, 0)))</f>
        <v>56306.64</v>
      </c>
      <c r="K3108" s="61">
        <f>Gastos[[#This Row],[Importe AR$]]/$N$1</f>
        <v>37.166099009900989</v>
      </c>
      <c r="L3108" t="s">
        <v>340</v>
      </c>
      <c r="M3108" s="76"/>
      <c r="N3108" s="50" t="str">
        <f>IF(Gastos[[#This Row],[Fecha_Cheque]]&gt;0,WEEKNUM(Gastos[[#This Row],[Fecha_Cheque]]),MID(Gastos[[#This Row],[Semana]],6,2))</f>
        <v>23</v>
      </c>
      <c r="O3108" t="s">
        <v>3154</v>
      </c>
      <c r="P3108" t="s">
        <v>27</v>
      </c>
    </row>
    <row r="3109" spans="1:16" hidden="1" x14ac:dyDescent="0.25">
      <c r="A3109" s="3" t="s">
        <v>3641</v>
      </c>
      <c r="B3109" t="s">
        <v>238</v>
      </c>
      <c r="C3109" t="s">
        <v>3669</v>
      </c>
      <c r="D3109" t="s">
        <v>26</v>
      </c>
      <c r="E3109" t="s">
        <v>31</v>
      </c>
      <c r="F3109">
        <v>1</v>
      </c>
      <c r="G3109" s="3" t="s">
        <v>5</v>
      </c>
      <c r="H3109" s="51" t="s">
        <v>15</v>
      </c>
      <c r="I3109" s="17">
        <v>2002346.27</v>
      </c>
      <c r="J3109" s="17">
        <f>IF(Gastos[[#This Row],[Divisa]]="$", I3109*1, IF(Gastos[[#This Row],[Divisa]]="U$D", I3109*$N$1, IF(Gastos[[#This Row],[Divisa]]="EUR", I3109*$N$2, 0)))</f>
        <v>2002346.27</v>
      </c>
      <c r="K3109" s="61">
        <f>Gastos[[#This Row],[Importe AR$]]/$N$1</f>
        <v>1321.6807062706271</v>
      </c>
      <c r="M3109" s="76"/>
      <c r="N3109" s="50" t="str">
        <f>IF(Gastos[[#This Row],[Fecha_Cheque]]&gt;0,WEEKNUM(Gastos[[#This Row],[Fecha_Cheque]]),MID(Gastos[[#This Row],[Semana]],6,2))</f>
        <v>27</v>
      </c>
      <c r="O3109" t="s">
        <v>3674</v>
      </c>
      <c r="P3109" t="s">
        <v>27</v>
      </c>
    </row>
    <row r="3110" spans="1:16" hidden="1" x14ac:dyDescent="0.25">
      <c r="A3110" s="3" t="s">
        <v>3641</v>
      </c>
      <c r="B3110" t="s">
        <v>248</v>
      </c>
      <c r="C3110" t="s">
        <v>3669</v>
      </c>
      <c r="D3110" t="s">
        <v>26</v>
      </c>
      <c r="E3110" t="s">
        <v>31</v>
      </c>
      <c r="F3110">
        <v>1</v>
      </c>
      <c r="G3110" s="3" t="s">
        <v>5</v>
      </c>
      <c r="H3110" s="51" t="s">
        <v>15</v>
      </c>
      <c r="I3110" s="17">
        <v>529954</v>
      </c>
      <c r="J3110" s="17">
        <f>IF(Gastos[[#This Row],[Divisa]]="$", I3110*1, IF(Gastos[[#This Row],[Divisa]]="U$D", I3110*$N$1, IF(Gastos[[#This Row],[Divisa]]="EUR", I3110*$N$2, 0)))</f>
        <v>529954</v>
      </c>
      <c r="K3110" s="61">
        <f>Gastos[[#This Row],[Importe AR$]]/$N$1</f>
        <v>349.80462046204622</v>
      </c>
      <c r="M3110" s="76"/>
      <c r="N3110" s="50" t="str">
        <f>IF(Gastos[[#This Row],[Fecha_Cheque]]&gt;0,WEEKNUM(Gastos[[#This Row],[Fecha_Cheque]]),MID(Gastos[[#This Row],[Semana]],6,2))</f>
        <v>27</v>
      </c>
      <c r="O3110" t="s">
        <v>3671</v>
      </c>
      <c r="P3110" t="s">
        <v>27</v>
      </c>
    </row>
    <row r="3111" spans="1:16" hidden="1" x14ac:dyDescent="0.25">
      <c r="A3111" s="3" t="s">
        <v>3440</v>
      </c>
      <c r="B3111" t="s">
        <v>434</v>
      </c>
      <c r="D3111" t="s">
        <v>26</v>
      </c>
      <c r="E3111" t="s">
        <v>91</v>
      </c>
      <c r="F3111">
        <v>1</v>
      </c>
      <c r="G3111" s="3" t="s">
        <v>32</v>
      </c>
      <c r="H3111" s="51" t="s">
        <v>15</v>
      </c>
      <c r="I3111" s="17">
        <v>617320</v>
      </c>
      <c r="J3111" s="17">
        <f>IF(Gastos[[#This Row],[Divisa]]="$", I3111*1, IF(Gastos[[#This Row],[Divisa]]="U$D", I3111*$N$1, IF(Gastos[[#This Row],[Divisa]]="EUR", I3111*$N$2, 0)))</f>
        <v>617320</v>
      </c>
      <c r="K3111" s="61">
        <f>Gastos[[#This Row],[Importe AR$]]/$N$1</f>
        <v>407.47194719471946</v>
      </c>
      <c r="M3111" s="76">
        <v>46203</v>
      </c>
      <c r="N3111" s="50">
        <f>IF(Gastos[[#This Row],[Fecha_Cheque]]&gt;0,WEEKNUM(Gastos[[#This Row],[Fecha_Cheque]]),MID(Gastos[[#This Row],[Semana]],6,2))</f>
        <v>27</v>
      </c>
      <c r="O3111" t="s">
        <v>3554</v>
      </c>
      <c r="P3111" t="s">
        <v>27</v>
      </c>
    </row>
    <row r="3112" spans="1:16" hidden="1" x14ac:dyDescent="0.25">
      <c r="A3112" s="3" t="s">
        <v>3718</v>
      </c>
      <c r="B3112" t="s">
        <v>3767</v>
      </c>
      <c r="C3112" t="s">
        <v>3768</v>
      </c>
      <c r="D3112" t="s">
        <v>26</v>
      </c>
      <c r="E3112" t="s">
        <v>31</v>
      </c>
      <c r="F3112">
        <v>1</v>
      </c>
      <c r="G3112" s="3" t="s">
        <v>5</v>
      </c>
      <c r="H3112" s="51" t="s">
        <v>15</v>
      </c>
      <c r="I3112" s="17">
        <v>777980</v>
      </c>
      <c r="J3112" s="17">
        <f>IF(Gastos[[#This Row],[Divisa]]="$", I3112*1, IF(Gastos[[#This Row],[Divisa]]="U$D", I3112*$N$1, IF(Gastos[[#This Row],[Divisa]]="EUR", I3112*$N$2, 0)))</f>
        <v>777980</v>
      </c>
      <c r="K3112" s="61">
        <f>Gastos[[#This Row],[Importe AR$]]/$N$1</f>
        <v>513.51815181518157</v>
      </c>
      <c r="M3112" s="76"/>
      <c r="N3112" s="50" t="str">
        <f>IF(Gastos[[#This Row],[Fecha_Cheque]]&gt;0,WEEKNUM(Gastos[[#This Row],[Fecha_Cheque]]),MID(Gastos[[#This Row],[Semana]],6,2))</f>
        <v>28</v>
      </c>
      <c r="O3112" t="s">
        <v>3769</v>
      </c>
      <c r="P3112" t="s">
        <v>27</v>
      </c>
    </row>
    <row r="3113" spans="1:16" hidden="1" x14ac:dyDescent="0.25">
      <c r="A3113" s="3" t="s">
        <v>3641</v>
      </c>
      <c r="B3113" t="s">
        <v>266</v>
      </c>
      <c r="C3113" t="s">
        <v>3609</v>
      </c>
      <c r="D3113" t="s">
        <v>26</v>
      </c>
      <c r="E3113" t="s">
        <v>31</v>
      </c>
      <c r="F3113">
        <v>1</v>
      </c>
      <c r="G3113" s="3" t="s">
        <v>32</v>
      </c>
      <c r="H3113" s="51" t="s">
        <v>15</v>
      </c>
      <c r="I3113" s="17">
        <v>877699.16</v>
      </c>
      <c r="J3113" s="17">
        <f>IF(Gastos[[#This Row],[Divisa]]="$", I3113*1, IF(Gastos[[#This Row],[Divisa]]="U$D", I3113*$N$1, IF(Gastos[[#This Row],[Divisa]]="EUR", I3113*$N$2, 0)))</f>
        <v>877699.16</v>
      </c>
      <c r="K3113" s="61">
        <f>Gastos[[#This Row],[Importe AR$]]/$N$1</f>
        <v>579.33937953795385</v>
      </c>
      <c r="M3113" s="76">
        <v>46236</v>
      </c>
      <c r="N3113" s="50">
        <f>IF(Gastos[[#This Row],[Fecha_Cheque]]&gt;0,WEEKNUM(Gastos[[#This Row],[Fecha_Cheque]]),MID(Gastos[[#This Row],[Semana]],6,2))</f>
        <v>32</v>
      </c>
      <c r="O3113" t="s">
        <v>3698</v>
      </c>
      <c r="P3113" t="s">
        <v>27</v>
      </c>
    </row>
    <row r="3114" spans="1:16" hidden="1" x14ac:dyDescent="0.25">
      <c r="A3114" s="3" t="s">
        <v>2751</v>
      </c>
      <c r="B3114" t="s">
        <v>2335</v>
      </c>
      <c r="C3114" t="s">
        <v>3157</v>
      </c>
      <c r="D3114" t="s">
        <v>26</v>
      </c>
      <c r="E3114" t="s">
        <v>91</v>
      </c>
      <c r="F3114">
        <v>1</v>
      </c>
      <c r="G3114" s="3" t="s">
        <v>5</v>
      </c>
      <c r="H3114" s="51" t="s">
        <v>15</v>
      </c>
      <c r="I3114" s="17">
        <v>140000.01</v>
      </c>
      <c r="J3114" s="17">
        <f>IF(Gastos[[#This Row],[Divisa]]="$", I3114*1, IF(Gastos[[#This Row],[Divisa]]="U$D", I3114*$N$1, IF(Gastos[[#This Row],[Divisa]]="EUR", I3114*$N$2, 0)))</f>
        <v>140000.01</v>
      </c>
      <c r="K3114" s="61">
        <f>Gastos[[#This Row],[Importe AR$]]/$N$1</f>
        <v>92.409247524752487</v>
      </c>
      <c r="M3114" s="76"/>
      <c r="N3114" s="50" t="str">
        <f>IF(Gastos[[#This Row],[Fecha_Cheque]]&gt;0,WEEKNUM(Gastos[[#This Row],[Fecha_Cheque]]),MID(Gastos[[#This Row],[Semana]],6,2))</f>
        <v>18</v>
      </c>
      <c r="O3114" t="s">
        <v>3158</v>
      </c>
      <c r="P3114" t="s">
        <v>27</v>
      </c>
    </row>
    <row r="3115" spans="1:16" hidden="1" x14ac:dyDescent="0.25">
      <c r="A3115" s="3" t="s">
        <v>2841</v>
      </c>
      <c r="B3115" t="s">
        <v>1110</v>
      </c>
      <c r="C3115" t="s">
        <v>3159</v>
      </c>
      <c r="D3115" t="s">
        <v>26</v>
      </c>
      <c r="E3115" t="s">
        <v>31</v>
      </c>
      <c r="F3115">
        <v>1</v>
      </c>
      <c r="G3115" s="3" t="s">
        <v>32</v>
      </c>
      <c r="H3115" s="51" t="s">
        <v>15</v>
      </c>
      <c r="I3115" s="17">
        <v>1764906.74</v>
      </c>
      <c r="J3115" s="17">
        <f>IF(Gastos[[#This Row],[Divisa]]="$", I3115*1, IF(Gastos[[#This Row],[Divisa]]="U$D", I3115*$N$1, IF(Gastos[[#This Row],[Divisa]]="EUR", I3115*$N$2, 0)))</f>
        <v>1764906.74</v>
      </c>
      <c r="K3115" s="61">
        <f>Gastos[[#This Row],[Importe AR$]]/$N$1</f>
        <v>1164.9549438943895</v>
      </c>
      <c r="M3115" s="76">
        <v>46199</v>
      </c>
      <c r="N3115" s="50">
        <f>IF(Gastos[[#This Row],[Fecha_Cheque]]&gt;0,WEEKNUM(Gastos[[#This Row],[Fecha_Cheque]]),MID(Gastos[[#This Row],[Semana]],6,2))</f>
        <v>26</v>
      </c>
      <c r="O3115" t="s">
        <v>3160</v>
      </c>
      <c r="P3115" t="s">
        <v>27</v>
      </c>
    </row>
    <row r="3116" spans="1:16" hidden="1" x14ac:dyDescent="0.25">
      <c r="A3116" s="3" t="s">
        <v>2841</v>
      </c>
      <c r="B3116" t="s">
        <v>1110</v>
      </c>
      <c r="C3116" t="s">
        <v>3159</v>
      </c>
      <c r="D3116" t="s">
        <v>26</v>
      </c>
      <c r="E3116" t="s">
        <v>31</v>
      </c>
      <c r="F3116">
        <v>1</v>
      </c>
      <c r="G3116" s="3" t="s">
        <v>32</v>
      </c>
      <c r="H3116" s="51" t="s">
        <v>15</v>
      </c>
      <c r="I3116" s="17">
        <v>28296.32</v>
      </c>
      <c r="J3116" s="17">
        <f>IF(Gastos[[#This Row],[Divisa]]="$", I3116*1, IF(Gastos[[#This Row],[Divisa]]="U$D", I3116*$N$1, IF(Gastos[[#This Row],[Divisa]]="EUR", I3116*$N$2, 0)))</f>
        <v>28296.32</v>
      </c>
      <c r="K3116" s="61">
        <f>Gastos[[#This Row],[Importe AR$]]/$N$1</f>
        <v>18.677438943894391</v>
      </c>
      <c r="L3116" t="s">
        <v>340</v>
      </c>
      <c r="M3116" s="76"/>
      <c r="N3116" s="50" t="str">
        <f>IF(Gastos[[#This Row],[Fecha_Cheque]]&gt;0,WEEKNUM(Gastos[[#This Row],[Fecha_Cheque]]),MID(Gastos[[#This Row],[Semana]],6,2))</f>
        <v>22</v>
      </c>
      <c r="O3116" t="s">
        <v>3160</v>
      </c>
      <c r="P3116" t="s">
        <v>27</v>
      </c>
    </row>
    <row r="3117" spans="1:16" hidden="1" x14ac:dyDescent="0.25">
      <c r="A3117" s="3" t="s">
        <v>2763</v>
      </c>
      <c r="B3117" t="s">
        <v>623</v>
      </c>
      <c r="C3117" t="s">
        <v>422</v>
      </c>
      <c r="D3117" t="s">
        <v>26</v>
      </c>
      <c r="E3117" t="s">
        <v>91</v>
      </c>
      <c r="F3117">
        <v>1</v>
      </c>
      <c r="G3117" s="3" t="s">
        <v>5</v>
      </c>
      <c r="H3117" s="51" t="s">
        <v>15</v>
      </c>
      <c r="I3117" s="17">
        <v>620000</v>
      </c>
      <c r="J3117" s="17">
        <f>IF(Gastos[[#This Row],[Divisa]]="$", I3117*1, IF(Gastos[[#This Row],[Divisa]]="U$D", I3117*$N$1, IF(Gastos[[#This Row],[Divisa]]="EUR", I3117*$N$2, 0)))</f>
        <v>620000</v>
      </c>
      <c r="K3117" s="61">
        <f>Gastos[[#This Row],[Importe AR$]]/$N$1</f>
        <v>409.24092409240922</v>
      </c>
      <c r="M3117" s="76"/>
      <c r="N3117" s="50" t="str">
        <f>IF(Gastos[[#This Row],[Fecha_Cheque]]&gt;0,WEEKNUM(Gastos[[#This Row],[Fecha_Cheque]]),MID(Gastos[[#This Row],[Semana]],6,2))</f>
        <v>23</v>
      </c>
      <c r="O3117" t="s">
        <v>3161</v>
      </c>
      <c r="P3117" t="s">
        <v>27</v>
      </c>
    </row>
    <row r="3118" spans="1:16" hidden="1" x14ac:dyDescent="0.25">
      <c r="A3118" s="3" t="s">
        <v>2763</v>
      </c>
      <c r="B3118" t="s">
        <v>623</v>
      </c>
      <c r="C3118" t="s">
        <v>3162</v>
      </c>
      <c r="D3118" t="s">
        <v>26</v>
      </c>
      <c r="E3118" t="s">
        <v>31</v>
      </c>
      <c r="F3118">
        <v>1</v>
      </c>
      <c r="G3118" s="3" t="s">
        <v>5</v>
      </c>
      <c r="H3118" s="51" t="s">
        <v>15</v>
      </c>
      <c r="I3118" s="17">
        <v>728170</v>
      </c>
      <c r="J3118" s="17">
        <f>IF(Gastos[[#This Row],[Divisa]]="$", I3118*1, IF(Gastos[[#This Row],[Divisa]]="U$D", I3118*$N$1, IF(Gastos[[#This Row],[Divisa]]="EUR", I3118*$N$2, 0)))</f>
        <v>728170</v>
      </c>
      <c r="K3118" s="61">
        <f>Gastos[[#This Row],[Importe AR$]]/$N$1</f>
        <v>480.64026402640263</v>
      </c>
      <c r="M3118" s="76"/>
      <c r="N3118" s="50" t="str">
        <f>IF(Gastos[[#This Row],[Fecha_Cheque]]&gt;0,WEEKNUM(Gastos[[#This Row],[Fecha_Cheque]]),MID(Gastos[[#This Row],[Semana]],6,2))</f>
        <v>23</v>
      </c>
      <c r="O3118" t="s">
        <v>3163</v>
      </c>
      <c r="P3118" t="s">
        <v>27</v>
      </c>
    </row>
    <row r="3119" spans="1:16" hidden="1" x14ac:dyDescent="0.25">
      <c r="A3119" s="3" t="s">
        <v>2841</v>
      </c>
      <c r="B3119" t="s">
        <v>1128</v>
      </c>
      <c r="C3119" t="s">
        <v>1089</v>
      </c>
      <c r="D3119" t="s">
        <v>26</v>
      </c>
      <c r="E3119" t="s">
        <v>62</v>
      </c>
      <c r="F3119">
        <v>1</v>
      </c>
      <c r="G3119" s="3" t="s">
        <v>32</v>
      </c>
      <c r="H3119" s="53" t="s">
        <v>15</v>
      </c>
      <c r="I3119" s="17">
        <v>1600000</v>
      </c>
      <c r="J3119" s="17">
        <f>IF(Gastos[[#This Row],[Divisa]]="$", I3119*1, IF(Gastos[[#This Row],[Divisa]]="U$D", I3119*$N$1, IF(Gastos[[#This Row],[Divisa]]="EUR", I3119*$N$2, 0)))</f>
        <v>1600000</v>
      </c>
      <c r="K3119" s="61">
        <f>Gastos[[#This Row],[Importe AR$]]/$N$1</f>
        <v>1056.1056105610562</v>
      </c>
      <c r="M3119" s="76">
        <v>46223</v>
      </c>
      <c r="N3119" s="50">
        <f>IF(Gastos[[#This Row],[Fecha_Cheque]]&gt;0,WEEKNUM(Gastos[[#This Row],[Fecha_Cheque]]),MID(Gastos[[#This Row],[Semana]],6,2))</f>
        <v>30</v>
      </c>
      <c r="O3119" t="s">
        <v>3164</v>
      </c>
      <c r="P3119" t="s">
        <v>27</v>
      </c>
    </row>
    <row r="3120" spans="1:16" hidden="1" x14ac:dyDescent="0.25">
      <c r="A3120" s="3" t="s">
        <v>2792</v>
      </c>
      <c r="B3120" t="s">
        <v>1347</v>
      </c>
      <c r="C3120" t="s">
        <v>2096</v>
      </c>
      <c r="D3120" t="s">
        <v>26</v>
      </c>
      <c r="E3120" t="s">
        <v>62</v>
      </c>
      <c r="F3120">
        <v>1</v>
      </c>
      <c r="G3120" s="3" t="s">
        <v>32</v>
      </c>
      <c r="H3120" s="51" t="s">
        <v>15</v>
      </c>
      <c r="I3120" s="17">
        <v>1213200</v>
      </c>
      <c r="J3120" s="17">
        <f>IF(Gastos[[#This Row],[Divisa]]="$", I3120*1, IF(Gastos[[#This Row],[Divisa]]="U$D", I3120*$N$1, IF(Gastos[[#This Row],[Divisa]]="EUR", I3120*$N$2, 0)))</f>
        <v>1213200</v>
      </c>
      <c r="K3120" s="61">
        <f>Gastos[[#This Row],[Importe AR$]]/$N$1</f>
        <v>800.79207920792078</v>
      </c>
      <c r="M3120" s="76">
        <v>46242</v>
      </c>
      <c r="N3120" s="50">
        <f>IF(Gastos[[#This Row],[Fecha_Cheque]]&gt;0,WEEKNUM(Gastos[[#This Row],[Fecha_Cheque]]),MID(Gastos[[#This Row],[Semana]],6,2))</f>
        <v>32</v>
      </c>
      <c r="O3120" t="s">
        <v>3165</v>
      </c>
      <c r="P3120" t="s">
        <v>27</v>
      </c>
    </row>
    <row r="3121" spans="1:16" hidden="1" x14ac:dyDescent="0.25">
      <c r="A3121" s="3" t="s">
        <v>2792</v>
      </c>
      <c r="B3121" t="s">
        <v>1347</v>
      </c>
      <c r="C3121" t="s">
        <v>2096</v>
      </c>
      <c r="D3121" t="s">
        <v>26</v>
      </c>
      <c r="E3121" t="s">
        <v>62</v>
      </c>
      <c r="F3121">
        <v>1</v>
      </c>
      <c r="G3121" s="3" t="s">
        <v>32</v>
      </c>
      <c r="H3121" s="51" t="s">
        <v>15</v>
      </c>
      <c r="I3121" s="17">
        <v>1214000</v>
      </c>
      <c r="J3121" s="17">
        <f>IF(Gastos[[#This Row],[Divisa]]="$", I3121*1, IF(Gastos[[#This Row],[Divisa]]="U$D", I3121*$N$1, IF(Gastos[[#This Row],[Divisa]]="EUR", I3121*$N$2, 0)))</f>
        <v>1214000</v>
      </c>
      <c r="K3121" s="61">
        <f>Gastos[[#This Row],[Importe AR$]]/$N$1</f>
        <v>801.32013201320137</v>
      </c>
      <c r="M3121" s="76">
        <v>46234</v>
      </c>
      <c r="N3121" s="50">
        <f>IF(Gastos[[#This Row],[Fecha_Cheque]]&gt;0,WEEKNUM(Gastos[[#This Row],[Fecha_Cheque]]),MID(Gastos[[#This Row],[Semana]],6,2))</f>
        <v>31</v>
      </c>
      <c r="O3121" t="s">
        <v>3165</v>
      </c>
      <c r="P3121" t="s">
        <v>27</v>
      </c>
    </row>
    <row r="3122" spans="1:16" hidden="1" x14ac:dyDescent="0.25">
      <c r="A3122" s="3" t="s">
        <v>2773</v>
      </c>
      <c r="B3122" t="s">
        <v>1571</v>
      </c>
      <c r="C3122" t="s">
        <v>155</v>
      </c>
      <c r="D3122" t="s">
        <v>26</v>
      </c>
      <c r="E3122" t="s">
        <v>42</v>
      </c>
      <c r="F3122">
        <v>1</v>
      </c>
      <c r="G3122" s="3" t="s">
        <v>4</v>
      </c>
      <c r="H3122" s="51" t="s">
        <v>15</v>
      </c>
      <c r="I3122" s="17">
        <v>176030.88</v>
      </c>
      <c r="J3122" s="17">
        <f>IF(Gastos[[#This Row],[Divisa]]="$", I3122*1, IF(Gastos[[#This Row],[Divisa]]="U$D", I3122*$N$1, IF(Gastos[[#This Row],[Divisa]]="EUR", I3122*$N$2, 0)))</f>
        <v>176030.88</v>
      </c>
      <c r="K3122" s="61">
        <f>Gastos[[#This Row],[Importe AR$]]/$N$1</f>
        <v>116.19200000000001</v>
      </c>
      <c r="M3122" s="76"/>
      <c r="N3122" s="50" t="str">
        <f>IF(Gastos[[#This Row],[Fecha_Cheque]]&gt;0,WEEKNUM(Gastos[[#This Row],[Fecha_Cheque]]),MID(Gastos[[#This Row],[Semana]],6,2))</f>
        <v>20</v>
      </c>
      <c r="O3122" t="s">
        <v>3166</v>
      </c>
      <c r="P3122" t="s">
        <v>27</v>
      </c>
    </row>
    <row r="3123" spans="1:16" hidden="1" x14ac:dyDescent="0.25">
      <c r="A3123" s="3" t="s">
        <v>2773</v>
      </c>
      <c r="B3123" t="s">
        <v>1571</v>
      </c>
      <c r="C3123" t="s">
        <v>155</v>
      </c>
      <c r="D3123" t="s">
        <v>26</v>
      </c>
      <c r="E3123" t="s">
        <v>42</v>
      </c>
      <c r="F3123">
        <v>1</v>
      </c>
      <c r="G3123" s="3" t="s">
        <v>4</v>
      </c>
      <c r="H3123" s="51" t="s">
        <v>15</v>
      </c>
      <c r="I3123" s="17">
        <v>190006.02</v>
      </c>
      <c r="J3123" s="17">
        <f>IF(Gastos[[#This Row],[Divisa]]="$", I3123*1, IF(Gastos[[#This Row],[Divisa]]="U$D", I3123*$N$1, IF(Gastos[[#This Row],[Divisa]]="EUR", I3123*$N$2, 0)))</f>
        <v>190006.02</v>
      </c>
      <c r="K3123" s="61">
        <f>Gastos[[#This Row],[Importe AR$]]/$N$1</f>
        <v>125.41651485148515</v>
      </c>
      <c r="M3123" s="76"/>
      <c r="N3123" s="50" t="str">
        <f>IF(Gastos[[#This Row],[Fecha_Cheque]]&gt;0,WEEKNUM(Gastos[[#This Row],[Fecha_Cheque]]),MID(Gastos[[#This Row],[Semana]],6,2))</f>
        <v>20</v>
      </c>
      <c r="O3123" t="s">
        <v>3167</v>
      </c>
      <c r="P3123" t="s">
        <v>27</v>
      </c>
    </row>
    <row r="3124" spans="1:16" hidden="1" x14ac:dyDescent="0.25">
      <c r="A3124" s="3" t="s">
        <v>2792</v>
      </c>
      <c r="B3124" t="s">
        <v>1347</v>
      </c>
      <c r="C3124" t="s">
        <v>2096</v>
      </c>
      <c r="D3124" t="s">
        <v>26</v>
      </c>
      <c r="E3124" t="s">
        <v>62</v>
      </c>
      <c r="F3124">
        <v>1</v>
      </c>
      <c r="G3124" s="3" t="s">
        <v>32</v>
      </c>
      <c r="H3124" s="51" t="s">
        <v>15</v>
      </c>
      <c r="I3124" s="17">
        <v>1214000</v>
      </c>
      <c r="J3124" s="17">
        <f>IF(Gastos[[#This Row],[Divisa]]="$", I3124*1, IF(Gastos[[#This Row],[Divisa]]="U$D", I3124*$N$1, IF(Gastos[[#This Row],[Divisa]]="EUR", I3124*$N$2, 0)))</f>
        <v>1214000</v>
      </c>
      <c r="K3124" s="61">
        <f>Gastos[[#This Row],[Importe AR$]]/$N$1</f>
        <v>801.32013201320137</v>
      </c>
      <c r="M3124" s="76">
        <v>46228</v>
      </c>
      <c r="N3124" s="50">
        <f>IF(Gastos[[#This Row],[Fecha_Cheque]]&gt;0,WEEKNUM(Gastos[[#This Row],[Fecha_Cheque]]),MID(Gastos[[#This Row],[Semana]],6,2))</f>
        <v>30</v>
      </c>
      <c r="O3124" t="s">
        <v>3165</v>
      </c>
      <c r="P3124" t="s">
        <v>27</v>
      </c>
    </row>
    <row r="3125" spans="1:16" hidden="1" x14ac:dyDescent="0.25">
      <c r="A3125" s="3" t="s">
        <v>2792</v>
      </c>
      <c r="B3125" t="s">
        <v>1347</v>
      </c>
      <c r="C3125" t="s">
        <v>2096</v>
      </c>
      <c r="D3125" t="s">
        <v>26</v>
      </c>
      <c r="E3125" t="s">
        <v>62</v>
      </c>
      <c r="F3125">
        <v>1</v>
      </c>
      <c r="G3125" s="3" t="s">
        <v>32</v>
      </c>
      <c r="H3125" s="51" t="s">
        <v>15</v>
      </c>
      <c r="I3125" s="17">
        <v>55705.120000000003</v>
      </c>
      <c r="J3125" s="17">
        <f>IF(Gastos[[#This Row],[Divisa]]="$", I3125*1, IF(Gastos[[#This Row],[Divisa]]="U$D", I3125*$N$1, IF(Gastos[[#This Row],[Divisa]]="EUR", I3125*$N$2, 0)))</f>
        <v>55705.120000000003</v>
      </c>
      <c r="K3125" s="61">
        <f>Gastos[[#This Row],[Importe AR$]]/$N$1</f>
        <v>36.769056105610559</v>
      </c>
      <c r="L3125" t="s">
        <v>340</v>
      </c>
      <c r="M3125" s="76"/>
      <c r="N3125" s="50" t="str">
        <f>IF(Gastos[[#This Row],[Fecha_Cheque]]&gt;0,WEEKNUM(Gastos[[#This Row],[Fecha_Cheque]]),MID(Gastos[[#This Row],[Semana]],6,2))</f>
        <v>21</v>
      </c>
      <c r="O3125" t="s">
        <v>3165</v>
      </c>
      <c r="P3125" t="s">
        <v>27</v>
      </c>
    </row>
    <row r="3126" spans="1:16" hidden="1" x14ac:dyDescent="0.25">
      <c r="A3126" s="3" t="s">
        <v>2804</v>
      </c>
      <c r="B3126" t="s">
        <v>1854</v>
      </c>
      <c r="C3126" t="s">
        <v>1867</v>
      </c>
      <c r="D3126" t="s">
        <v>26</v>
      </c>
      <c r="E3126" t="s">
        <v>62</v>
      </c>
      <c r="F3126">
        <v>2</v>
      </c>
      <c r="G3126" s="3" t="s">
        <v>32</v>
      </c>
      <c r="H3126" s="53" t="s">
        <v>15</v>
      </c>
      <c r="I3126" s="17">
        <v>610000</v>
      </c>
      <c r="J3126" s="17">
        <f>IF(Gastos[[#This Row],[Divisa]]="$", I3126*1, IF(Gastos[[#This Row],[Divisa]]="U$D", I3126*$N$1, IF(Gastos[[#This Row],[Divisa]]="EUR", I3126*$N$2, 0)))</f>
        <v>610000</v>
      </c>
      <c r="K3126" s="61">
        <f>Gastos[[#This Row],[Importe AR$]]/$N$1</f>
        <v>402.64026402640263</v>
      </c>
      <c r="M3126" s="76">
        <v>46190</v>
      </c>
      <c r="N3126" s="50">
        <f>IF(Gastos[[#This Row],[Fecha_Cheque]]&gt;0,WEEKNUM(Gastos[[#This Row],[Fecha_Cheque]]),MID(Gastos[[#This Row],[Semana]],6,2))</f>
        <v>25</v>
      </c>
      <c r="O3126" t="s">
        <v>3168</v>
      </c>
      <c r="P3126" t="s">
        <v>27</v>
      </c>
    </row>
    <row r="3127" spans="1:16" hidden="1" x14ac:dyDescent="0.25">
      <c r="A3127" s="3" t="s">
        <v>2804</v>
      </c>
      <c r="B3127" t="s">
        <v>1854</v>
      </c>
      <c r="C3127" t="s">
        <v>1867</v>
      </c>
      <c r="D3127" t="s">
        <v>26</v>
      </c>
      <c r="E3127" t="s">
        <v>62</v>
      </c>
      <c r="F3127">
        <v>2</v>
      </c>
      <c r="G3127" s="3" t="s">
        <v>32</v>
      </c>
      <c r="H3127" s="53" t="s">
        <v>15</v>
      </c>
      <c r="I3127" s="17">
        <v>2100000</v>
      </c>
      <c r="J3127" s="17">
        <f>IF(Gastos[[#This Row],[Divisa]]="$", I3127*1, IF(Gastos[[#This Row],[Divisa]]="U$D", I3127*$N$1, IF(Gastos[[#This Row],[Divisa]]="EUR", I3127*$N$2, 0)))</f>
        <v>2100000</v>
      </c>
      <c r="K3127" s="61">
        <f>Gastos[[#This Row],[Importe AR$]]/$N$1</f>
        <v>1386.1386138613861</v>
      </c>
      <c r="M3127" s="76">
        <v>46172</v>
      </c>
      <c r="N3127" s="50">
        <f>IF(Gastos[[#This Row],[Fecha_Cheque]]&gt;0,WEEKNUM(Gastos[[#This Row],[Fecha_Cheque]]),MID(Gastos[[#This Row],[Semana]],6,2))</f>
        <v>22</v>
      </c>
      <c r="O3127" t="s">
        <v>3168</v>
      </c>
      <c r="P3127" t="s">
        <v>27</v>
      </c>
    </row>
    <row r="3128" spans="1:16" hidden="1" x14ac:dyDescent="0.25">
      <c r="A3128" s="3" t="s">
        <v>2751</v>
      </c>
      <c r="B3128" t="s">
        <v>3169</v>
      </c>
      <c r="C3128" t="s">
        <v>3170</v>
      </c>
      <c r="D3128" t="s">
        <v>26</v>
      </c>
      <c r="E3128" t="s">
        <v>62</v>
      </c>
      <c r="F3128">
        <v>1</v>
      </c>
      <c r="G3128" s="3" t="s">
        <v>5</v>
      </c>
      <c r="H3128" s="51" t="s">
        <v>15</v>
      </c>
      <c r="I3128" s="17">
        <v>345000</v>
      </c>
      <c r="J3128" s="17">
        <f>IF(Gastos[[#This Row],[Divisa]]="$", I3128*1, IF(Gastos[[#This Row],[Divisa]]="U$D", I3128*$N$1, IF(Gastos[[#This Row],[Divisa]]="EUR", I3128*$N$2, 0)))</f>
        <v>345000</v>
      </c>
      <c r="K3128" s="61">
        <f>Gastos[[#This Row],[Importe AR$]]/$N$1</f>
        <v>227.72277227722773</v>
      </c>
      <c r="M3128" s="76"/>
      <c r="N3128" s="50" t="str">
        <f>IF(Gastos[[#This Row],[Fecha_Cheque]]&gt;0,WEEKNUM(Gastos[[#This Row],[Fecha_Cheque]]),MID(Gastos[[#This Row],[Semana]],6,2))</f>
        <v>18</v>
      </c>
      <c r="O3128" t="s">
        <v>3171</v>
      </c>
      <c r="P3128" t="s">
        <v>27</v>
      </c>
    </row>
    <row r="3129" spans="1:16" hidden="1" x14ac:dyDescent="0.25">
      <c r="A3129" s="3" t="s">
        <v>2841</v>
      </c>
      <c r="B3129" t="s">
        <v>1128</v>
      </c>
      <c r="C3129" t="s">
        <v>1089</v>
      </c>
      <c r="D3129" t="s">
        <v>26</v>
      </c>
      <c r="E3129" t="s">
        <v>62</v>
      </c>
      <c r="F3129">
        <v>1</v>
      </c>
      <c r="G3129" s="3" t="s">
        <v>32</v>
      </c>
      <c r="H3129" s="53" t="s">
        <v>15</v>
      </c>
      <c r="I3129" s="17">
        <v>1733000</v>
      </c>
      <c r="J3129" s="17">
        <f>IF(Gastos[[#This Row],[Divisa]]="$", I3129*1, IF(Gastos[[#This Row],[Divisa]]="U$D", I3129*$N$1, IF(Gastos[[#This Row],[Divisa]]="EUR", I3129*$N$2, 0)))</f>
        <v>1733000</v>
      </c>
      <c r="K3129" s="61">
        <f>Gastos[[#This Row],[Importe AR$]]/$N$1</f>
        <v>1143.8943894389438</v>
      </c>
      <c r="M3129" s="76">
        <v>46233</v>
      </c>
      <c r="N3129" s="50">
        <f>IF(Gastos[[#This Row],[Fecha_Cheque]]&gt;0,WEEKNUM(Gastos[[#This Row],[Fecha_Cheque]]),MID(Gastos[[#This Row],[Semana]],6,2))</f>
        <v>31</v>
      </c>
      <c r="O3129" t="s">
        <v>3164</v>
      </c>
      <c r="P3129" t="s">
        <v>27</v>
      </c>
    </row>
    <row r="3130" spans="1:16" hidden="1" x14ac:dyDescent="0.25">
      <c r="A3130" s="3" t="s">
        <v>2841</v>
      </c>
      <c r="B3130" t="s">
        <v>1128</v>
      </c>
      <c r="C3130" t="s">
        <v>1089</v>
      </c>
      <c r="D3130" t="s">
        <v>26</v>
      </c>
      <c r="E3130" t="s">
        <v>62</v>
      </c>
      <c r="F3130">
        <v>1</v>
      </c>
      <c r="G3130" s="3" t="s">
        <v>32</v>
      </c>
      <c r="H3130" s="53" t="s">
        <v>15</v>
      </c>
      <c r="I3130" s="17">
        <v>50610.9</v>
      </c>
      <c r="J3130" s="17">
        <f>IF(Gastos[[#This Row],[Divisa]]="$", I3130*1, IF(Gastos[[#This Row],[Divisa]]="U$D", I3130*$N$1, IF(Gastos[[#This Row],[Divisa]]="EUR", I3130*$N$2, 0)))</f>
        <v>50610.9</v>
      </c>
      <c r="K3130" s="61">
        <f>Gastos[[#This Row],[Importe AR$]]/$N$1</f>
        <v>33.40653465346535</v>
      </c>
      <c r="L3130" t="s">
        <v>340</v>
      </c>
      <c r="M3130" s="76"/>
      <c r="N3130" s="50" t="str">
        <f>IF(Gastos[[#This Row],[Fecha_Cheque]]&gt;0,WEEKNUM(Gastos[[#This Row],[Fecha_Cheque]]),MID(Gastos[[#This Row],[Semana]],6,2))</f>
        <v>22</v>
      </c>
      <c r="O3130" t="s">
        <v>3164</v>
      </c>
      <c r="P3130" t="s">
        <v>27</v>
      </c>
    </row>
    <row r="3131" spans="1:16" hidden="1" x14ac:dyDescent="0.25">
      <c r="A3131" s="3" t="s">
        <v>2804</v>
      </c>
      <c r="B3131" t="s">
        <v>1854</v>
      </c>
      <c r="C3131" t="s">
        <v>3172</v>
      </c>
      <c r="D3131" t="s">
        <v>26</v>
      </c>
      <c r="E3131" t="s">
        <v>42</v>
      </c>
      <c r="F3131">
        <v>2</v>
      </c>
      <c r="G3131" s="3" t="s">
        <v>4</v>
      </c>
      <c r="H3131" s="51" t="s">
        <v>2</v>
      </c>
      <c r="I3131" s="17">
        <v>3000</v>
      </c>
      <c r="J3131" s="17">
        <f>IF(Gastos[[#This Row],[Divisa]]="$", I3131*1, IF(Gastos[[#This Row],[Divisa]]="U$D", I3131*$N$1, IF(Gastos[[#This Row],[Divisa]]="EUR", I3131*$N$2, 0)))</f>
        <v>4545000</v>
      </c>
      <c r="K3131" s="61">
        <f>Gastos[[#This Row],[Importe AR$]]/$N$1</f>
        <v>3000</v>
      </c>
      <c r="M3131" s="76"/>
      <c r="N3131" s="50" t="str">
        <f>IF(Gastos[[#This Row],[Fecha_Cheque]]&gt;0,WEEKNUM(Gastos[[#This Row],[Fecha_Cheque]]),MID(Gastos[[#This Row],[Semana]],6,2))</f>
        <v>19</v>
      </c>
      <c r="O3131" t="s">
        <v>3173</v>
      </c>
      <c r="P3131" t="s">
        <v>27</v>
      </c>
    </row>
    <row r="3132" spans="1:16" hidden="1" x14ac:dyDescent="0.25">
      <c r="A3132" s="3" t="s">
        <v>2773</v>
      </c>
      <c r="B3132" t="s">
        <v>1580</v>
      </c>
      <c r="C3132" t="s">
        <v>155</v>
      </c>
      <c r="D3132" t="s">
        <v>26</v>
      </c>
      <c r="E3132" t="s">
        <v>42</v>
      </c>
      <c r="F3132">
        <v>1</v>
      </c>
      <c r="G3132" s="3" t="s">
        <v>4</v>
      </c>
      <c r="H3132" s="53" t="s">
        <v>15</v>
      </c>
      <c r="I3132" s="17">
        <v>180005.99</v>
      </c>
      <c r="J3132" s="17">
        <f>IF(Gastos[[#This Row],[Divisa]]="$", I3132*1, IF(Gastos[[#This Row],[Divisa]]="U$D", I3132*$N$1, IF(Gastos[[#This Row],[Divisa]]="EUR", I3132*$N$2, 0)))</f>
        <v>180005.99</v>
      </c>
      <c r="K3132" s="61">
        <f>Gastos[[#This Row],[Importe AR$]]/$N$1</f>
        <v>118.81583498349835</v>
      </c>
      <c r="M3132" s="76"/>
      <c r="N3132" s="50" t="str">
        <f>IF(Gastos[[#This Row],[Fecha_Cheque]]&gt;0,WEEKNUM(Gastos[[#This Row],[Fecha_Cheque]]),MID(Gastos[[#This Row],[Semana]],6,2))</f>
        <v>20</v>
      </c>
      <c r="O3132" t="s">
        <v>3174</v>
      </c>
      <c r="P3132" t="s">
        <v>27</v>
      </c>
    </row>
    <row r="3133" spans="1:16" hidden="1" x14ac:dyDescent="0.25">
      <c r="A3133" s="3" t="s">
        <v>2773</v>
      </c>
      <c r="B3133" t="s">
        <v>1600</v>
      </c>
      <c r="C3133" t="s">
        <v>3175</v>
      </c>
      <c r="D3133" t="s">
        <v>26</v>
      </c>
      <c r="E3133" t="s">
        <v>42</v>
      </c>
      <c r="F3133">
        <v>1</v>
      </c>
      <c r="G3133" s="3" t="s">
        <v>4</v>
      </c>
      <c r="H3133" s="51" t="s">
        <v>15</v>
      </c>
      <c r="I3133" s="17">
        <v>33000</v>
      </c>
      <c r="J3133" s="17">
        <f>IF(Gastos[[#This Row],[Divisa]]="$", I3133*1, IF(Gastos[[#This Row],[Divisa]]="U$D", I3133*$N$1, IF(Gastos[[#This Row],[Divisa]]="EUR", I3133*$N$2, 0)))</f>
        <v>33000</v>
      </c>
      <c r="K3133" s="61">
        <f>Gastos[[#This Row],[Importe AR$]]/$N$1</f>
        <v>21.782178217821784</v>
      </c>
      <c r="M3133" s="76"/>
      <c r="N3133" s="50" t="str">
        <f>IF(Gastos[[#This Row],[Fecha_Cheque]]&gt;0,WEEKNUM(Gastos[[#This Row],[Fecha_Cheque]]),MID(Gastos[[#This Row],[Semana]],6,2))</f>
        <v>20</v>
      </c>
      <c r="O3133" t="s">
        <v>3176</v>
      </c>
      <c r="P3133" t="s">
        <v>27</v>
      </c>
    </row>
    <row r="3134" spans="1:16" hidden="1" x14ac:dyDescent="0.25">
      <c r="A3134" s="3" t="s">
        <v>3641</v>
      </c>
      <c r="B3134" t="s">
        <v>266</v>
      </c>
      <c r="C3134" t="s">
        <v>3649</v>
      </c>
      <c r="D3134" t="s">
        <v>26</v>
      </c>
      <c r="E3134" t="s">
        <v>31</v>
      </c>
      <c r="F3134">
        <v>1</v>
      </c>
      <c r="G3134" s="3" t="s">
        <v>32</v>
      </c>
      <c r="H3134" s="51" t="s">
        <v>15</v>
      </c>
      <c r="I3134" s="17">
        <v>17653.12</v>
      </c>
      <c r="J3134" s="17">
        <f>IF(Gastos[[#This Row],[Divisa]]="$", I3134*1, IF(Gastos[[#This Row],[Divisa]]="U$D", I3134*$N$1, IF(Gastos[[#This Row],[Divisa]]="EUR", I3134*$N$2, 0)))</f>
        <v>17653.12</v>
      </c>
      <c r="K3134" s="61">
        <f>Gastos[[#This Row],[Importe AR$]]/$N$1</f>
        <v>11.652224422442243</v>
      </c>
      <c r="L3134" t="s">
        <v>340</v>
      </c>
      <c r="M3134" s="76"/>
      <c r="N3134" s="50" t="str">
        <f>IF(Gastos[[#This Row],[Fecha_Cheque]]&gt;0,WEEKNUM(Gastos[[#This Row],[Fecha_Cheque]]),MID(Gastos[[#This Row],[Semana]],6,2))</f>
        <v>27</v>
      </c>
      <c r="O3134" t="s">
        <v>3698</v>
      </c>
      <c r="P3134" t="s">
        <v>27</v>
      </c>
    </row>
    <row r="3135" spans="1:16" hidden="1" x14ac:dyDescent="0.25">
      <c r="A3135" s="3" t="s">
        <v>3641</v>
      </c>
      <c r="B3135" t="s">
        <v>266</v>
      </c>
      <c r="C3135" t="s">
        <v>3669</v>
      </c>
      <c r="D3135" t="s">
        <v>26</v>
      </c>
      <c r="E3135" t="s">
        <v>31</v>
      </c>
      <c r="F3135">
        <v>1</v>
      </c>
      <c r="G3135" s="3" t="s">
        <v>5</v>
      </c>
      <c r="H3135" s="51" t="s">
        <v>15</v>
      </c>
      <c r="I3135" s="17">
        <v>365468.31</v>
      </c>
      <c r="J3135" s="17">
        <f>IF(Gastos[[#This Row],[Divisa]]="$", I3135*1, IF(Gastos[[#This Row],[Divisa]]="U$D", I3135*$N$1, IF(Gastos[[#This Row],[Divisa]]="EUR", I3135*$N$2, 0)))</f>
        <v>365468.31</v>
      </c>
      <c r="K3135" s="61">
        <f>Gastos[[#This Row],[Importe AR$]]/$N$1</f>
        <v>241.23320792079207</v>
      </c>
      <c r="M3135" s="76"/>
      <c r="N3135" s="50" t="str">
        <f>IF(Gastos[[#This Row],[Fecha_Cheque]]&gt;0,WEEKNUM(Gastos[[#This Row],[Fecha_Cheque]]),MID(Gastos[[#This Row],[Semana]],6,2))</f>
        <v>27</v>
      </c>
      <c r="O3135" t="s">
        <v>3670</v>
      </c>
      <c r="P3135" t="s">
        <v>27</v>
      </c>
    </row>
    <row r="3136" spans="1:16" hidden="1" x14ac:dyDescent="0.25">
      <c r="A3136" s="3" t="s">
        <v>2792</v>
      </c>
      <c r="B3136" t="s">
        <v>3149</v>
      </c>
      <c r="C3136" t="s">
        <v>3178</v>
      </c>
      <c r="D3136" t="s">
        <v>26</v>
      </c>
      <c r="E3136" t="s">
        <v>62</v>
      </c>
      <c r="F3136">
        <v>1</v>
      </c>
      <c r="G3136" s="3" t="s">
        <v>32</v>
      </c>
      <c r="H3136" s="51" t="s">
        <v>15</v>
      </c>
      <c r="I3136" s="17">
        <v>300000</v>
      </c>
      <c r="J3136" s="17">
        <f>IF(Gastos[[#This Row],[Divisa]]="$", I3136*1, IF(Gastos[[#This Row],[Divisa]]="U$D", I3136*$N$1, IF(Gastos[[#This Row],[Divisa]]="EUR", I3136*$N$2, 0)))</f>
        <v>300000</v>
      </c>
      <c r="K3136" s="61">
        <f>Gastos[[#This Row],[Importe AR$]]/$N$1</f>
        <v>198.01980198019803</v>
      </c>
      <c r="M3136" s="76"/>
      <c r="N3136" s="50" t="str">
        <f>IF(Gastos[[#This Row],[Fecha_Cheque]]&gt;0,WEEKNUM(Gastos[[#This Row],[Fecha_Cheque]]),MID(Gastos[[#This Row],[Semana]],6,2))</f>
        <v>21</v>
      </c>
      <c r="O3136" t="s">
        <v>3179</v>
      </c>
      <c r="P3136" t="s">
        <v>27</v>
      </c>
    </row>
    <row r="3137" spans="1:16" hidden="1" x14ac:dyDescent="0.25">
      <c r="A3137" s="3" t="s">
        <v>2792</v>
      </c>
      <c r="B3137" t="s">
        <v>3149</v>
      </c>
      <c r="C3137" t="s">
        <v>3178</v>
      </c>
      <c r="D3137" t="s">
        <v>26</v>
      </c>
      <c r="E3137" t="s">
        <v>62</v>
      </c>
      <c r="F3137">
        <v>1</v>
      </c>
      <c r="G3137" s="3" t="s">
        <v>32</v>
      </c>
      <c r="H3137" s="51" t="s">
        <v>15</v>
      </c>
      <c r="I3137" s="17">
        <v>6974.98</v>
      </c>
      <c r="J3137" s="17">
        <f>IF(Gastos[[#This Row],[Divisa]]="$", I3137*1, IF(Gastos[[#This Row],[Divisa]]="U$D", I3137*$N$1, IF(Gastos[[#This Row],[Divisa]]="EUR", I3137*$N$2, 0)))</f>
        <v>6974.98</v>
      </c>
      <c r="K3137" s="61">
        <f>Gastos[[#This Row],[Importe AR$]]/$N$1</f>
        <v>4.6039471947194714</v>
      </c>
      <c r="L3137" t="s">
        <v>340</v>
      </c>
      <c r="M3137" s="76"/>
      <c r="N3137" s="50" t="str">
        <f>IF(Gastos[[#This Row],[Fecha_Cheque]]&gt;0,WEEKNUM(Gastos[[#This Row],[Fecha_Cheque]]),MID(Gastos[[#This Row],[Semana]],6,2))</f>
        <v>21</v>
      </c>
      <c r="O3137" t="s">
        <v>3179</v>
      </c>
      <c r="P3137" t="s">
        <v>27</v>
      </c>
    </row>
    <row r="3138" spans="1:16" hidden="1" x14ac:dyDescent="0.25">
      <c r="A3138" s="3" t="s">
        <v>2792</v>
      </c>
      <c r="B3138" t="s">
        <v>3024</v>
      </c>
      <c r="C3138" t="s">
        <v>1948</v>
      </c>
      <c r="D3138" t="s">
        <v>26</v>
      </c>
      <c r="E3138" t="s">
        <v>42</v>
      </c>
      <c r="F3138">
        <v>1</v>
      </c>
      <c r="G3138" s="3" t="s">
        <v>4</v>
      </c>
      <c r="H3138" s="51" t="s">
        <v>15</v>
      </c>
      <c r="I3138" s="17">
        <v>15750.02</v>
      </c>
      <c r="J3138" s="17">
        <f>IF(Gastos[[#This Row],[Divisa]]="$", I3138*1, IF(Gastos[[#This Row],[Divisa]]="U$D", I3138*$N$1, IF(Gastos[[#This Row],[Divisa]]="EUR", I3138*$N$2, 0)))</f>
        <v>15750.02</v>
      </c>
      <c r="K3138" s="61">
        <f>Gastos[[#This Row],[Importe AR$]]/$N$1</f>
        <v>10.396052805280528</v>
      </c>
      <c r="M3138" s="76"/>
      <c r="N3138" s="50" t="str">
        <f>IF(Gastos[[#This Row],[Fecha_Cheque]]&gt;0,WEEKNUM(Gastos[[#This Row],[Fecha_Cheque]]),MID(Gastos[[#This Row],[Semana]],6,2))</f>
        <v>21</v>
      </c>
      <c r="O3138" t="s">
        <v>3180</v>
      </c>
      <c r="P3138" t="s">
        <v>27</v>
      </c>
    </row>
    <row r="3139" spans="1:16" hidden="1" x14ac:dyDescent="0.25">
      <c r="A3139" s="3" t="s">
        <v>2804</v>
      </c>
      <c r="B3139" t="s">
        <v>2049</v>
      </c>
      <c r="C3139" t="s">
        <v>2473</v>
      </c>
      <c r="D3139" t="s">
        <v>26</v>
      </c>
      <c r="E3139" t="s">
        <v>62</v>
      </c>
      <c r="F3139">
        <v>1</v>
      </c>
      <c r="G3139" s="3" t="s">
        <v>32</v>
      </c>
      <c r="H3139" s="53" t="s">
        <v>15</v>
      </c>
      <c r="I3139" s="17">
        <v>5012987.83</v>
      </c>
      <c r="J3139" s="17">
        <f>IF(Gastos[[#This Row],[Divisa]]="$", I3139*1, IF(Gastos[[#This Row],[Divisa]]="U$D", I3139*$N$1, IF(Gastos[[#This Row],[Divisa]]="EUR", I3139*$N$2, 0)))</f>
        <v>5012987.83</v>
      </c>
      <c r="K3139" s="61">
        <f>Gastos[[#This Row],[Importe AR$]]/$N$1</f>
        <v>3308.9028580858085</v>
      </c>
      <c r="M3139" s="76">
        <v>46193</v>
      </c>
      <c r="N3139" s="50">
        <f>IF(Gastos[[#This Row],[Fecha_Cheque]]&gt;0,WEEKNUM(Gastos[[#This Row],[Fecha_Cheque]]),MID(Gastos[[#This Row],[Semana]],6,2))</f>
        <v>25</v>
      </c>
      <c r="O3139" t="s">
        <v>3181</v>
      </c>
      <c r="P3139" t="s">
        <v>27</v>
      </c>
    </row>
    <row r="3140" spans="1:16" hidden="1" x14ac:dyDescent="0.25">
      <c r="A3140" s="3" t="s">
        <v>2804</v>
      </c>
      <c r="B3140" t="s">
        <v>2049</v>
      </c>
      <c r="C3140" t="s">
        <v>2473</v>
      </c>
      <c r="D3140" t="s">
        <v>26</v>
      </c>
      <c r="E3140" t="s">
        <v>62</v>
      </c>
      <c r="F3140">
        <v>1</v>
      </c>
      <c r="G3140" s="3" t="s">
        <v>32</v>
      </c>
      <c r="H3140" s="53" t="s">
        <v>15</v>
      </c>
      <c r="I3140" s="17">
        <v>95779.76</v>
      </c>
      <c r="J3140" s="17">
        <f>IF(Gastos[[#This Row],[Divisa]]="$", I3140*1, IF(Gastos[[#This Row],[Divisa]]="U$D", I3140*$N$1, IF(Gastos[[#This Row],[Divisa]]="EUR", I3140*$N$2, 0)))</f>
        <v>95779.76</v>
      </c>
      <c r="K3140" s="61">
        <f>Gastos[[#This Row],[Importe AR$]]/$N$1</f>
        <v>63.220963696369637</v>
      </c>
      <c r="L3140" t="s">
        <v>340</v>
      </c>
      <c r="M3140" s="76"/>
      <c r="N3140" s="50" t="str">
        <f>IF(Gastos[[#This Row],[Fecha_Cheque]]&gt;0,WEEKNUM(Gastos[[#This Row],[Fecha_Cheque]]),MID(Gastos[[#This Row],[Semana]],6,2))</f>
        <v>19</v>
      </c>
      <c r="O3140" t="s">
        <v>3181</v>
      </c>
      <c r="P3140" t="s">
        <v>27</v>
      </c>
    </row>
    <row r="3141" spans="1:16" hidden="1" x14ac:dyDescent="0.25">
      <c r="A3141" s="3" t="s">
        <v>2841</v>
      </c>
      <c r="B3141" t="s">
        <v>1152</v>
      </c>
      <c r="C3141" t="s">
        <v>3182</v>
      </c>
      <c r="D3141" t="s">
        <v>26</v>
      </c>
      <c r="E3141" t="s">
        <v>31</v>
      </c>
      <c r="F3141">
        <v>1</v>
      </c>
      <c r="G3141" s="3" t="s">
        <v>32</v>
      </c>
      <c r="H3141" s="51" t="s">
        <v>15</v>
      </c>
      <c r="I3141" s="17">
        <v>214087.72</v>
      </c>
      <c r="J3141" s="17">
        <f>IF(Gastos[[#This Row],[Divisa]]="$", I3141*1, IF(Gastos[[#This Row],[Divisa]]="U$D", I3141*$N$1, IF(Gastos[[#This Row],[Divisa]]="EUR", I3141*$N$2, 0)))</f>
        <v>214087.72</v>
      </c>
      <c r="K3141" s="61">
        <f>Gastos[[#This Row],[Importe AR$]]/$N$1</f>
        <v>141.31202640264027</v>
      </c>
      <c r="M3141" s="76">
        <v>46199</v>
      </c>
      <c r="N3141" s="50">
        <f>IF(Gastos[[#This Row],[Fecha_Cheque]]&gt;0,WEEKNUM(Gastos[[#This Row],[Fecha_Cheque]]),MID(Gastos[[#This Row],[Semana]],6,2))</f>
        <v>26</v>
      </c>
      <c r="O3141" t="s">
        <v>3183</v>
      </c>
      <c r="P3141" t="s">
        <v>27</v>
      </c>
    </row>
    <row r="3142" spans="1:16" hidden="1" x14ac:dyDescent="0.25">
      <c r="A3142" s="3" t="s">
        <v>2804</v>
      </c>
      <c r="B3142" t="s">
        <v>3051</v>
      </c>
      <c r="C3142" t="s">
        <v>3084</v>
      </c>
      <c r="D3142" t="s">
        <v>26</v>
      </c>
      <c r="E3142" t="s">
        <v>42</v>
      </c>
      <c r="F3142">
        <v>2</v>
      </c>
      <c r="G3142" s="3" t="s">
        <v>4</v>
      </c>
      <c r="H3142" s="51" t="s">
        <v>15</v>
      </c>
      <c r="I3142" s="17">
        <v>198730</v>
      </c>
      <c r="J3142" s="17">
        <f>IF(Gastos[[#This Row],[Divisa]]="$", I3142*1, IF(Gastos[[#This Row],[Divisa]]="U$D", I3142*$N$1, IF(Gastos[[#This Row],[Divisa]]="EUR", I3142*$N$2, 0)))</f>
        <v>198730</v>
      </c>
      <c r="K3142" s="61">
        <f>Gastos[[#This Row],[Importe AR$]]/$N$1</f>
        <v>131.17491749174917</v>
      </c>
      <c r="M3142" s="76">
        <v>46191</v>
      </c>
      <c r="N3142" s="50">
        <f>IF(Gastos[[#This Row],[Fecha_Cheque]]&gt;0,WEEKNUM(Gastos[[#This Row],[Fecha_Cheque]]),MID(Gastos[[#This Row],[Semana]],6,2))</f>
        <v>25</v>
      </c>
      <c r="O3142" t="s">
        <v>3184</v>
      </c>
      <c r="P3142" t="s">
        <v>27</v>
      </c>
    </row>
    <row r="3143" spans="1:16" hidden="1" x14ac:dyDescent="0.25">
      <c r="A3143" s="3" t="s">
        <v>2804</v>
      </c>
      <c r="B3143" t="s">
        <v>3051</v>
      </c>
      <c r="C3143" t="s">
        <v>3084</v>
      </c>
      <c r="D3143" t="s">
        <v>26</v>
      </c>
      <c r="E3143" t="s">
        <v>42</v>
      </c>
      <c r="F3143">
        <v>2</v>
      </c>
      <c r="G3143" s="3" t="s">
        <v>4</v>
      </c>
      <c r="H3143" s="51" t="s">
        <v>15</v>
      </c>
      <c r="I3143" s="17">
        <v>272825</v>
      </c>
      <c r="J3143" s="17">
        <f>IF(Gastos[[#This Row],[Divisa]]="$", I3143*1, IF(Gastos[[#This Row],[Divisa]]="U$D", I3143*$N$1, IF(Gastos[[#This Row],[Divisa]]="EUR", I3143*$N$2, 0)))</f>
        <v>272825</v>
      </c>
      <c r="K3143" s="61">
        <f>Gastos[[#This Row],[Importe AR$]]/$N$1</f>
        <v>180.08250825082507</v>
      </c>
      <c r="M3143" s="76">
        <v>46193</v>
      </c>
      <c r="N3143" s="50">
        <f>IF(Gastos[[#This Row],[Fecha_Cheque]]&gt;0,WEEKNUM(Gastos[[#This Row],[Fecha_Cheque]]),MID(Gastos[[#This Row],[Semana]],6,2))</f>
        <v>25</v>
      </c>
      <c r="O3143" t="s">
        <v>3184</v>
      </c>
      <c r="P3143" t="s">
        <v>27</v>
      </c>
    </row>
    <row r="3144" spans="1:16" hidden="1" x14ac:dyDescent="0.25">
      <c r="A3144" s="3" t="s">
        <v>2804</v>
      </c>
      <c r="B3144" t="s">
        <v>3051</v>
      </c>
      <c r="C3144" t="s">
        <v>3084</v>
      </c>
      <c r="D3144" t="s">
        <v>26</v>
      </c>
      <c r="E3144" t="s">
        <v>42</v>
      </c>
      <c r="F3144">
        <v>2</v>
      </c>
      <c r="G3144" s="3" t="s">
        <v>4</v>
      </c>
      <c r="H3144" s="51" t="s">
        <v>15</v>
      </c>
      <c r="I3144" s="17">
        <v>800000</v>
      </c>
      <c r="J3144" s="17">
        <f>IF(Gastos[[#This Row],[Divisa]]="$", I3144*1, IF(Gastos[[#This Row],[Divisa]]="U$D", I3144*$N$1, IF(Gastos[[#This Row],[Divisa]]="EUR", I3144*$N$2, 0)))</f>
        <v>800000</v>
      </c>
      <c r="K3144" s="61">
        <f>Gastos[[#This Row],[Importe AR$]]/$N$1</f>
        <v>528.0528052805281</v>
      </c>
      <c r="M3144" s="76">
        <v>46187</v>
      </c>
      <c r="N3144" s="50">
        <f>IF(Gastos[[#This Row],[Fecha_Cheque]]&gt;0,WEEKNUM(Gastos[[#This Row],[Fecha_Cheque]]),MID(Gastos[[#This Row],[Semana]],6,2))</f>
        <v>25</v>
      </c>
      <c r="O3144" t="s">
        <v>3184</v>
      </c>
      <c r="P3144" t="s">
        <v>27</v>
      </c>
    </row>
    <row r="3145" spans="1:16" hidden="1" x14ac:dyDescent="0.25">
      <c r="A3145" s="3" t="s">
        <v>2740</v>
      </c>
      <c r="B3145" t="s">
        <v>3185</v>
      </c>
      <c r="C3145" t="s">
        <v>3186</v>
      </c>
      <c r="D3145" t="s">
        <v>26</v>
      </c>
      <c r="E3145" t="s">
        <v>31</v>
      </c>
      <c r="F3145">
        <v>1</v>
      </c>
      <c r="G3145" s="3" t="s">
        <v>5</v>
      </c>
      <c r="H3145" s="51" t="s">
        <v>15</v>
      </c>
      <c r="I3145" s="17">
        <v>3032500</v>
      </c>
      <c r="J3145" s="17">
        <f>IF(Gastos[[#This Row],[Divisa]]="$", I3145*1, IF(Gastos[[#This Row],[Divisa]]="U$D", I3145*$N$1, IF(Gastos[[#This Row],[Divisa]]="EUR", I3145*$N$2, 0)))</f>
        <v>3032500</v>
      </c>
      <c r="K3145" s="61">
        <f>Gastos[[#This Row],[Importe AR$]]/$N$1</f>
        <v>2001.6501650165017</v>
      </c>
      <c r="M3145" s="76"/>
      <c r="N3145" s="50" t="str">
        <f>IF(Gastos[[#This Row],[Fecha_Cheque]]&gt;0,WEEKNUM(Gastos[[#This Row],[Fecha_Cheque]]),MID(Gastos[[#This Row],[Semana]],6,2))</f>
        <v>16</v>
      </c>
      <c r="O3145" t="s">
        <v>3187</v>
      </c>
      <c r="P3145" t="s">
        <v>27</v>
      </c>
    </row>
    <row r="3146" spans="1:16" hidden="1" x14ac:dyDescent="0.25">
      <c r="A3146" s="3" t="s">
        <v>2751</v>
      </c>
      <c r="B3146" t="s">
        <v>478</v>
      </c>
      <c r="C3146" t="s">
        <v>3188</v>
      </c>
      <c r="D3146" t="s">
        <v>26</v>
      </c>
      <c r="E3146" t="s">
        <v>31</v>
      </c>
      <c r="F3146">
        <v>1</v>
      </c>
      <c r="G3146" s="3" t="s">
        <v>32</v>
      </c>
      <c r="H3146" s="51" t="s">
        <v>15</v>
      </c>
      <c r="I3146" s="17">
        <v>5311217.7300000004</v>
      </c>
      <c r="J3146" s="17">
        <f>IF(Gastos[[#This Row],[Divisa]]="$", I3146*1, IF(Gastos[[#This Row],[Divisa]]="U$D", I3146*$N$1, IF(Gastos[[#This Row],[Divisa]]="EUR", I3146*$N$2, 0)))</f>
        <v>5311217.7300000004</v>
      </c>
      <c r="K3146" s="61">
        <f>Gastos[[#This Row],[Importe AR$]]/$N$1</f>
        <v>3505.7542772277229</v>
      </c>
      <c r="M3146" s="76"/>
      <c r="N3146" s="50" t="str">
        <f>IF(Gastos[[#This Row],[Fecha_Cheque]]&gt;0,WEEKNUM(Gastos[[#This Row],[Fecha_Cheque]]),MID(Gastos[[#This Row],[Semana]],6,2))</f>
        <v>18</v>
      </c>
      <c r="O3146" t="s">
        <v>3189</v>
      </c>
      <c r="P3146" t="s">
        <v>27</v>
      </c>
    </row>
    <row r="3147" spans="1:16" hidden="1" x14ac:dyDescent="0.25">
      <c r="A3147" s="3" t="s">
        <v>2804</v>
      </c>
      <c r="B3147" t="s">
        <v>3051</v>
      </c>
      <c r="C3147" t="s">
        <v>3084</v>
      </c>
      <c r="D3147" t="s">
        <v>26</v>
      </c>
      <c r="E3147" t="s">
        <v>42</v>
      </c>
      <c r="F3147">
        <v>2</v>
      </c>
      <c r="G3147" s="3" t="s">
        <v>4</v>
      </c>
      <c r="H3147" s="51" t="s">
        <v>15</v>
      </c>
      <c r="I3147" s="17">
        <v>800000</v>
      </c>
      <c r="J3147" s="17">
        <f>IF(Gastos[[#This Row],[Divisa]]="$", I3147*1, IF(Gastos[[#This Row],[Divisa]]="U$D", I3147*$N$1, IF(Gastos[[#This Row],[Divisa]]="EUR", I3147*$N$2, 0)))</f>
        <v>800000</v>
      </c>
      <c r="K3147" s="61">
        <f>Gastos[[#This Row],[Importe AR$]]/$N$1</f>
        <v>528.0528052805281</v>
      </c>
      <c r="M3147" s="76">
        <v>46180</v>
      </c>
      <c r="N3147" s="50">
        <f>IF(Gastos[[#This Row],[Fecha_Cheque]]&gt;0,WEEKNUM(Gastos[[#This Row],[Fecha_Cheque]]),MID(Gastos[[#This Row],[Semana]],6,2))</f>
        <v>24</v>
      </c>
      <c r="O3147" t="s">
        <v>3184</v>
      </c>
      <c r="P3147" t="s">
        <v>27</v>
      </c>
    </row>
    <row r="3148" spans="1:16" hidden="1" x14ac:dyDescent="0.25">
      <c r="A3148" s="3" t="s">
        <v>2773</v>
      </c>
      <c r="B3148" t="s">
        <v>1674</v>
      </c>
      <c r="C3148" t="s">
        <v>3190</v>
      </c>
      <c r="D3148" t="s">
        <v>26</v>
      </c>
      <c r="E3148" t="s">
        <v>42</v>
      </c>
      <c r="F3148">
        <v>1</v>
      </c>
      <c r="G3148" s="3" t="s">
        <v>4</v>
      </c>
      <c r="H3148" s="51" t="s">
        <v>15</v>
      </c>
      <c r="I3148" s="17">
        <v>68000</v>
      </c>
      <c r="J3148" s="17">
        <f>IF(Gastos[[#This Row],[Divisa]]="$", I3148*1, IF(Gastos[[#This Row],[Divisa]]="U$D", I3148*$N$1, IF(Gastos[[#This Row],[Divisa]]="EUR", I3148*$N$2, 0)))</f>
        <v>68000</v>
      </c>
      <c r="K3148" s="61">
        <f>Gastos[[#This Row],[Importe AR$]]/$N$1</f>
        <v>44.884488448844884</v>
      </c>
      <c r="M3148" s="76"/>
      <c r="N3148" s="50" t="str">
        <f>IF(Gastos[[#This Row],[Fecha_Cheque]]&gt;0,WEEKNUM(Gastos[[#This Row],[Fecha_Cheque]]),MID(Gastos[[#This Row],[Semana]],6,2))</f>
        <v>20</v>
      </c>
      <c r="O3148" t="s">
        <v>3191</v>
      </c>
      <c r="P3148" t="s">
        <v>27</v>
      </c>
    </row>
    <row r="3149" spans="1:16" hidden="1" x14ac:dyDescent="0.25">
      <c r="A3149" s="3" t="s">
        <v>3718</v>
      </c>
      <c r="B3149" t="s">
        <v>3767</v>
      </c>
      <c r="C3149" t="s">
        <v>3768</v>
      </c>
      <c r="D3149" t="s">
        <v>26</v>
      </c>
      <c r="E3149" t="s">
        <v>31</v>
      </c>
      <c r="F3149">
        <v>1</v>
      </c>
      <c r="G3149" s="3" t="s">
        <v>5</v>
      </c>
      <c r="H3149" s="51" t="s">
        <v>15</v>
      </c>
      <c r="I3149" s="17">
        <v>8520</v>
      </c>
      <c r="J3149" s="17">
        <f>IF(Gastos[[#This Row],[Divisa]]="$", I3149*1, IF(Gastos[[#This Row],[Divisa]]="U$D", I3149*$N$1, IF(Gastos[[#This Row],[Divisa]]="EUR", I3149*$N$2, 0)))</f>
        <v>8520</v>
      </c>
      <c r="K3149" s="61">
        <f>Gastos[[#This Row],[Importe AR$]]/$N$1</f>
        <v>5.6237623762376234</v>
      </c>
      <c r="L3149" t="s">
        <v>340</v>
      </c>
      <c r="M3149" s="76"/>
      <c r="N3149" s="50" t="str">
        <f>IF(Gastos[[#This Row],[Fecha_Cheque]]&gt;0,WEEKNUM(Gastos[[#This Row],[Fecha_Cheque]]),MID(Gastos[[#This Row],[Semana]],6,2))</f>
        <v>28</v>
      </c>
      <c r="O3149" t="s">
        <v>3769</v>
      </c>
      <c r="P3149" t="s">
        <v>27</v>
      </c>
    </row>
    <row r="3150" spans="1:16" hidden="1" x14ac:dyDescent="0.25">
      <c r="A3150" s="3" t="s">
        <v>2763</v>
      </c>
      <c r="B3150" t="s">
        <v>3192</v>
      </c>
      <c r="C3150" t="s">
        <v>3193</v>
      </c>
      <c r="D3150" t="s">
        <v>26</v>
      </c>
      <c r="E3150" t="s">
        <v>42</v>
      </c>
      <c r="F3150">
        <v>1</v>
      </c>
      <c r="G3150" s="3" t="s">
        <v>4</v>
      </c>
      <c r="H3150" s="51" t="s">
        <v>15</v>
      </c>
      <c r="I3150" s="17">
        <v>29400</v>
      </c>
      <c r="J3150" s="17">
        <f>IF(Gastos[[#This Row],[Divisa]]="$", I3150*1, IF(Gastos[[#This Row],[Divisa]]="U$D", I3150*$N$1, IF(Gastos[[#This Row],[Divisa]]="EUR", I3150*$N$2, 0)))</f>
        <v>29400</v>
      </c>
      <c r="K3150" s="61">
        <f>Gastos[[#This Row],[Importe AR$]]/$N$1</f>
        <v>19.405940594059405</v>
      </c>
      <c r="M3150" s="76"/>
      <c r="N3150" s="50" t="str">
        <f>IF(Gastos[[#This Row],[Fecha_Cheque]]&gt;0,WEEKNUM(Gastos[[#This Row],[Fecha_Cheque]]),MID(Gastos[[#This Row],[Semana]],6,2))</f>
        <v>23</v>
      </c>
      <c r="O3150" t="s">
        <v>3194</v>
      </c>
      <c r="P3150" t="s">
        <v>27</v>
      </c>
    </row>
    <row r="3151" spans="1:16" hidden="1" x14ac:dyDescent="0.25">
      <c r="A3151" s="3" t="s">
        <v>2763</v>
      </c>
      <c r="B3151" t="s">
        <v>3192</v>
      </c>
      <c r="C3151" t="s">
        <v>3193</v>
      </c>
      <c r="D3151" t="s">
        <v>26</v>
      </c>
      <c r="E3151" t="s">
        <v>42</v>
      </c>
      <c r="F3151">
        <v>1</v>
      </c>
      <c r="G3151" s="3" t="s">
        <v>4</v>
      </c>
      <c r="H3151" s="51" t="s">
        <v>15</v>
      </c>
      <c r="I3151" s="17">
        <v>18750</v>
      </c>
      <c r="J3151" s="17">
        <f>IF(Gastos[[#This Row],[Divisa]]="$", I3151*1, IF(Gastos[[#This Row],[Divisa]]="U$D", I3151*$N$1, IF(Gastos[[#This Row],[Divisa]]="EUR", I3151*$N$2, 0)))</f>
        <v>18750</v>
      </c>
      <c r="K3151" s="61">
        <f>Gastos[[#This Row],[Importe AR$]]/$N$1</f>
        <v>12.376237623762377</v>
      </c>
      <c r="M3151" s="76"/>
      <c r="N3151" s="50" t="str">
        <f>IF(Gastos[[#This Row],[Fecha_Cheque]]&gt;0,WEEKNUM(Gastos[[#This Row],[Fecha_Cheque]]),MID(Gastos[[#This Row],[Semana]],6,2))</f>
        <v>23</v>
      </c>
      <c r="O3151" t="s">
        <v>3195</v>
      </c>
      <c r="P3151" t="s">
        <v>27</v>
      </c>
    </row>
    <row r="3152" spans="1:16" hidden="1" x14ac:dyDescent="0.25">
      <c r="A3152" s="3" t="s">
        <v>3842</v>
      </c>
      <c r="B3152" t="s">
        <v>2728</v>
      </c>
      <c r="C3152" t="s">
        <v>3632</v>
      </c>
      <c r="D3152" t="s">
        <v>26</v>
      </c>
      <c r="E3152" t="s">
        <v>42</v>
      </c>
      <c r="F3152">
        <v>2</v>
      </c>
      <c r="G3152" s="3" t="s">
        <v>4</v>
      </c>
      <c r="H3152" s="51" t="s">
        <v>15</v>
      </c>
      <c r="I3152" s="17">
        <v>500000</v>
      </c>
      <c r="J3152" s="17">
        <f>IF(Gastos[[#This Row],[Divisa]]="$", I3152*1, IF(Gastos[[#This Row],[Divisa]]="U$D", I3152*$N$1, IF(Gastos[[#This Row],[Divisa]]="EUR", I3152*$N$2, 0)))</f>
        <v>500000</v>
      </c>
      <c r="K3152" s="61">
        <f>Gastos[[#This Row],[Importe AR$]]/$N$1</f>
        <v>330.03300330033005</v>
      </c>
      <c r="M3152" s="76"/>
      <c r="N3152" s="50" t="str">
        <f>IF(Gastos[[#This Row],[Fecha_Cheque]]&gt;0,WEEKNUM(Gastos[[#This Row],[Fecha_Cheque]]),MID(Gastos[[#This Row],[Semana]],6,2))</f>
        <v>30</v>
      </c>
      <c r="O3152" t="s">
        <v>3905</v>
      </c>
      <c r="P3152" t="s">
        <v>27</v>
      </c>
    </row>
    <row r="3153" spans="1:16" hidden="1" x14ac:dyDescent="0.25">
      <c r="A3153" s="3" t="s">
        <v>3907</v>
      </c>
      <c r="B3153" t="s">
        <v>156</v>
      </c>
      <c r="C3153" t="s">
        <v>3962</v>
      </c>
      <c r="D3153" t="s">
        <v>26</v>
      </c>
      <c r="E3153" t="s">
        <v>42</v>
      </c>
      <c r="F3153">
        <v>1</v>
      </c>
      <c r="G3153" s="3" t="s">
        <v>4</v>
      </c>
      <c r="H3153" s="51" t="s">
        <v>15</v>
      </c>
      <c r="I3153" s="17">
        <v>100000</v>
      </c>
      <c r="J3153" s="17">
        <f>IF(Gastos[[#This Row],[Divisa]]="$", I3153*1, IF(Gastos[[#This Row],[Divisa]]="U$D", I3153*$N$1, IF(Gastos[[#This Row],[Divisa]]="EUR", I3153*$N$2, 0)))</f>
        <v>100000</v>
      </c>
      <c r="K3153" s="61">
        <f>Gastos[[#This Row],[Importe AR$]]/$N$1</f>
        <v>66.006600660066013</v>
      </c>
      <c r="M3153" s="76"/>
      <c r="N3153" s="50" t="str">
        <f>IF(Gastos[[#This Row],[Fecha_Cheque]]&gt;0,WEEKNUM(Gastos[[#This Row],[Fecha_Cheque]]),MID(Gastos[[#This Row],[Semana]],6,2))</f>
        <v>31</v>
      </c>
      <c r="O3153" t="s">
        <v>3963</v>
      </c>
      <c r="P3153" t="s">
        <v>27</v>
      </c>
    </row>
    <row r="3154" spans="1:16" hidden="1" x14ac:dyDescent="0.25">
      <c r="A3154" s="3" t="s">
        <v>2763</v>
      </c>
      <c r="B3154" t="s">
        <v>804</v>
      </c>
      <c r="C3154" t="s">
        <v>814</v>
      </c>
      <c r="D3154" t="s">
        <v>26</v>
      </c>
      <c r="E3154" t="s">
        <v>91</v>
      </c>
      <c r="F3154">
        <v>1</v>
      </c>
      <c r="G3154" s="3" t="s">
        <v>32</v>
      </c>
      <c r="H3154" s="51" t="s">
        <v>15</v>
      </c>
      <c r="I3154" s="17">
        <v>11683166.67</v>
      </c>
      <c r="J3154" s="17">
        <f>IF(Gastos[[#This Row],[Divisa]]="$", I3154*1, IF(Gastos[[#This Row],[Divisa]]="U$D", I3154*$N$1, IF(Gastos[[#This Row],[Divisa]]="EUR", I3154*$N$2, 0)))</f>
        <v>11683166.67</v>
      </c>
      <c r="K3154" s="61">
        <f>Gastos[[#This Row],[Importe AR$]]/$N$1</f>
        <v>7711.6611683168312</v>
      </c>
      <c r="M3154" s="76">
        <v>46193</v>
      </c>
      <c r="N3154" s="50">
        <f>IF(Gastos[[#This Row],[Fecha_Cheque]]&gt;0,WEEKNUM(Gastos[[#This Row],[Fecha_Cheque]]),MID(Gastos[[#This Row],[Semana]],6,2))</f>
        <v>25</v>
      </c>
      <c r="O3154" t="s">
        <v>3197</v>
      </c>
      <c r="P3154" t="s">
        <v>27</v>
      </c>
    </row>
    <row r="3155" spans="1:16" hidden="1" x14ac:dyDescent="0.25">
      <c r="A3155" s="3" t="s">
        <v>2763</v>
      </c>
      <c r="B3155" t="s">
        <v>804</v>
      </c>
      <c r="C3155" t="s">
        <v>814</v>
      </c>
      <c r="D3155" t="s">
        <v>26</v>
      </c>
      <c r="E3155" t="s">
        <v>91</v>
      </c>
      <c r="F3155">
        <v>1</v>
      </c>
      <c r="G3155" s="3" t="s">
        <v>32</v>
      </c>
      <c r="H3155" s="51" t="s">
        <v>15</v>
      </c>
      <c r="I3155" s="17">
        <v>11683166.67</v>
      </c>
      <c r="J3155" s="17">
        <f>IF(Gastos[[#This Row],[Divisa]]="$", I3155*1, IF(Gastos[[#This Row],[Divisa]]="U$D", I3155*$N$1, IF(Gastos[[#This Row],[Divisa]]="EUR", I3155*$N$2, 0)))</f>
        <v>11683166.67</v>
      </c>
      <c r="K3155" s="61">
        <f>Gastos[[#This Row],[Importe AR$]]/$N$1</f>
        <v>7711.6611683168312</v>
      </c>
      <c r="M3155" s="76">
        <v>46216</v>
      </c>
      <c r="N3155" s="50">
        <f>IF(Gastos[[#This Row],[Fecha_Cheque]]&gt;0,WEEKNUM(Gastos[[#This Row],[Fecha_Cheque]]),MID(Gastos[[#This Row],[Semana]],6,2))</f>
        <v>29</v>
      </c>
      <c r="O3155" t="s">
        <v>3197</v>
      </c>
      <c r="P3155" t="s">
        <v>27</v>
      </c>
    </row>
    <row r="3156" spans="1:16" hidden="1" x14ac:dyDescent="0.25">
      <c r="A3156" s="3" t="s">
        <v>2763</v>
      </c>
      <c r="B3156" t="s">
        <v>804</v>
      </c>
      <c r="C3156" t="s">
        <v>814</v>
      </c>
      <c r="D3156" t="s">
        <v>26</v>
      </c>
      <c r="E3156" t="s">
        <v>91</v>
      </c>
      <c r="F3156">
        <v>1</v>
      </c>
      <c r="G3156" s="3" t="s">
        <v>32</v>
      </c>
      <c r="H3156" s="51" t="s">
        <v>15</v>
      </c>
      <c r="I3156" s="17">
        <v>11683166.67</v>
      </c>
      <c r="J3156" s="17">
        <f>IF(Gastos[[#This Row],[Divisa]]="$", I3156*1, IF(Gastos[[#This Row],[Divisa]]="U$D", I3156*$N$1, IF(Gastos[[#This Row],[Divisa]]="EUR", I3156*$N$2, 0)))</f>
        <v>11683166.67</v>
      </c>
      <c r="K3156" s="61">
        <f>Gastos[[#This Row],[Importe AR$]]/$N$1</f>
        <v>7711.6611683168312</v>
      </c>
      <c r="M3156" s="76">
        <v>46224</v>
      </c>
      <c r="N3156" s="50">
        <f>IF(Gastos[[#This Row],[Fecha_Cheque]]&gt;0,WEEKNUM(Gastos[[#This Row],[Fecha_Cheque]]),MID(Gastos[[#This Row],[Semana]],6,2))</f>
        <v>30</v>
      </c>
      <c r="O3156" t="s">
        <v>3197</v>
      </c>
      <c r="P3156" t="s">
        <v>27</v>
      </c>
    </row>
    <row r="3157" spans="1:16" hidden="1" x14ac:dyDescent="0.25">
      <c r="A3157" s="3" t="s">
        <v>2841</v>
      </c>
      <c r="B3157" t="s">
        <v>1314</v>
      </c>
      <c r="C3157" t="s">
        <v>3198</v>
      </c>
      <c r="D3157" t="s">
        <v>26</v>
      </c>
      <c r="E3157" t="s">
        <v>31</v>
      </c>
      <c r="F3157">
        <v>1</v>
      </c>
      <c r="G3157" s="3" t="s">
        <v>32</v>
      </c>
      <c r="H3157" s="51" t="s">
        <v>15</v>
      </c>
      <c r="I3157" s="17">
        <v>1098861.3600000001</v>
      </c>
      <c r="J3157" s="17">
        <f>IF(Gastos[[#This Row],[Divisa]]="$", I3157*1, IF(Gastos[[#This Row],[Divisa]]="U$D", I3157*$N$1, IF(Gastos[[#This Row],[Divisa]]="EUR", I3157*$N$2, 0)))</f>
        <v>1098861.3600000001</v>
      </c>
      <c r="K3157" s="61">
        <f>Gastos[[#This Row],[Importe AR$]]/$N$1</f>
        <v>725.32102970297035</v>
      </c>
      <c r="M3157" s="76">
        <v>46176</v>
      </c>
      <c r="N3157" s="50">
        <f>IF(Gastos[[#This Row],[Fecha_Cheque]]&gt;0,WEEKNUM(Gastos[[#This Row],[Fecha_Cheque]]),MID(Gastos[[#This Row],[Semana]],6,2))</f>
        <v>23</v>
      </c>
      <c r="O3157" t="s">
        <v>3199</v>
      </c>
      <c r="P3157" t="s">
        <v>27</v>
      </c>
    </row>
    <row r="3158" spans="1:16" hidden="1" x14ac:dyDescent="0.25">
      <c r="A3158" s="3" t="s">
        <v>2792</v>
      </c>
      <c r="B3158" t="s">
        <v>2908</v>
      </c>
      <c r="C3158" t="s">
        <v>1948</v>
      </c>
      <c r="D3158" t="s">
        <v>26</v>
      </c>
      <c r="E3158" t="s">
        <v>42</v>
      </c>
      <c r="F3158">
        <v>1</v>
      </c>
      <c r="G3158" s="3" t="s">
        <v>4</v>
      </c>
      <c r="H3158" s="51" t="s">
        <v>15</v>
      </c>
      <c r="I3158" s="17">
        <v>211451.5</v>
      </c>
      <c r="J3158" s="17">
        <f>IF(Gastos[[#This Row],[Divisa]]="$", I3158*1, IF(Gastos[[#This Row],[Divisa]]="U$D", I3158*$N$1, IF(Gastos[[#This Row],[Divisa]]="EUR", I3158*$N$2, 0)))</f>
        <v>211451.5</v>
      </c>
      <c r="K3158" s="61">
        <f>Gastos[[#This Row],[Importe AR$]]/$N$1</f>
        <v>139.57194719471948</v>
      </c>
      <c r="M3158" s="76"/>
      <c r="N3158" s="50" t="str">
        <f>IF(Gastos[[#This Row],[Fecha_Cheque]]&gt;0,WEEKNUM(Gastos[[#This Row],[Fecha_Cheque]]),MID(Gastos[[#This Row],[Semana]],6,2))</f>
        <v>21</v>
      </c>
      <c r="O3158" t="s">
        <v>3200</v>
      </c>
      <c r="P3158" t="s">
        <v>27</v>
      </c>
    </row>
    <row r="3159" spans="1:16" hidden="1" x14ac:dyDescent="0.25">
      <c r="A3159" s="3" t="s">
        <v>2841</v>
      </c>
      <c r="B3159" t="s">
        <v>1314</v>
      </c>
      <c r="C3159" t="s">
        <v>3198</v>
      </c>
      <c r="D3159" t="s">
        <v>26</v>
      </c>
      <c r="E3159" t="s">
        <v>31</v>
      </c>
      <c r="F3159">
        <v>1</v>
      </c>
      <c r="G3159" s="3" t="s">
        <v>32</v>
      </c>
      <c r="H3159" s="51" t="s">
        <v>15</v>
      </c>
      <c r="I3159" s="17">
        <v>17102.28</v>
      </c>
      <c r="J3159" s="17">
        <f>IF(Gastos[[#This Row],[Divisa]]="$", I3159*1, IF(Gastos[[#This Row],[Divisa]]="U$D", I3159*$N$1, IF(Gastos[[#This Row],[Divisa]]="EUR", I3159*$N$2, 0)))</f>
        <v>17102.28</v>
      </c>
      <c r="K3159" s="61">
        <f>Gastos[[#This Row],[Importe AR$]]/$N$1</f>
        <v>11.288633663366335</v>
      </c>
      <c r="L3159" t="s">
        <v>340</v>
      </c>
      <c r="M3159" s="76"/>
      <c r="N3159" s="50" t="str">
        <f>IF(Gastos[[#This Row],[Fecha_Cheque]]&gt;0,WEEKNUM(Gastos[[#This Row],[Fecha_Cheque]]),MID(Gastos[[#This Row],[Semana]],6,2))</f>
        <v>22</v>
      </c>
      <c r="O3159" t="s">
        <v>3199</v>
      </c>
      <c r="P3159" t="s">
        <v>27</v>
      </c>
    </row>
    <row r="3160" spans="1:16" hidden="1" x14ac:dyDescent="0.25">
      <c r="A3160" s="3" t="s">
        <v>2763</v>
      </c>
      <c r="B3160" t="s">
        <v>804</v>
      </c>
      <c r="C3160" t="s">
        <v>814</v>
      </c>
      <c r="D3160" t="s">
        <v>26</v>
      </c>
      <c r="E3160" t="s">
        <v>91</v>
      </c>
      <c r="F3160">
        <v>1</v>
      </c>
      <c r="G3160" s="3" t="s">
        <v>32</v>
      </c>
      <c r="H3160" s="51" t="s">
        <v>15</v>
      </c>
      <c r="I3160" s="17">
        <v>11683166.67</v>
      </c>
      <c r="J3160" s="17">
        <f>IF(Gastos[[#This Row],[Divisa]]="$", I3160*1, IF(Gastos[[#This Row],[Divisa]]="U$D", I3160*$N$1, IF(Gastos[[#This Row],[Divisa]]="EUR", I3160*$N$2, 0)))</f>
        <v>11683166.67</v>
      </c>
      <c r="K3160" s="61">
        <f>Gastos[[#This Row],[Importe AR$]]/$N$1</f>
        <v>7711.6611683168312</v>
      </c>
      <c r="M3160" s="76">
        <v>46234</v>
      </c>
      <c r="N3160" s="50">
        <f>IF(Gastos[[#This Row],[Fecha_Cheque]]&gt;0,WEEKNUM(Gastos[[#This Row],[Fecha_Cheque]]),MID(Gastos[[#This Row],[Semana]],6,2))</f>
        <v>31</v>
      </c>
      <c r="O3160" t="s">
        <v>3197</v>
      </c>
      <c r="P3160" t="s">
        <v>27</v>
      </c>
    </row>
    <row r="3161" spans="1:16" hidden="1" x14ac:dyDescent="0.25">
      <c r="A3161" s="3" t="s">
        <v>2792</v>
      </c>
      <c r="B3161" t="s">
        <v>1571</v>
      </c>
      <c r="C3161" t="s">
        <v>3201</v>
      </c>
      <c r="D3161" t="s">
        <v>26</v>
      </c>
      <c r="E3161" t="s">
        <v>42</v>
      </c>
      <c r="F3161">
        <v>1</v>
      </c>
      <c r="G3161" s="3" t="s">
        <v>4</v>
      </c>
      <c r="H3161" s="51" t="s">
        <v>15</v>
      </c>
      <c r="I3161" s="17">
        <v>60000</v>
      </c>
      <c r="J3161" s="17">
        <f>IF(Gastos[[#This Row],[Divisa]]="$", I3161*1, IF(Gastos[[#This Row],[Divisa]]="U$D", I3161*$N$1, IF(Gastos[[#This Row],[Divisa]]="EUR", I3161*$N$2, 0)))</f>
        <v>60000</v>
      </c>
      <c r="K3161" s="61">
        <f>Gastos[[#This Row],[Importe AR$]]/$N$1</f>
        <v>39.603960396039604</v>
      </c>
      <c r="M3161" s="76"/>
      <c r="N3161" s="50" t="str">
        <f>IF(Gastos[[#This Row],[Fecha_Cheque]]&gt;0,WEEKNUM(Gastos[[#This Row],[Fecha_Cheque]]),MID(Gastos[[#This Row],[Semana]],6,2))</f>
        <v>21</v>
      </c>
      <c r="O3161" t="s">
        <v>3202</v>
      </c>
      <c r="P3161" t="s">
        <v>27</v>
      </c>
    </row>
    <row r="3162" spans="1:16" hidden="1" x14ac:dyDescent="0.25">
      <c r="A3162" s="3" t="s">
        <v>2763</v>
      </c>
      <c r="B3162" t="s">
        <v>804</v>
      </c>
      <c r="C3162" t="s">
        <v>814</v>
      </c>
      <c r="D3162" t="s">
        <v>26</v>
      </c>
      <c r="E3162" t="s">
        <v>91</v>
      </c>
      <c r="F3162">
        <v>1</v>
      </c>
      <c r="G3162" s="3" t="s">
        <v>32</v>
      </c>
      <c r="H3162" s="51" t="s">
        <v>15</v>
      </c>
      <c r="I3162" s="17">
        <v>11683166.67</v>
      </c>
      <c r="J3162" s="17">
        <f>IF(Gastos[[#This Row],[Divisa]]="$", I3162*1, IF(Gastos[[#This Row],[Divisa]]="U$D", I3162*$N$1, IF(Gastos[[#This Row],[Divisa]]="EUR", I3162*$N$2, 0)))</f>
        <v>11683166.67</v>
      </c>
      <c r="K3162" s="61">
        <f>Gastos[[#This Row],[Importe AR$]]/$N$1</f>
        <v>7711.6611683168312</v>
      </c>
      <c r="M3162" s="76">
        <v>46241</v>
      </c>
      <c r="N3162" s="50">
        <f>IF(Gastos[[#This Row],[Fecha_Cheque]]&gt;0,WEEKNUM(Gastos[[#This Row],[Fecha_Cheque]]),MID(Gastos[[#This Row],[Semana]],6,2))</f>
        <v>32</v>
      </c>
      <c r="O3162" t="s">
        <v>3197</v>
      </c>
      <c r="P3162" t="s">
        <v>27</v>
      </c>
    </row>
    <row r="3163" spans="1:16" hidden="1" x14ac:dyDescent="0.25">
      <c r="A3163" s="3" t="s">
        <v>2804</v>
      </c>
      <c r="B3163" t="s">
        <v>2305</v>
      </c>
      <c r="C3163" t="s">
        <v>2306</v>
      </c>
      <c r="D3163" t="s">
        <v>26</v>
      </c>
      <c r="E3163" t="s">
        <v>62</v>
      </c>
      <c r="F3163">
        <v>1</v>
      </c>
      <c r="G3163" s="3" t="s">
        <v>5</v>
      </c>
      <c r="H3163" s="53" t="s">
        <v>15</v>
      </c>
      <c r="I3163" s="17">
        <v>1874781.77</v>
      </c>
      <c r="J3163" s="17">
        <f>IF(Gastos[[#This Row],[Divisa]]="$", I3163*1, IF(Gastos[[#This Row],[Divisa]]="U$D", I3163*$N$1, IF(Gastos[[#This Row],[Divisa]]="EUR", I3163*$N$2, 0)))</f>
        <v>1874781.77</v>
      </c>
      <c r="K3163" s="61">
        <f>Gastos[[#This Row],[Importe AR$]]/$N$1</f>
        <v>1237.4797161716172</v>
      </c>
      <c r="M3163" s="76">
        <v>46183</v>
      </c>
      <c r="N3163" s="50">
        <f>IF(Gastos[[#This Row],[Fecha_Cheque]]&gt;0,WEEKNUM(Gastos[[#This Row],[Fecha_Cheque]]),MID(Gastos[[#This Row],[Semana]],6,2))</f>
        <v>24</v>
      </c>
      <c r="O3163" t="s">
        <v>3203</v>
      </c>
      <c r="P3163" t="s">
        <v>27</v>
      </c>
    </row>
    <row r="3164" spans="1:16" hidden="1" x14ac:dyDescent="0.25">
      <c r="A3164" s="3" t="s">
        <v>2804</v>
      </c>
      <c r="B3164" t="s">
        <v>2305</v>
      </c>
      <c r="C3164" t="s">
        <v>2306</v>
      </c>
      <c r="D3164" t="s">
        <v>26</v>
      </c>
      <c r="E3164" t="s">
        <v>62</v>
      </c>
      <c r="F3164">
        <v>1</v>
      </c>
      <c r="G3164" s="3" t="s">
        <v>5</v>
      </c>
      <c r="H3164" s="53" t="s">
        <v>15</v>
      </c>
      <c r="I3164" s="17">
        <v>29644.73</v>
      </c>
      <c r="J3164" s="17">
        <f>IF(Gastos[[#This Row],[Divisa]]="$", I3164*1, IF(Gastos[[#This Row],[Divisa]]="U$D", I3164*$N$1, IF(Gastos[[#This Row],[Divisa]]="EUR", I3164*$N$2, 0)))</f>
        <v>29644.73</v>
      </c>
      <c r="K3164" s="61">
        <f>Gastos[[#This Row],[Importe AR$]]/$N$1</f>
        <v>19.567478547854787</v>
      </c>
      <c r="L3164" t="s">
        <v>340</v>
      </c>
      <c r="M3164" s="76"/>
      <c r="N3164" s="50" t="str">
        <f>IF(Gastos[[#This Row],[Fecha_Cheque]]&gt;0,WEEKNUM(Gastos[[#This Row],[Fecha_Cheque]]),MID(Gastos[[#This Row],[Semana]],6,2))</f>
        <v>19</v>
      </c>
      <c r="O3164" t="s">
        <v>3203</v>
      </c>
      <c r="P3164" t="s">
        <v>27</v>
      </c>
    </row>
    <row r="3165" spans="1:16" hidden="1" x14ac:dyDescent="0.25">
      <c r="A3165" s="3" t="s">
        <v>2773</v>
      </c>
      <c r="B3165" t="s">
        <v>1832</v>
      </c>
      <c r="C3165" t="s">
        <v>2819</v>
      </c>
      <c r="D3165" t="s">
        <v>26</v>
      </c>
      <c r="E3165" t="s">
        <v>42</v>
      </c>
      <c r="F3165">
        <v>1</v>
      </c>
      <c r="G3165" s="3" t="s">
        <v>4</v>
      </c>
      <c r="H3165" s="51" t="s">
        <v>15</v>
      </c>
      <c r="I3165" s="17">
        <v>18000</v>
      </c>
      <c r="J3165" s="17">
        <f>IF(Gastos[[#This Row],[Divisa]]="$", I3165*1, IF(Gastos[[#This Row],[Divisa]]="U$D", I3165*$N$1, IF(Gastos[[#This Row],[Divisa]]="EUR", I3165*$N$2, 0)))</f>
        <v>18000</v>
      </c>
      <c r="K3165" s="61">
        <f>Gastos[[#This Row],[Importe AR$]]/$N$1</f>
        <v>11.881188118811881</v>
      </c>
      <c r="M3165" s="76"/>
      <c r="N3165" s="50" t="str">
        <f>IF(Gastos[[#This Row],[Fecha_Cheque]]&gt;0,WEEKNUM(Gastos[[#This Row],[Fecha_Cheque]]),MID(Gastos[[#This Row],[Semana]],6,2))</f>
        <v>20</v>
      </c>
      <c r="O3165" t="s">
        <v>3204</v>
      </c>
      <c r="P3165" t="s">
        <v>27</v>
      </c>
    </row>
    <row r="3166" spans="1:16" hidden="1" x14ac:dyDescent="0.25">
      <c r="A3166" s="3" t="s">
        <v>2841</v>
      </c>
      <c r="B3166" t="s">
        <v>1347</v>
      </c>
      <c r="C3166" t="s">
        <v>2096</v>
      </c>
      <c r="D3166" t="s">
        <v>26</v>
      </c>
      <c r="E3166" t="s">
        <v>62</v>
      </c>
      <c r="F3166">
        <v>1</v>
      </c>
      <c r="G3166" s="3" t="s">
        <v>32</v>
      </c>
      <c r="H3166" s="51" t="s">
        <v>15</v>
      </c>
      <c r="I3166" s="17">
        <v>4000000</v>
      </c>
      <c r="J3166" s="17">
        <f>IF(Gastos[[#This Row],[Divisa]]="$", I3166*1, IF(Gastos[[#This Row],[Divisa]]="U$D", I3166*$N$1, IF(Gastos[[#This Row],[Divisa]]="EUR", I3166*$N$2, 0)))</f>
        <v>4000000</v>
      </c>
      <c r="K3166" s="61">
        <f>Gastos[[#This Row],[Importe AR$]]/$N$1</f>
        <v>2640.2640264026404</v>
      </c>
      <c r="M3166" s="76">
        <v>46200</v>
      </c>
      <c r="N3166" s="50">
        <f>IF(Gastos[[#This Row],[Fecha_Cheque]]&gt;0,WEEKNUM(Gastos[[#This Row],[Fecha_Cheque]]),MID(Gastos[[#This Row],[Semana]],6,2))</f>
        <v>26</v>
      </c>
      <c r="O3166" t="s">
        <v>3205</v>
      </c>
      <c r="P3166" t="s">
        <v>27</v>
      </c>
    </row>
    <row r="3167" spans="1:16" hidden="1" x14ac:dyDescent="0.25">
      <c r="A3167" s="3" t="s">
        <v>2792</v>
      </c>
      <c r="B3167" t="s">
        <v>1580</v>
      </c>
      <c r="C3167" t="s">
        <v>3206</v>
      </c>
      <c r="D3167" t="s">
        <v>26</v>
      </c>
      <c r="E3167" t="s">
        <v>42</v>
      </c>
      <c r="F3167">
        <v>2</v>
      </c>
      <c r="G3167" s="3" t="s">
        <v>32</v>
      </c>
      <c r="H3167" s="53" t="s">
        <v>15</v>
      </c>
      <c r="I3167" s="17">
        <v>617866</v>
      </c>
      <c r="J3167" s="56">
        <f>IF(Gastos[[#This Row],[Divisa]]="$", I3167*1, IF(Gastos[[#This Row],[Divisa]]="U$D", I3167*$N$1, IF(Gastos[[#This Row],[Divisa]]="EUR", I3167*$N$2, 0)))</f>
        <v>617866</v>
      </c>
      <c r="K3167" s="61">
        <f>Gastos[[#This Row],[Importe AR$]]/$N$1</f>
        <v>407.83234323432345</v>
      </c>
      <c r="M3167" s="76">
        <v>46193</v>
      </c>
      <c r="N3167" s="50">
        <f>IF(Gastos[[#This Row],[Fecha_Cheque]]&gt;0,WEEKNUM(Gastos[[#This Row],[Fecha_Cheque]]),MID(Gastos[[#This Row],[Semana]],6,2))</f>
        <v>25</v>
      </c>
      <c r="O3167" t="s">
        <v>3207</v>
      </c>
      <c r="P3167" t="s">
        <v>27</v>
      </c>
    </row>
    <row r="3168" spans="1:16" hidden="1" x14ac:dyDescent="0.25">
      <c r="A3168" s="3" t="s">
        <v>2804</v>
      </c>
      <c r="B3168" t="s">
        <v>2377</v>
      </c>
      <c r="C3168" t="s">
        <v>3208</v>
      </c>
      <c r="D3168" t="s">
        <v>26</v>
      </c>
      <c r="E3168" t="s">
        <v>62</v>
      </c>
      <c r="F3168">
        <v>1</v>
      </c>
      <c r="G3168" s="3" t="s">
        <v>32</v>
      </c>
      <c r="H3168" s="53" t="s">
        <v>15</v>
      </c>
      <c r="I3168" s="17">
        <v>3732890</v>
      </c>
      <c r="J3168" s="17">
        <f>IF(Gastos[[#This Row],[Divisa]]="$", I3168*1, IF(Gastos[[#This Row],[Divisa]]="U$D", I3168*$N$1, IF(Gastos[[#This Row],[Divisa]]="EUR", I3168*$N$2, 0)))</f>
        <v>3732890</v>
      </c>
      <c r="K3168" s="61">
        <f>Gastos[[#This Row],[Importe AR$]]/$N$1</f>
        <v>2463.953795379538</v>
      </c>
      <c r="M3168" s="76">
        <v>46191</v>
      </c>
      <c r="N3168" s="50">
        <f>IF(Gastos[[#This Row],[Fecha_Cheque]]&gt;0,WEEKNUM(Gastos[[#This Row],[Fecha_Cheque]]),MID(Gastos[[#This Row],[Semana]],6,2))</f>
        <v>25</v>
      </c>
      <c r="O3168" t="s">
        <v>3209</v>
      </c>
      <c r="P3168" t="s">
        <v>27</v>
      </c>
    </row>
    <row r="3169" spans="1:16" hidden="1" x14ac:dyDescent="0.25">
      <c r="A3169" s="3" t="s">
        <v>2773</v>
      </c>
      <c r="B3169" t="s">
        <v>1846</v>
      </c>
      <c r="C3169" t="s">
        <v>3210</v>
      </c>
      <c r="D3169" t="s">
        <v>26</v>
      </c>
      <c r="E3169" t="s">
        <v>42</v>
      </c>
      <c r="F3169">
        <v>1</v>
      </c>
      <c r="G3169" s="3" t="s">
        <v>4</v>
      </c>
      <c r="H3169" s="51" t="s">
        <v>15</v>
      </c>
      <c r="I3169" s="17">
        <v>44000</v>
      </c>
      <c r="J3169" s="17">
        <f>IF(Gastos[[#This Row],[Divisa]]="$", I3169*1, IF(Gastos[[#This Row],[Divisa]]="U$D", I3169*$N$1, IF(Gastos[[#This Row],[Divisa]]="EUR", I3169*$N$2, 0)))</f>
        <v>44000</v>
      </c>
      <c r="K3169" s="61">
        <f>Gastos[[#This Row],[Importe AR$]]/$N$1</f>
        <v>29.042904290429043</v>
      </c>
      <c r="M3169" s="76"/>
      <c r="N3169" s="50" t="str">
        <f>IF(Gastos[[#This Row],[Fecha_Cheque]]&gt;0,WEEKNUM(Gastos[[#This Row],[Fecha_Cheque]]),MID(Gastos[[#This Row],[Semana]],6,2))</f>
        <v>20</v>
      </c>
      <c r="O3169" t="s">
        <v>3211</v>
      </c>
      <c r="P3169" t="s">
        <v>27</v>
      </c>
    </row>
    <row r="3170" spans="1:16" hidden="1" x14ac:dyDescent="0.25">
      <c r="A3170" s="3" t="s">
        <v>2804</v>
      </c>
      <c r="B3170" t="s">
        <v>2377</v>
      </c>
      <c r="C3170" t="s">
        <v>3208</v>
      </c>
      <c r="D3170" t="s">
        <v>26</v>
      </c>
      <c r="E3170" t="s">
        <v>62</v>
      </c>
      <c r="F3170">
        <v>1</v>
      </c>
      <c r="G3170" s="3" t="s">
        <v>32</v>
      </c>
      <c r="H3170" s="53" t="s">
        <v>15</v>
      </c>
      <c r="I3170" s="17">
        <v>3732780</v>
      </c>
      <c r="J3170" s="17">
        <f>IF(Gastos[[#This Row],[Divisa]]="$", I3170*1, IF(Gastos[[#This Row],[Divisa]]="U$D", I3170*$N$1, IF(Gastos[[#This Row],[Divisa]]="EUR", I3170*$N$2, 0)))</f>
        <v>3732780</v>
      </c>
      <c r="K3170" s="61">
        <f>Gastos[[#This Row],[Importe AR$]]/$N$1</f>
        <v>2463.8811881188117</v>
      </c>
      <c r="M3170" s="76">
        <v>46206</v>
      </c>
      <c r="N3170" s="50">
        <f>IF(Gastos[[#This Row],[Fecha_Cheque]]&gt;0,WEEKNUM(Gastos[[#This Row],[Fecha_Cheque]]),MID(Gastos[[#This Row],[Semana]],6,2))</f>
        <v>27</v>
      </c>
      <c r="O3170" t="s">
        <v>3209</v>
      </c>
      <c r="P3170" t="s">
        <v>27</v>
      </c>
    </row>
    <row r="3171" spans="1:16" hidden="1" x14ac:dyDescent="0.25">
      <c r="A3171" s="3" t="s">
        <v>2804</v>
      </c>
      <c r="B3171" t="s">
        <v>2377</v>
      </c>
      <c r="C3171" t="s">
        <v>3208</v>
      </c>
      <c r="D3171" t="s">
        <v>26</v>
      </c>
      <c r="E3171" t="s">
        <v>62</v>
      </c>
      <c r="F3171">
        <v>1</v>
      </c>
      <c r="G3171" s="3" t="s">
        <v>32</v>
      </c>
      <c r="H3171" s="53" t="s">
        <v>15</v>
      </c>
      <c r="I3171" s="17">
        <v>120920</v>
      </c>
      <c r="J3171" s="17">
        <f>IF(Gastos[[#This Row],[Divisa]]="$", I3171*1, IF(Gastos[[#This Row],[Divisa]]="U$D", I3171*$N$1, IF(Gastos[[#This Row],[Divisa]]="EUR", I3171*$N$2, 0)))</f>
        <v>120920</v>
      </c>
      <c r="K3171" s="61">
        <f>Gastos[[#This Row],[Importe AR$]]/$N$1</f>
        <v>79.815181518151817</v>
      </c>
      <c r="L3171" t="s">
        <v>340</v>
      </c>
      <c r="M3171" s="76"/>
      <c r="N3171" s="50" t="str">
        <f>IF(Gastos[[#This Row],[Fecha_Cheque]]&gt;0,WEEKNUM(Gastos[[#This Row],[Fecha_Cheque]]),MID(Gastos[[#This Row],[Semana]],6,2))</f>
        <v>19</v>
      </c>
      <c r="O3171" t="s">
        <v>3209</v>
      </c>
      <c r="P3171" t="s">
        <v>27</v>
      </c>
    </row>
    <row r="3172" spans="1:16" hidden="1" x14ac:dyDescent="0.25">
      <c r="A3172" s="3" t="s">
        <v>2804</v>
      </c>
      <c r="B3172" t="s">
        <v>3212</v>
      </c>
      <c r="C3172" t="s">
        <v>3213</v>
      </c>
      <c r="D3172" t="s">
        <v>26</v>
      </c>
      <c r="E3172" t="s">
        <v>31</v>
      </c>
      <c r="F3172">
        <v>1</v>
      </c>
      <c r="G3172" s="3" t="s">
        <v>32</v>
      </c>
      <c r="H3172" s="51" t="s">
        <v>15</v>
      </c>
      <c r="I3172" s="17">
        <v>614232.06999999995</v>
      </c>
      <c r="J3172" s="17">
        <f>IF(Gastos[[#This Row],[Divisa]]="$", I3172*1, IF(Gastos[[#This Row],[Divisa]]="U$D", I3172*$N$1, IF(Gastos[[#This Row],[Divisa]]="EUR", I3172*$N$2, 0)))</f>
        <v>614232.06999999995</v>
      </c>
      <c r="K3172" s="61">
        <f>Gastos[[#This Row],[Importe AR$]]/$N$1</f>
        <v>405.43370957095703</v>
      </c>
      <c r="M3172" s="76">
        <v>46167</v>
      </c>
      <c r="N3172" s="50">
        <f>IF(Gastos[[#This Row],[Fecha_Cheque]]&gt;0,WEEKNUM(Gastos[[#This Row],[Fecha_Cheque]]),MID(Gastos[[#This Row],[Semana]],6,2))</f>
        <v>22</v>
      </c>
      <c r="O3172" t="s">
        <v>3214</v>
      </c>
      <c r="P3172" t="s">
        <v>27</v>
      </c>
    </row>
    <row r="3173" spans="1:16" hidden="1" x14ac:dyDescent="0.25">
      <c r="A3173" s="3" t="s">
        <v>2804</v>
      </c>
      <c r="B3173" t="s">
        <v>3212</v>
      </c>
      <c r="C3173" t="s">
        <v>3213</v>
      </c>
      <c r="D3173" t="s">
        <v>26</v>
      </c>
      <c r="E3173" t="s">
        <v>31</v>
      </c>
      <c r="F3173">
        <v>1</v>
      </c>
      <c r="G3173" s="3" t="s">
        <v>32</v>
      </c>
      <c r="H3173" s="51" t="s">
        <v>15</v>
      </c>
      <c r="I3173" s="17">
        <v>5767.93</v>
      </c>
      <c r="J3173" s="17">
        <f>IF(Gastos[[#This Row],[Divisa]]="$", I3173*1, IF(Gastos[[#This Row],[Divisa]]="U$D", I3173*$N$1, IF(Gastos[[#This Row],[Divisa]]="EUR", I3173*$N$2, 0)))</f>
        <v>5767.93</v>
      </c>
      <c r="K3173" s="61">
        <f>Gastos[[#This Row],[Importe AR$]]/$N$1</f>
        <v>3.8072145214521456</v>
      </c>
      <c r="L3173" t="s">
        <v>340</v>
      </c>
      <c r="M3173" s="76"/>
      <c r="N3173" s="50" t="str">
        <f>IF(Gastos[[#This Row],[Fecha_Cheque]]&gt;0,WEEKNUM(Gastos[[#This Row],[Fecha_Cheque]]),MID(Gastos[[#This Row],[Semana]],6,2))</f>
        <v>19</v>
      </c>
      <c r="O3173" t="s">
        <v>3214</v>
      </c>
      <c r="P3173" t="s">
        <v>27</v>
      </c>
    </row>
    <row r="3174" spans="1:16" hidden="1" x14ac:dyDescent="0.25">
      <c r="A3174" s="3" t="s">
        <v>2841</v>
      </c>
      <c r="B3174" t="s">
        <v>1347</v>
      </c>
      <c r="C3174" t="s">
        <v>2096</v>
      </c>
      <c r="D3174" t="s">
        <v>26</v>
      </c>
      <c r="E3174" t="s">
        <v>62</v>
      </c>
      <c r="F3174">
        <v>1</v>
      </c>
      <c r="G3174" s="3" t="s">
        <v>32</v>
      </c>
      <c r="H3174" s="51" t="s">
        <v>15</v>
      </c>
      <c r="I3174" s="17">
        <v>4000000</v>
      </c>
      <c r="J3174" s="17">
        <f>IF(Gastos[[#This Row],[Divisa]]="$", I3174*1, IF(Gastos[[#This Row],[Divisa]]="U$D", I3174*$N$1, IF(Gastos[[#This Row],[Divisa]]="EUR", I3174*$N$2, 0)))</f>
        <v>4000000</v>
      </c>
      <c r="K3174" s="61">
        <f>Gastos[[#This Row],[Importe AR$]]/$N$1</f>
        <v>2640.2640264026404</v>
      </c>
      <c r="M3174" s="76">
        <v>46230</v>
      </c>
      <c r="N3174" s="50">
        <f>IF(Gastos[[#This Row],[Fecha_Cheque]]&gt;0,WEEKNUM(Gastos[[#This Row],[Fecha_Cheque]]),MID(Gastos[[#This Row],[Semana]],6,2))</f>
        <v>31</v>
      </c>
      <c r="O3174" t="s">
        <v>3205</v>
      </c>
      <c r="P3174" t="s">
        <v>27</v>
      </c>
    </row>
    <row r="3175" spans="1:16" hidden="1" x14ac:dyDescent="0.25">
      <c r="A3175" s="3" t="s">
        <v>2773</v>
      </c>
      <c r="B3175" t="s">
        <v>1854</v>
      </c>
      <c r="C3175" t="s">
        <v>1867</v>
      </c>
      <c r="D3175" t="s">
        <v>26</v>
      </c>
      <c r="E3175" t="s">
        <v>62</v>
      </c>
      <c r="F3175">
        <v>2</v>
      </c>
      <c r="G3175" s="3" t="s">
        <v>32</v>
      </c>
      <c r="H3175" s="53" t="s">
        <v>15</v>
      </c>
      <c r="I3175" s="17">
        <v>600000</v>
      </c>
      <c r="J3175" s="17">
        <f>IF(Gastos[[#This Row],[Divisa]]="$", I3175*1, IF(Gastos[[#This Row],[Divisa]]="U$D", I3175*$N$1, IF(Gastos[[#This Row],[Divisa]]="EUR", I3175*$N$2, 0)))</f>
        <v>600000</v>
      </c>
      <c r="K3175" s="61">
        <f>Gastos[[#This Row],[Importe AR$]]/$N$1</f>
        <v>396.03960396039605</v>
      </c>
      <c r="M3175" s="76"/>
      <c r="N3175" s="50" t="str">
        <f>IF(Gastos[[#This Row],[Fecha_Cheque]]&gt;0,WEEKNUM(Gastos[[#This Row],[Fecha_Cheque]]),MID(Gastos[[#This Row],[Semana]],6,2))</f>
        <v>20</v>
      </c>
      <c r="O3175" t="s">
        <v>3215</v>
      </c>
      <c r="P3175" t="s">
        <v>27</v>
      </c>
    </row>
    <row r="3176" spans="1:16" hidden="1" x14ac:dyDescent="0.25">
      <c r="A3176" s="3" t="s">
        <v>2773</v>
      </c>
      <c r="B3176" t="s">
        <v>1854</v>
      </c>
      <c r="C3176" t="s">
        <v>1867</v>
      </c>
      <c r="D3176" t="s">
        <v>26</v>
      </c>
      <c r="E3176" t="s">
        <v>62</v>
      </c>
      <c r="F3176">
        <v>2</v>
      </c>
      <c r="G3176" s="3" t="s">
        <v>32</v>
      </c>
      <c r="H3176" s="53" t="s">
        <v>15</v>
      </c>
      <c r="I3176" s="17">
        <v>610000</v>
      </c>
      <c r="J3176" s="17">
        <f>IF(Gastos[[#This Row],[Divisa]]="$", I3176*1, IF(Gastos[[#This Row],[Divisa]]="U$D", I3176*$N$1, IF(Gastos[[#This Row],[Divisa]]="EUR", I3176*$N$2, 0)))</f>
        <v>610000</v>
      </c>
      <c r="K3176" s="61">
        <f>Gastos[[#This Row],[Importe AR$]]/$N$1</f>
        <v>402.64026402640263</v>
      </c>
      <c r="M3176" s="76"/>
      <c r="N3176" s="50" t="str">
        <f>IF(Gastos[[#This Row],[Fecha_Cheque]]&gt;0,WEEKNUM(Gastos[[#This Row],[Fecha_Cheque]]),MID(Gastos[[#This Row],[Semana]],6,2))</f>
        <v>20</v>
      </c>
      <c r="O3176" t="s">
        <v>3215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1867</v>
      </c>
      <c r="D3177" t="s">
        <v>26</v>
      </c>
      <c r="E3177" t="s">
        <v>62</v>
      </c>
      <c r="F3177">
        <v>2</v>
      </c>
      <c r="G3177" s="3" t="s">
        <v>32</v>
      </c>
      <c r="H3177" s="53" t="s">
        <v>15</v>
      </c>
      <c r="I3177" s="17">
        <v>2600000</v>
      </c>
      <c r="J3177" s="17">
        <f>IF(Gastos[[#This Row],[Divisa]]="$", I3177*1, IF(Gastos[[#This Row],[Divisa]]="U$D", I3177*$N$1, IF(Gastos[[#This Row],[Divisa]]="EUR", I3177*$N$2, 0)))</f>
        <v>2600000</v>
      </c>
      <c r="K3177" s="61">
        <f>Gastos[[#This Row],[Importe AR$]]/$N$1</f>
        <v>1716.1716171617161</v>
      </c>
      <c r="M3177" s="76"/>
      <c r="N3177" s="50" t="str">
        <f>IF(Gastos[[#This Row],[Fecha_Cheque]]&gt;0,WEEKNUM(Gastos[[#This Row],[Fecha_Cheque]]),MID(Gastos[[#This Row],[Semana]],6,2))</f>
        <v>20</v>
      </c>
      <c r="O3177" t="s">
        <v>3215</v>
      </c>
      <c r="P3177" t="s">
        <v>27</v>
      </c>
    </row>
    <row r="3178" spans="1:16" hidden="1" x14ac:dyDescent="0.25">
      <c r="A3178" s="3" t="s">
        <v>2841</v>
      </c>
      <c r="B3178" t="s">
        <v>1347</v>
      </c>
      <c r="C3178" t="s">
        <v>2096</v>
      </c>
      <c r="D3178" t="s">
        <v>26</v>
      </c>
      <c r="E3178" t="s">
        <v>62</v>
      </c>
      <c r="F3178">
        <v>1</v>
      </c>
      <c r="G3178" s="3" t="s">
        <v>32</v>
      </c>
      <c r="H3178" s="51" t="s">
        <v>15</v>
      </c>
      <c r="I3178" s="17">
        <v>4000000</v>
      </c>
      <c r="J3178" s="17">
        <f>IF(Gastos[[#This Row],[Divisa]]="$", I3178*1, IF(Gastos[[#This Row],[Divisa]]="U$D", I3178*$N$1, IF(Gastos[[#This Row],[Divisa]]="EUR", I3178*$N$2, 0)))</f>
        <v>4000000</v>
      </c>
      <c r="K3178" s="61">
        <f>Gastos[[#This Row],[Importe AR$]]/$N$1</f>
        <v>2640.2640264026404</v>
      </c>
      <c r="M3178" s="76">
        <v>46261</v>
      </c>
      <c r="N3178" s="50">
        <f>IF(Gastos[[#This Row],[Fecha_Cheque]]&gt;0,WEEKNUM(Gastos[[#This Row],[Fecha_Cheque]]),MID(Gastos[[#This Row],[Semana]],6,2))</f>
        <v>35</v>
      </c>
      <c r="O3178" t="s">
        <v>3205</v>
      </c>
      <c r="P3178" t="s">
        <v>27</v>
      </c>
    </row>
    <row r="3179" spans="1:16" hidden="1" x14ac:dyDescent="0.25">
      <c r="A3179" s="3" t="s">
        <v>2773</v>
      </c>
      <c r="B3179" t="s">
        <v>1854</v>
      </c>
      <c r="C3179" t="s">
        <v>2667</v>
      </c>
      <c r="D3179" t="s">
        <v>26</v>
      </c>
      <c r="E3179" t="s">
        <v>132</v>
      </c>
      <c r="F3179">
        <v>2</v>
      </c>
      <c r="G3179" s="3" t="s">
        <v>4</v>
      </c>
      <c r="H3179" s="51" t="s">
        <v>2</v>
      </c>
      <c r="I3179" s="17">
        <v>500</v>
      </c>
      <c r="J3179" s="17">
        <f>IF(Gastos[[#This Row],[Divisa]]="$", I3179*1, IF(Gastos[[#This Row],[Divisa]]="U$D", I3179*$N$1, IF(Gastos[[#This Row],[Divisa]]="EUR", I3179*$N$2, 0)))</f>
        <v>757500</v>
      </c>
      <c r="K3179" s="61">
        <f>Gastos[[#This Row],[Importe AR$]]/$N$1</f>
        <v>500</v>
      </c>
      <c r="M3179" s="76"/>
      <c r="N3179" s="50" t="str">
        <f>IF(Gastos[[#This Row],[Fecha_Cheque]]&gt;0,WEEKNUM(Gastos[[#This Row],[Fecha_Cheque]]),MID(Gastos[[#This Row],[Semana]],6,2))</f>
        <v>20</v>
      </c>
      <c r="O3179" t="s">
        <v>3216</v>
      </c>
      <c r="P3179" t="s">
        <v>27</v>
      </c>
    </row>
    <row r="3180" spans="1:16" hidden="1" x14ac:dyDescent="0.25">
      <c r="A3180" s="3" t="s">
        <v>2841</v>
      </c>
      <c r="B3180" t="s">
        <v>1347</v>
      </c>
      <c r="C3180" t="s">
        <v>2096</v>
      </c>
      <c r="D3180" t="s">
        <v>26</v>
      </c>
      <c r="E3180" t="s">
        <v>62</v>
      </c>
      <c r="F3180">
        <v>1</v>
      </c>
      <c r="G3180" s="3" t="s">
        <v>32</v>
      </c>
      <c r="H3180" s="51" t="s">
        <v>15</v>
      </c>
      <c r="I3180" s="17">
        <v>3508452.2</v>
      </c>
      <c r="J3180" s="17">
        <f>IF(Gastos[[#This Row],[Divisa]]="$", I3180*1, IF(Gastos[[#This Row],[Divisa]]="U$D", I3180*$N$1, IF(Gastos[[#This Row],[Divisa]]="EUR", I3180*$N$2, 0)))</f>
        <v>3508452.2</v>
      </c>
      <c r="K3180" s="61">
        <f>Gastos[[#This Row],[Importe AR$]]/$N$1</f>
        <v>2315.8100330033003</v>
      </c>
      <c r="M3180" s="76">
        <v>46292</v>
      </c>
      <c r="N3180" s="50">
        <f>IF(Gastos[[#This Row],[Fecha_Cheque]]&gt;0,WEEKNUM(Gastos[[#This Row],[Fecha_Cheque]]),MID(Gastos[[#This Row],[Semana]],6,2))</f>
        <v>40</v>
      </c>
      <c r="O3180" t="s">
        <v>3205</v>
      </c>
      <c r="P3180" t="s">
        <v>27</v>
      </c>
    </row>
    <row r="3181" spans="1:16" hidden="1" x14ac:dyDescent="0.25">
      <c r="A3181" s="3" t="s">
        <v>2841</v>
      </c>
      <c r="B3181" t="s">
        <v>1347</v>
      </c>
      <c r="C3181" t="s">
        <v>2096</v>
      </c>
      <c r="D3181" t="s">
        <v>26</v>
      </c>
      <c r="E3181" t="s">
        <v>62</v>
      </c>
      <c r="F3181">
        <v>1</v>
      </c>
      <c r="G3181" s="3" t="s">
        <v>32</v>
      </c>
      <c r="H3181" s="51" t="s">
        <v>15</v>
      </c>
      <c r="I3181" s="17">
        <v>261582.48</v>
      </c>
      <c r="J3181" s="17">
        <f>IF(Gastos[[#This Row],[Divisa]]="$", I3181*1, IF(Gastos[[#This Row],[Divisa]]="U$D", I3181*$N$1, IF(Gastos[[#This Row],[Divisa]]="EUR", I3181*$N$2, 0)))</f>
        <v>261582.48</v>
      </c>
      <c r="K3181" s="61">
        <f>Gastos[[#This Row],[Importe AR$]]/$N$1</f>
        <v>172.66170297029703</v>
      </c>
      <c r="L3181" t="s">
        <v>340</v>
      </c>
      <c r="M3181" s="76"/>
      <c r="N3181" s="50" t="str">
        <f>IF(Gastos[[#This Row],[Fecha_Cheque]]&gt;0,WEEKNUM(Gastos[[#This Row],[Fecha_Cheque]]),MID(Gastos[[#This Row],[Semana]],6,2))</f>
        <v>22</v>
      </c>
      <c r="O3181" t="s">
        <v>3205</v>
      </c>
      <c r="P3181" t="s">
        <v>27</v>
      </c>
    </row>
    <row r="3182" spans="1:16" hidden="1" x14ac:dyDescent="0.25">
      <c r="A3182" s="3" t="s">
        <v>2804</v>
      </c>
      <c r="B3182" t="s">
        <v>2508</v>
      </c>
      <c r="C3182" t="s">
        <v>2510</v>
      </c>
      <c r="D3182" t="s">
        <v>26</v>
      </c>
      <c r="E3182" t="s">
        <v>62</v>
      </c>
      <c r="F3182">
        <v>1</v>
      </c>
      <c r="G3182" s="3" t="s">
        <v>32</v>
      </c>
      <c r="H3182" s="53" t="s">
        <v>15</v>
      </c>
      <c r="I3182" s="17">
        <v>3048006.49</v>
      </c>
      <c r="J3182" s="17">
        <f>IF(Gastos[[#This Row],[Divisa]]="$", I3182*1, IF(Gastos[[#This Row],[Divisa]]="U$D", I3182*$N$1, IF(Gastos[[#This Row],[Divisa]]="EUR", I3182*$N$2, 0)))</f>
        <v>3048006.49</v>
      </c>
      <c r="K3182" s="61">
        <f>Gastos[[#This Row],[Importe AR$]]/$N$1</f>
        <v>2011.8854719471949</v>
      </c>
      <c r="M3182" s="76">
        <v>46178</v>
      </c>
      <c r="N3182" s="50">
        <f>IF(Gastos[[#This Row],[Fecha_Cheque]]&gt;0,WEEKNUM(Gastos[[#This Row],[Fecha_Cheque]]),MID(Gastos[[#This Row],[Semana]],6,2))</f>
        <v>23</v>
      </c>
      <c r="O3182" t="s">
        <v>3217</v>
      </c>
      <c r="P3182" t="s">
        <v>27</v>
      </c>
    </row>
    <row r="3183" spans="1:16" hidden="1" x14ac:dyDescent="0.25">
      <c r="A3183" s="3" t="s">
        <v>2804</v>
      </c>
      <c r="B3183" t="s">
        <v>2508</v>
      </c>
      <c r="C3183" t="s">
        <v>2510</v>
      </c>
      <c r="D3183" t="s">
        <v>26</v>
      </c>
      <c r="E3183" t="s">
        <v>62</v>
      </c>
      <c r="F3183">
        <v>1</v>
      </c>
      <c r="G3183" s="3" t="s">
        <v>32</v>
      </c>
      <c r="H3183" s="51" t="s">
        <v>15</v>
      </c>
      <c r="I3183" s="17">
        <v>49861.02</v>
      </c>
      <c r="J3183" s="17">
        <f>IF(Gastos[[#This Row],[Divisa]]="$", I3183*1, IF(Gastos[[#This Row],[Divisa]]="U$D", I3183*$N$1, IF(Gastos[[#This Row],[Divisa]]="EUR", I3183*$N$2, 0)))</f>
        <v>49861.02</v>
      </c>
      <c r="K3183" s="61">
        <f>Gastos[[#This Row],[Importe AR$]]/$N$1</f>
        <v>32.91156435643564</v>
      </c>
      <c r="L3183" t="s">
        <v>340</v>
      </c>
      <c r="M3183" s="76"/>
      <c r="N3183" s="50" t="str">
        <f>IF(Gastos[[#This Row],[Fecha_Cheque]]&gt;0,WEEKNUM(Gastos[[#This Row],[Fecha_Cheque]]),MID(Gastos[[#This Row],[Semana]],6,2))</f>
        <v>19</v>
      </c>
      <c r="O3183" t="s">
        <v>3217</v>
      </c>
      <c r="P3183" t="s">
        <v>27</v>
      </c>
    </row>
    <row r="3184" spans="1:16" hidden="1" x14ac:dyDescent="0.25">
      <c r="A3184" s="3" t="s">
        <v>2841</v>
      </c>
      <c r="B3184" t="s">
        <v>1347</v>
      </c>
      <c r="C3184" t="s">
        <v>125</v>
      </c>
      <c r="D3184" t="s">
        <v>26</v>
      </c>
      <c r="E3184" t="s">
        <v>31</v>
      </c>
      <c r="F3184">
        <v>1</v>
      </c>
      <c r="G3184" s="3" t="s">
        <v>5</v>
      </c>
      <c r="H3184" s="51" t="s">
        <v>15</v>
      </c>
      <c r="I3184" s="17">
        <v>1370166</v>
      </c>
      <c r="J3184" s="17">
        <f>IF(Gastos[[#This Row],[Divisa]]="$", I3184*1, IF(Gastos[[#This Row],[Divisa]]="U$D", I3184*$N$1, IF(Gastos[[#This Row],[Divisa]]="EUR", I3184*$N$2, 0)))</f>
        <v>1370166</v>
      </c>
      <c r="K3184" s="61">
        <f>Gastos[[#This Row],[Importe AR$]]/$N$1</f>
        <v>904.4</v>
      </c>
      <c r="M3184" s="76"/>
      <c r="N3184" s="50" t="str">
        <f>IF(Gastos[[#This Row],[Fecha_Cheque]]&gt;0,WEEKNUM(Gastos[[#This Row],[Fecha_Cheque]]),MID(Gastos[[#This Row],[Semana]],6,2))</f>
        <v>22</v>
      </c>
      <c r="O3184" t="s">
        <v>3218</v>
      </c>
      <c r="P3184" t="s">
        <v>27</v>
      </c>
    </row>
    <row r="3185" spans="1:16" hidden="1" x14ac:dyDescent="0.25">
      <c r="A3185" s="3" t="s">
        <v>2763</v>
      </c>
      <c r="B3185" t="s">
        <v>804</v>
      </c>
      <c r="C3185" t="s">
        <v>814</v>
      </c>
      <c r="D3185" t="s">
        <v>26</v>
      </c>
      <c r="E3185" t="s">
        <v>91</v>
      </c>
      <c r="F3185">
        <v>1</v>
      </c>
      <c r="G3185" s="3" t="s">
        <v>32</v>
      </c>
      <c r="H3185" s="51" t="s">
        <v>15</v>
      </c>
      <c r="I3185" s="17">
        <v>11683166.65</v>
      </c>
      <c r="J3185" s="17">
        <f>IF(Gastos[[#This Row],[Divisa]]="$", I3185*1, IF(Gastos[[#This Row],[Divisa]]="U$D", I3185*$N$1, IF(Gastos[[#This Row],[Divisa]]="EUR", I3185*$N$2, 0)))</f>
        <v>11683166.65</v>
      </c>
      <c r="K3185" s="61">
        <f>Gastos[[#This Row],[Importe AR$]]/$N$1</f>
        <v>7711.661155115512</v>
      </c>
      <c r="M3185" s="76">
        <v>46251</v>
      </c>
      <c r="N3185" s="50">
        <f>IF(Gastos[[#This Row],[Fecha_Cheque]]&gt;0,WEEKNUM(Gastos[[#This Row],[Fecha_Cheque]]),MID(Gastos[[#This Row],[Semana]],6,2))</f>
        <v>34</v>
      </c>
      <c r="O3185" t="s">
        <v>3197</v>
      </c>
      <c r="P3185" t="s">
        <v>27</v>
      </c>
    </row>
    <row r="3186" spans="1:16" x14ac:dyDescent="0.25">
      <c r="A3186" s="3" t="s">
        <v>3990</v>
      </c>
      <c r="B3186" t="s">
        <v>2922</v>
      </c>
      <c r="C3186" t="s">
        <v>3530</v>
      </c>
      <c r="D3186" t="s">
        <v>61</v>
      </c>
      <c r="E3186" t="s">
        <v>62</v>
      </c>
      <c r="F3186">
        <v>2</v>
      </c>
      <c r="G3186" s="3" t="s">
        <v>4</v>
      </c>
      <c r="H3186" s="51" t="s">
        <v>15</v>
      </c>
      <c r="I3186" s="17">
        <v>1000000</v>
      </c>
      <c r="J3186" s="17">
        <f>IF(Gastos[[#This Row],[Divisa]]="$", I3186*1, IF(Gastos[[#This Row],[Divisa]]="U$D", I3186*$N$1, IF(Gastos[[#This Row],[Divisa]]="EUR", I3186*$N$2, 0)))</f>
        <v>1000000</v>
      </c>
      <c r="K3186" s="61">
        <f>Gastos[[#This Row],[Importe AR$]]/$N$1</f>
        <v>660.0660066006601</v>
      </c>
      <c r="L3186" s="99"/>
      <c r="M3186" s="100"/>
      <c r="N3186" s="101" t="str">
        <f>IF(Gastos[[#This Row],[Fecha_Cheque]]&gt;0,WEEKNUM(Gastos[[#This Row],[Fecha_Cheque]]),MID(Gastos[[#This Row],[Semana]],6,2))</f>
        <v>32</v>
      </c>
      <c r="O3186" s="99"/>
      <c r="P3186" s="99" t="s">
        <v>3991</v>
      </c>
    </row>
    <row r="3187" spans="1:16" x14ac:dyDescent="0.25">
      <c r="A3187" s="3" t="s">
        <v>3990</v>
      </c>
      <c r="B3187" t="s">
        <v>2925</v>
      </c>
      <c r="C3187" t="s">
        <v>2926</v>
      </c>
      <c r="D3187" t="s">
        <v>26</v>
      </c>
      <c r="E3187" t="s">
        <v>62</v>
      </c>
      <c r="F3187">
        <v>1</v>
      </c>
      <c r="G3187" s="3" t="s">
        <v>32</v>
      </c>
      <c r="H3187" s="53" t="s">
        <v>3</v>
      </c>
      <c r="I3187" s="17">
        <v>4682.7</v>
      </c>
      <c r="J3187" s="17">
        <f>IF(Gastos[[#This Row],[Divisa]]="$", I3187*1, IF(Gastos[[#This Row],[Divisa]]="U$D", I3187*$N$1, IF(Gastos[[#This Row],[Divisa]]="EUR", I3187*$N$2, 0)))</f>
        <v>8288379</v>
      </c>
      <c r="K3187" s="61">
        <f>Gastos[[#This Row],[Importe AR$]]/$N$1</f>
        <v>5470.8772277227727</v>
      </c>
      <c r="M3187" s="76"/>
      <c r="N3187" s="50" t="str">
        <f>IF(Gastos[[#This Row],[Fecha_Cheque]]&gt;0,WEEKNUM(Gastos[[#This Row],[Fecha_Cheque]]),MID(Gastos[[#This Row],[Semana]],6,2))</f>
        <v>32</v>
      </c>
    </row>
    <row r="3188" spans="1:16" hidden="1" x14ac:dyDescent="0.25">
      <c r="A3188" s="3" t="s">
        <v>2804</v>
      </c>
      <c r="B3188" t="s">
        <v>2525</v>
      </c>
      <c r="C3188" t="s">
        <v>2527</v>
      </c>
      <c r="D3188" t="s">
        <v>26</v>
      </c>
      <c r="E3188" t="s">
        <v>31</v>
      </c>
      <c r="F3188">
        <v>1</v>
      </c>
      <c r="G3188" s="3" t="s">
        <v>32</v>
      </c>
      <c r="H3188" s="53" t="s">
        <v>15</v>
      </c>
      <c r="I3188" s="17">
        <v>5012987.83</v>
      </c>
      <c r="J3188" s="17">
        <f>IF(Gastos[[#This Row],[Divisa]]="$", I3188*1, IF(Gastos[[#This Row],[Divisa]]="U$D", I3188*$N$1, IF(Gastos[[#This Row],[Divisa]]="EUR", I3188*$N$2, 0)))</f>
        <v>5012987.83</v>
      </c>
      <c r="K3188" s="61">
        <f>Gastos[[#This Row],[Importe AR$]]/$N$1</f>
        <v>3308.9028580858085</v>
      </c>
      <c r="M3188" s="76">
        <v>46193</v>
      </c>
      <c r="N3188" s="50">
        <f>IF(Gastos[[#This Row],[Fecha_Cheque]]&gt;0,WEEKNUM(Gastos[[#This Row],[Fecha_Cheque]]),MID(Gastos[[#This Row],[Semana]],6,2))</f>
        <v>25</v>
      </c>
      <c r="O3188" t="s">
        <v>3219</v>
      </c>
      <c r="P3188" t="s">
        <v>27</v>
      </c>
    </row>
    <row r="3189" spans="1:16" hidden="1" x14ac:dyDescent="0.25">
      <c r="A3189" s="3" t="s">
        <v>2804</v>
      </c>
      <c r="B3189" t="s">
        <v>2525</v>
      </c>
      <c r="C3189" t="s">
        <v>2527</v>
      </c>
      <c r="D3189" t="s">
        <v>26</v>
      </c>
      <c r="E3189" t="s">
        <v>31</v>
      </c>
      <c r="F3189">
        <v>1</v>
      </c>
      <c r="G3189" s="3" t="s">
        <v>32</v>
      </c>
      <c r="H3189" s="53" t="s">
        <v>15</v>
      </c>
      <c r="I3189" s="17">
        <v>78379.3</v>
      </c>
      <c r="J3189" s="17">
        <f>IF(Gastos[[#This Row],[Divisa]]="$", I3189*1, IF(Gastos[[#This Row],[Divisa]]="U$D", I3189*$N$1, IF(Gastos[[#This Row],[Divisa]]="EUR", I3189*$N$2, 0)))</f>
        <v>78379.3</v>
      </c>
      <c r="K3189" s="61">
        <f>Gastos[[#This Row],[Importe AR$]]/$N$1</f>
        <v>51.73551155115512</v>
      </c>
      <c r="L3189" t="s">
        <v>340</v>
      </c>
      <c r="M3189" s="76"/>
      <c r="N3189" s="50" t="str">
        <f>IF(Gastos[[#This Row],[Fecha_Cheque]]&gt;0,WEEKNUM(Gastos[[#This Row],[Fecha_Cheque]]),MID(Gastos[[#This Row],[Semana]],6,2))</f>
        <v>19</v>
      </c>
      <c r="O3189" t="s">
        <v>3219</v>
      </c>
      <c r="P3189" t="s">
        <v>27</v>
      </c>
    </row>
    <row r="3190" spans="1:16" x14ac:dyDescent="0.25">
      <c r="A3190" s="3" t="s">
        <v>3990</v>
      </c>
      <c r="B3190" t="s">
        <v>2728</v>
      </c>
      <c r="C3190" t="s">
        <v>3936</v>
      </c>
      <c r="D3190" t="s">
        <v>26</v>
      </c>
      <c r="E3190" t="s">
        <v>62</v>
      </c>
      <c r="F3190">
        <v>2</v>
      </c>
      <c r="G3190" s="3" t="s">
        <v>4</v>
      </c>
      <c r="H3190" s="51" t="s">
        <v>15</v>
      </c>
      <c r="I3190" s="17">
        <v>1011000</v>
      </c>
      <c r="J3190" s="17">
        <f>IF(Gastos[[#This Row],[Divisa]]="$", I3190*1, IF(Gastos[[#This Row],[Divisa]]="U$D", I3190*$N$1, IF(Gastos[[#This Row],[Divisa]]="EUR", I3190*$N$2, 0)))</f>
        <v>1011000</v>
      </c>
      <c r="K3190" s="61">
        <f>Gastos[[#This Row],[Importe AR$]]/$N$1</f>
        <v>667.32673267326732</v>
      </c>
      <c r="M3190" s="76"/>
      <c r="N3190" s="50" t="str">
        <f>IF(Gastos[[#This Row],[Fecha_Cheque]]&gt;0,WEEKNUM(Gastos[[#This Row],[Fecha_Cheque]]),MID(Gastos[[#This Row],[Semana]],6,2))</f>
        <v>32</v>
      </c>
      <c r="P3190" t="s">
        <v>3991</v>
      </c>
    </row>
    <row r="3191" spans="1:16" hidden="1" x14ac:dyDescent="0.25">
      <c r="A3191" s="3" t="s">
        <v>2804</v>
      </c>
      <c r="B3191" t="s">
        <v>3220</v>
      </c>
      <c r="C3191" t="s">
        <v>2331</v>
      </c>
      <c r="D3191" t="s">
        <v>26</v>
      </c>
      <c r="E3191" t="s">
        <v>62</v>
      </c>
      <c r="F3191">
        <v>1</v>
      </c>
      <c r="G3191" s="3" t="s">
        <v>32</v>
      </c>
      <c r="H3191" s="51" t="s">
        <v>15</v>
      </c>
      <c r="I3191" s="17">
        <v>183902</v>
      </c>
      <c r="J3191" s="17">
        <f>IF(Gastos[[#This Row],[Divisa]]="$", I3191*1, IF(Gastos[[#This Row],[Divisa]]="U$D", I3191*$N$1, IF(Gastos[[#This Row],[Divisa]]="EUR", I3191*$N$2, 0)))</f>
        <v>183902</v>
      </c>
      <c r="K3191" s="61">
        <f>Gastos[[#This Row],[Importe AR$]]/$N$1</f>
        <v>121.38745874587458</v>
      </c>
      <c r="M3191" s="76">
        <v>46196</v>
      </c>
      <c r="N3191" s="50">
        <f>IF(Gastos[[#This Row],[Fecha_Cheque]]&gt;0,WEEKNUM(Gastos[[#This Row],[Fecha_Cheque]]),MID(Gastos[[#This Row],[Semana]],6,2))</f>
        <v>26</v>
      </c>
      <c r="O3191" t="s">
        <v>3221</v>
      </c>
      <c r="P3191" t="s">
        <v>27</v>
      </c>
    </row>
    <row r="3192" spans="1:16" hidden="1" x14ac:dyDescent="0.25">
      <c r="A3192" s="3" t="s">
        <v>2773</v>
      </c>
      <c r="B3192" t="s">
        <v>2860</v>
      </c>
      <c r="C3192" t="s">
        <v>3222</v>
      </c>
      <c r="D3192" t="s">
        <v>26</v>
      </c>
      <c r="E3192" t="s">
        <v>31</v>
      </c>
      <c r="F3192">
        <v>1</v>
      </c>
      <c r="G3192" s="3" t="s">
        <v>32</v>
      </c>
      <c r="H3192" s="51" t="s">
        <v>15</v>
      </c>
      <c r="I3192" s="17">
        <v>100000</v>
      </c>
      <c r="J3192" s="17">
        <f>IF(Gastos[[#This Row],[Divisa]]="$", I3192*1, IF(Gastos[[#This Row],[Divisa]]="U$D", I3192*$N$1, IF(Gastos[[#This Row],[Divisa]]="EUR", I3192*$N$2, 0)))</f>
        <v>100000</v>
      </c>
      <c r="K3192" s="61">
        <f>Gastos[[#This Row],[Importe AR$]]/$N$1</f>
        <v>66.006600660066013</v>
      </c>
      <c r="M3192" s="76">
        <v>46178</v>
      </c>
      <c r="N3192" s="50">
        <f>IF(Gastos[[#This Row],[Fecha_Cheque]]&gt;0,WEEKNUM(Gastos[[#This Row],[Fecha_Cheque]]),MID(Gastos[[#This Row],[Semana]],6,2))</f>
        <v>23</v>
      </c>
      <c r="O3192" t="s">
        <v>3223</v>
      </c>
      <c r="P3192" t="s">
        <v>27</v>
      </c>
    </row>
    <row r="3193" spans="1:16" hidden="1" x14ac:dyDescent="0.25">
      <c r="A3193" s="3" t="s">
        <v>2773</v>
      </c>
      <c r="B3193" t="s">
        <v>2860</v>
      </c>
      <c r="C3193" t="s">
        <v>3222</v>
      </c>
      <c r="D3193" t="s">
        <v>26</v>
      </c>
      <c r="E3193" t="s">
        <v>31</v>
      </c>
      <c r="F3193">
        <v>1</v>
      </c>
      <c r="G3193" s="3" t="s">
        <v>32</v>
      </c>
      <c r="H3193" s="51" t="s">
        <v>15</v>
      </c>
      <c r="I3193" s="17">
        <v>100000</v>
      </c>
      <c r="J3193" s="17">
        <f>IF(Gastos[[#This Row],[Divisa]]="$", I3193*1, IF(Gastos[[#This Row],[Divisa]]="U$D", I3193*$N$1, IF(Gastos[[#This Row],[Divisa]]="EUR", I3193*$N$2, 0)))</f>
        <v>100000</v>
      </c>
      <c r="K3193" s="61">
        <f>Gastos[[#This Row],[Importe AR$]]/$N$1</f>
        <v>66.006600660066013</v>
      </c>
      <c r="M3193" s="76">
        <v>46199</v>
      </c>
      <c r="N3193" s="50">
        <f>IF(Gastos[[#This Row],[Fecha_Cheque]]&gt;0,WEEKNUM(Gastos[[#This Row],[Fecha_Cheque]]),MID(Gastos[[#This Row],[Semana]],6,2))</f>
        <v>26</v>
      </c>
      <c r="O3193" t="s">
        <v>3223</v>
      </c>
      <c r="P3193" t="s">
        <v>27</v>
      </c>
    </row>
    <row r="3194" spans="1:16" hidden="1" x14ac:dyDescent="0.25">
      <c r="A3194" s="3" t="s">
        <v>2773</v>
      </c>
      <c r="B3194" t="s">
        <v>2106</v>
      </c>
      <c r="C3194" t="s">
        <v>3224</v>
      </c>
      <c r="D3194" t="s">
        <v>26</v>
      </c>
      <c r="E3194" t="s">
        <v>31</v>
      </c>
      <c r="F3194">
        <v>1</v>
      </c>
      <c r="G3194" s="3" t="s">
        <v>32</v>
      </c>
      <c r="H3194" s="51" t="s">
        <v>15</v>
      </c>
      <c r="I3194" s="17">
        <v>910515.62</v>
      </c>
      <c r="J3194" s="17">
        <f>IF(Gastos[[#This Row],[Divisa]]="$", I3194*1, IF(Gastos[[#This Row],[Divisa]]="U$D", I3194*$N$1, IF(Gastos[[#This Row],[Divisa]]="EUR", I3194*$N$2, 0)))</f>
        <v>910515.62</v>
      </c>
      <c r="K3194" s="61">
        <f>Gastos[[#This Row],[Importe AR$]]/$N$1</f>
        <v>601.00040924092411</v>
      </c>
      <c r="M3194" s="76">
        <v>46185</v>
      </c>
      <c r="N3194" s="50">
        <f>IF(Gastos[[#This Row],[Fecha_Cheque]]&gt;0,WEEKNUM(Gastos[[#This Row],[Fecha_Cheque]]),MID(Gastos[[#This Row],[Semana]],6,2))</f>
        <v>24</v>
      </c>
      <c r="O3194" t="s">
        <v>3225</v>
      </c>
      <c r="P3194" t="s">
        <v>27</v>
      </c>
    </row>
    <row r="3195" spans="1:16" hidden="1" x14ac:dyDescent="0.25">
      <c r="A3195" s="3" t="s">
        <v>2773</v>
      </c>
      <c r="B3195" t="s">
        <v>2106</v>
      </c>
      <c r="C3195" t="s">
        <v>3224</v>
      </c>
      <c r="D3195" t="s">
        <v>26</v>
      </c>
      <c r="E3195" t="s">
        <v>31</v>
      </c>
      <c r="F3195">
        <v>1</v>
      </c>
      <c r="G3195" s="3" t="s">
        <v>32</v>
      </c>
      <c r="H3195" s="51" t="s">
        <v>15</v>
      </c>
      <c r="I3195" s="17">
        <v>10747.49</v>
      </c>
      <c r="J3195" s="17">
        <f>IF(Gastos[[#This Row],[Divisa]]="$", I3195*1, IF(Gastos[[#This Row],[Divisa]]="U$D", I3195*$N$1, IF(Gastos[[#This Row],[Divisa]]="EUR", I3195*$N$2, 0)))</f>
        <v>10747.49</v>
      </c>
      <c r="K3195" s="61">
        <f>Gastos[[#This Row],[Importe AR$]]/$N$1</f>
        <v>7.0940528052805281</v>
      </c>
      <c r="L3195" t="s">
        <v>340</v>
      </c>
      <c r="M3195" s="76"/>
      <c r="N3195" s="50" t="str">
        <f>IF(Gastos[[#This Row],[Fecha_Cheque]]&gt;0,WEEKNUM(Gastos[[#This Row],[Fecha_Cheque]]),MID(Gastos[[#This Row],[Semana]],6,2))</f>
        <v>20</v>
      </c>
      <c r="O3195" t="s">
        <v>3225</v>
      </c>
      <c r="P3195" t="s">
        <v>27</v>
      </c>
    </row>
    <row r="3196" spans="1:16" hidden="1" x14ac:dyDescent="0.25">
      <c r="A3196" s="3" t="s">
        <v>2773</v>
      </c>
      <c r="B3196" t="s">
        <v>2144</v>
      </c>
      <c r="C3196" t="s">
        <v>3226</v>
      </c>
      <c r="D3196" t="s">
        <v>26</v>
      </c>
      <c r="E3196" t="s">
        <v>31</v>
      </c>
      <c r="F3196">
        <v>1</v>
      </c>
      <c r="G3196" s="3" t="s">
        <v>32</v>
      </c>
      <c r="H3196" s="51" t="s">
        <v>15</v>
      </c>
      <c r="I3196" s="17">
        <v>2581425</v>
      </c>
      <c r="J3196" s="17">
        <f>IF(Gastos[[#This Row],[Divisa]]="$", I3196*1, IF(Gastos[[#This Row],[Divisa]]="U$D", I3196*$N$1, IF(Gastos[[#This Row],[Divisa]]="EUR", I3196*$N$2, 0)))</f>
        <v>2581425</v>
      </c>
      <c r="K3196" s="61">
        <f>Gastos[[#This Row],[Importe AR$]]/$N$1</f>
        <v>1703.9108910891089</v>
      </c>
      <c r="M3196" s="76"/>
      <c r="N3196" s="50" t="str">
        <f>IF(Gastos[[#This Row],[Fecha_Cheque]]&gt;0,WEEKNUM(Gastos[[#This Row],[Fecha_Cheque]]),MID(Gastos[[#This Row],[Semana]],6,2))</f>
        <v>20</v>
      </c>
      <c r="O3196" t="s">
        <v>3227</v>
      </c>
      <c r="P3196" t="s">
        <v>27</v>
      </c>
    </row>
    <row r="3197" spans="1:16" hidden="1" x14ac:dyDescent="0.25">
      <c r="A3197" s="3" t="s">
        <v>2773</v>
      </c>
      <c r="B3197" t="s">
        <v>2144</v>
      </c>
      <c r="C3197" t="s">
        <v>3226</v>
      </c>
      <c r="D3197" t="s">
        <v>26</v>
      </c>
      <c r="E3197" t="s">
        <v>31</v>
      </c>
      <c r="F3197">
        <v>1</v>
      </c>
      <c r="G3197" s="3" t="s">
        <v>32</v>
      </c>
      <c r="H3197" s="51" t="s">
        <v>15</v>
      </c>
      <c r="I3197" s="17">
        <v>38830</v>
      </c>
      <c r="J3197" s="17">
        <f>IF(Gastos[[#This Row],[Divisa]]="$", I3197*1, IF(Gastos[[#This Row],[Divisa]]="U$D", I3197*$N$1, IF(Gastos[[#This Row],[Divisa]]="EUR", I3197*$N$2, 0)))</f>
        <v>38830</v>
      </c>
      <c r="K3197" s="61">
        <f>Gastos[[#This Row],[Importe AR$]]/$N$1</f>
        <v>25.630363036303631</v>
      </c>
      <c r="L3197" t="s">
        <v>340</v>
      </c>
      <c r="M3197" s="76"/>
      <c r="N3197" s="50" t="str">
        <f>IF(Gastos[[#This Row],[Fecha_Cheque]]&gt;0,WEEKNUM(Gastos[[#This Row],[Fecha_Cheque]]),MID(Gastos[[#This Row],[Semana]],6,2))</f>
        <v>20</v>
      </c>
      <c r="O3197" t="s">
        <v>3227</v>
      </c>
      <c r="P3197" t="s">
        <v>27</v>
      </c>
    </row>
    <row r="3198" spans="1:16" x14ac:dyDescent="0.25">
      <c r="A3198" s="3" t="s">
        <v>3990</v>
      </c>
      <c r="B3198" t="s">
        <v>199</v>
      </c>
      <c r="C3198" t="s">
        <v>2734</v>
      </c>
      <c r="D3198" t="s">
        <v>26</v>
      </c>
      <c r="E3198" t="s">
        <v>62</v>
      </c>
      <c r="F3198">
        <v>1</v>
      </c>
      <c r="G3198" s="3" t="s">
        <v>5</v>
      </c>
      <c r="H3198" s="51" t="s">
        <v>3</v>
      </c>
      <c r="I3198" s="17">
        <f>223400-28000</f>
        <v>195400</v>
      </c>
      <c r="J3198" s="17">
        <f>IF(Gastos[[#This Row],[Divisa]]="$", I3198*1, IF(Gastos[[#This Row],[Divisa]]="U$D", I3198*$N$1, IF(Gastos[[#This Row],[Divisa]]="EUR", I3198*$N$2, 0)))</f>
        <v>345858000</v>
      </c>
      <c r="K3198" s="61">
        <f>Gastos[[#This Row],[Importe AR$]]/$N$1</f>
        <v>228289.10891089108</v>
      </c>
      <c r="L3198">
        <v>223400</v>
      </c>
      <c r="M3198" s="76"/>
      <c r="N3198" s="50" t="str">
        <f>IF(Gastos[[#This Row],[Fecha_Cheque]]&gt;0,WEEKNUM(Gastos[[#This Row],[Fecha_Cheque]]),MID(Gastos[[#This Row],[Semana]],6,2))</f>
        <v>32</v>
      </c>
    </row>
    <row r="3199" spans="1:16" hidden="1" x14ac:dyDescent="0.25">
      <c r="A3199" s="3" t="s">
        <v>2773</v>
      </c>
      <c r="B3199" t="s">
        <v>2153</v>
      </c>
      <c r="C3199" t="s">
        <v>155</v>
      </c>
      <c r="D3199" t="s">
        <v>26</v>
      </c>
      <c r="E3199" t="s">
        <v>42</v>
      </c>
      <c r="F3199">
        <v>1</v>
      </c>
      <c r="G3199" s="3" t="s">
        <v>4</v>
      </c>
      <c r="H3199" s="51" t="s">
        <v>15</v>
      </c>
      <c r="I3199" s="17">
        <v>39999.1</v>
      </c>
      <c r="J3199" s="17">
        <f>IF(Gastos[[#This Row],[Divisa]]="$", I3199*1, IF(Gastos[[#This Row],[Divisa]]="U$D", I3199*$N$1, IF(Gastos[[#This Row],[Divisa]]="EUR", I3199*$N$2, 0)))</f>
        <v>39999.1</v>
      </c>
      <c r="K3199" s="61">
        <f>Gastos[[#This Row],[Importe AR$]]/$N$1</f>
        <v>26.402046204620461</v>
      </c>
      <c r="M3199" s="76"/>
      <c r="N3199" s="50" t="str">
        <f>IF(Gastos[[#This Row],[Fecha_Cheque]]&gt;0,WEEKNUM(Gastos[[#This Row],[Fecha_Cheque]]),MID(Gastos[[#This Row],[Semana]],6,2))</f>
        <v>20</v>
      </c>
      <c r="O3199" t="s">
        <v>3229</v>
      </c>
      <c r="P3199" t="s">
        <v>27</v>
      </c>
    </row>
    <row r="3200" spans="1:16" hidden="1" x14ac:dyDescent="0.25">
      <c r="A3200" s="3" t="s">
        <v>2773</v>
      </c>
      <c r="B3200" t="s">
        <v>2153</v>
      </c>
      <c r="C3200" t="s">
        <v>155</v>
      </c>
      <c r="D3200" t="s">
        <v>26</v>
      </c>
      <c r="E3200" t="s">
        <v>42</v>
      </c>
      <c r="F3200">
        <v>1</v>
      </c>
      <c r="G3200" s="3" t="s">
        <v>4</v>
      </c>
      <c r="H3200" s="51" t="s">
        <v>15</v>
      </c>
      <c r="I3200" s="17">
        <v>30006.95</v>
      </c>
      <c r="J3200" s="17">
        <f>IF(Gastos[[#This Row],[Divisa]]="$", I3200*1, IF(Gastos[[#This Row],[Divisa]]="U$D", I3200*$N$1, IF(Gastos[[#This Row],[Divisa]]="EUR", I3200*$N$2, 0)))</f>
        <v>30006.95</v>
      </c>
      <c r="K3200" s="61">
        <f>Gastos[[#This Row],[Importe AR$]]/$N$1</f>
        <v>19.806567656765676</v>
      </c>
      <c r="M3200" s="76"/>
      <c r="N3200" s="50" t="str">
        <f>IF(Gastos[[#This Row],[Fecha_Cheque]]&gt;0,WEEKNUM(Gastos[[#This Row],[Fecha_Cheque]]),MID(Gastos[[#This Row],[Semana]],6,2))</f>
        <v>20</v>
      </c>
      <c r="O3200" t="s">
        <v>3230</v>
      </c>
      <c r="P3200" t="s">
        <v>27</v>
      </c>
    </row>
    <row r="3201" spans="1:16" hidden="1" x14ac:dyDescent="0.25">
      <c r="A3201" s="3" t="s">
        <v>3641</v>
      </c>
      <c r="B3201" t="s">
        <v>3659</v>
      </c>
      <c r="C3201" t="s">
        <v>3658</v>
      </c>
      <c r="D3201" t="s">
        <v>26</v>
      </c>
      <c r="E3201" t="s">
        <v>31</v>
      </c>
      <c r="F3201">
        <v>1</v>
      </c>
      <c r="G3201" s="3" t="s">
        <v>5</v>
      </c>
      <c r="H3201" s="51" t="s">
        <v>15</v>
      </c>
      <c r="I3201" s="17">
        <v>223000</v>
      </c>
      <c r="J3201" s="17">
        <f>IF(Gastos[[#This Row],[Divisa]]="$", I3201*1, IF(Gastos[[#This Row],[Divisa]]="U$D", I3201*$N$1, IF(Gastos[[#This Row],[Divisa]]="EUR", I3201*$N$2, 0)))</f>
        <v>223000</v>
      </c>
      <c r="K3201" s="61">
        <f>Gastos[[#This Row],[Importe AR$]]/$N$1</f>
        <v>147.1947194719472</v>
      </c>
      <c r="M3201" s="76"/>
      <c r="N3201" s="50" t="str">
        <f>IF(Gastos[[#This Row],[Fecha_Cheque]]&gt;0,WEEKNUM(Gastos[[#This Row],[Fecha_Cheque]]),MID(Gastos[[#This Row],[Semana]],6,2))</f>
        <v>27</v>
      </c>
      <c r="O3201" t="s">
        <v>3660</v>
      </c>
      <c r="P3201" t="s">
        <v>27</v>
      </c>
    </row>
    <row r="3202" spans="1:16" hidden="1" x14ac:dyDescent="0.25">
      <c r="A3202" s="3" t="s">
        <v>2726</v>
      </c>
      <c r="B3202" t="s">
        <v>3192</v>
      </c>
      <c r="C3202" t="s">
        <v>3231</v>
      </c>
      <c r="D3202" t="s">
        <v>26</v>
      </c>
      <c r="E3202" t="s">
        <v>42</v>
      </c>
      <c r="F3202">
        <v>1</v>
      </c>
      <c r="G3202" s="3" t="s">
        <v>4</v>
      </c>
      <c r="H3202" s="51" t="s">
        <v>15</v>
      </c>
      <c r="I3202" s="17">
        <v>139400</v>
      </c>
      <c r="J3202" s="17">
        <f>IF(Gastos[[#This Row],[Divisa]]="$", I3202*1, IF(Gastos[[#This Row],[Divisa]]="U$D", I3202*$N$1, IF(Gastos[[#This Row],[Divisa]]="EUR", I3202*$N$2, 0)))</f>
        <v>139400</v>
      </c>
      <c r="K3202" s="61">
        <f>Gastos[[#This Row],[Importe AR$]]/$N$1</f>
        <v>92.013201320132012</v>
      </c>
      <c r="M3202" s="76"/>
      <c r="N3202" s="50" t="str">
        <f>IF(Gastos[[#This Row],[Fecha_Cheque]]&gt;0,WEEKNUM(Gastos[[#This Row],[Fecha_Cheque]]),MID(Gastos[[#This Row],[Semana]],6,2))</f>
        <v>24</v>
      </c>
      <c r="O3202" t="s">
        <v>3232</v>
      </c>
      <c r="P3202" t="s">
        <v>27</v>
      </c>
    </row>
    <row r="3203" spans="1:16" hidden="1" x14ac:dyDescent="0.25">
      <c r="A3203" s="3" t="s">
        <v>2792</v>
      </c>
      <c r="B3203" t="s">
        <v>3233</v>
      </c>
      <c r="C3203" t="s">
        <v>3234</v>
      </c>
      <c r="D3203" t="s">
        <v>26</v>
      </c>
      <c r="E3203" t="s">
        <v>62</v>
      </c>
      <c r="F3203">
        <v>1</v>
      </c>
      <c r="G3203" s="3" t="s">
        <v>32</v>
      </c>
      <c r="H3203" s="51" t="s">
        <v>15</v>
      </c>
      <c r="I3203" s="17">
        <v>300000</v>
      </c>
      <c r="J3203" s="17">
        <f>IF(Gastos[[#This Row],[Divisa]]="$", I3203*1, IF(Gastos[[#This Row],[Divisa]]="U$D", I3203*$N$1, IF(Gastos[[#This Row],[Divisa]]="EUR", I3203*$N$2, 0)))</f>
        <v>300000</v>
      </c>
      <c r="K3203" s="61">
        <f>Gastos[[#This Row],[Importe AR$]]/$N$1</f>
        <v>198.01980198019803</v>
      </c>
      <c r="M3203" s="76">
        <v>46174</v>
      </c>
      <c r="N3203" s="50">
        <f>IF(Gastos[[#This Row],[Fecha_Cheque]]&gt;0,WEEKNUM(Gastos[[#This Row],[Fecha_Cheque]]),MID(Gastos[[#This Row],[Semana]],6,2))</f>
        <v>23</v>
      </c>
      <c r="O3203" t="s">
        <v>3235</v>
      </c>
      <c r="P3203" t="s">
        <v>27</v>
      </c>
    </row>
    <row r="3204" spans="1:16" hidden="1" x14ac:dyDescent="0.25">
      <c r="A3204" s="3" t="s">
        <v>2792</v>
      </c>
      <c r="B3204" t="s">
        <v>3233</v>
      </c>
      <c r="C3204" t="s">
        <v>3234</v>
      </c>
      <c r="D3204" t="s">
        <v>26</v>
      </c>
      <c r="E3204" t="s">
        <v>62</v>
      </c>
      <c r="F3204">
        <v>1</v>
      </c>
      <c r="G3204" s="3" t="s">
        <v>32</v>
      </c>
      <c r="H3204" s="51" t="s">
        <v>15</v>
      </c>
      <c r="I3204" s="17">
        <v>300000</v>
      </c>
      <c r="J3204" s="17">
        <f>IF(Gastos[[#This Row],[Divisa]]="$", I3204*1, IF(Gastos[[#This Row],[Divisa]]="U$D", I3204*$N$1, IF(Gastos[[#This Row],[Divisa]]="EUR", I3204*$N$2, 0)))</f>
        <v>300000</v>
      </c>
      <c r="K3204" s="61">
        <f>Gastos[[#This Row],[Importe AR$]]/$N$1</f>
        <v>198.01980198019803</v>
      </c>
      <c r="M3204" s="76">
        <v>46177</v>
      </c>
      <c r="N3204" s="50">
        <f>IF(Gastos[[#This Row],[Fecha_Cheque]]&gt;0,WEEKNUM(Gastos[[#This Row],[Fecha_Cheque]]),MID(Gastos[[#This Row],[Semana]],6,2))</f>
        <v>23</v>
      </c>
      <c r="O3204" t="s">
        <v>3235</v>
      </c>
      <c r="P3204" t="s">
        <v>27</v>
      </c>
    </row>
    <row r="3205" spans="1:16" hidden="1" x14ac:dyDescent="0.25">
      <c r="A3205" s="3" t="s">
        <v>2792</v>
      </c>
      <c r="B3205" t="s">
        <v>3233</v>
      </c>
      <c r="C3205" t="s">
        <v>3234</v>
      </c>
      <c r="D3205" t="s">
        <v>26</v>
      </c>
      <c r="E3205" t="s">
        <v>62</v>
      </c>
      <c r="F3205">
        <v>1</v>
      </c>
      <c r="G3205" s="3" t="s">
        <v>32</v>
      </c>
      <c r="H3205" s="51" t="s">
        <v>15</v>
      </c>
      <c r="I3205" s="17">
        <v>1214000</v>
      </c>
      <c r="J3205" s="17">
        <f>IF(Gastos[[#This Row],[Divisa]]="$", I3205*1, IF(Gastos[[#This Row],[Divisa]]="U$D", I3205*$N$1, IF(Gastos[[#This Row],[Divisa]]="EUR", I3205*$N$2, 0)))</f>
        <v>1214000</v>
      </c>
      <c r="K3205" s="61">
        <f>Gastos[[#This Row],[Importe AR$]]/$N$1</f>
        <v>801.32013201320137</v>
      </c>
      <c r="M3205" s="76">
        <v>46186</v>
      </c>
      <c r="N3205" s="50">
        <f>IF(Gastos[[#This Row],[Fecha_Cheque]]&gt;0,WEEKNUM(Gastos[[#This Row],[Fecha_Cheque]]),MID(Gastos[[#This Row],[Semana]],6,2))</f>
        <v>24</v>
      </c>
      <c r="O3205" t="s">
        <v>3235</v>
      </c>
      <c r="P3205" t="s">
        <v>27</v>
      </c>
    </row>
    <row r="3206" spans="1:16" hidden="1" x14ac:dyDescent="0.25">
      <c r="A3206" s="3" t="s">
        <v>2792</v>
      </c>
      <c r="B3206" t="s">
        <v>3233</v>
      </c>
      <c r="C3206" t="s">
        <v>3234</v>
      </c>
      <c r="D3206" t="s">
        <v>26</v>
      </c>
      <c r="E3206" t="s">
        <v>62</v>
      </c>
      <c r="F3206">
        <v>1</v>
      </c>
      <c r="G3206" s="3" t="s">
        <v>32</v>
      </c>
      <c r="H3206" s="51" t="s">
        <v>15</v>
      </c>
      <c r="I3206" s="17">
        <v>2000000</v>
      </c>
      <c r="J3206" s="17">
        <f>IF(Gastos[[#This Row],[Divisa]]="$", I3206*1, IF(Gastos[[#This Row],[Divisa]]="U$D", I3206*$N$1, IF(Gastos[[#This Row],[Divisa]]="EUR", I3206*$N$2, 0)))</f>
        <v>2000000</v>
      </c>
      <c r="K3206" s="61">
        <f>Gastos[[#This Row],[Importe AR$]]/$N$1</f>
        <v>1320.1320132013202</v>
      </c>
      <c r="M3206" s="76">
        <v>46202</v>
      </c>
      <c r="N3206" s="50">
        <f>IF(Gastos[[#This Row],[Fecha_Cheque]]&gt;0,WEEKNUM(Gastos[[#This Row],[Fecha_Cheque]]),MID(Gastos[[#This Row],[Semana]],6,2))</f>
        <v>27</v>
      </c>
      <c r="O3206" t="s">
        <v>3235</v>
      </c>
      <c r="P3206" t="s">
        <v>27</v>
      </c>
    </row>
    <row r="3207" spans="1:16" hidden="1" x14ac:dyDescent="0.25">
      <c r="A3207" s="3" t="s">
        <v>2792</v>
      </c>
      <c r="B3207" t="s">
        <v>3233</v>
      </c>
      <c r="C3207" t="s">
        <v>3234</v>
      </c>
      <c r="D3207" t="s">
        <v>26</v>
      </c>
      <c r="E3207" t="s">
        <v>62</v>
      </c>
      <c r="F3207">
        <v>1</v>
      </c>
      <c r="G3207" s="3" t="s">
        <v>32</v>
      </c>
      <c r="H3207" s="51" t="s">
        <v>15</v>
      </c>
      <c r="I3207" s="17">
        <v>61697.919999999998</v>
      </c>
      <c r="J3207" s="17">
        <f>IF(Gastos[[#This Row],[Divisa]]="$", I3207*1, IF(Gastos[[#This Row],[Divisa]]="U$D", I3207*$N$1, IF(Gastos[[#This Row],[Divisa]]="EUR", I3207*$N$2, 0)))</f>
        <v>61697.919999999998</v>
      </c>
      <c r="K3207" s="61">
        <f>Gastos[[#This Row],[Importe AR$]]/$N$1</f>
        <v>40.724699669966995</v>
      </c>
      <c r="L3207" t="s">
        <v>340</v>
      </c>
      <c r="M3207" s="76"/>
      <c r="N3207" s="50" t="str">
        <f>IF(Gastos[[#This Row],[Fecha_Cheque]]&gt;0,WEEKNUM(Gastos[[#This Row],[Fecha_Cheque]]),MID(Gastos[[#This Row],[Semana]],6,2))</f>
        <v>21</v>
      </c>
      <c r="O3207" t="s">
        <v>3235</v>
      </c>
      <c r="P3207" t="s">
        <v>27</v>
      </c>
    </row>
    <row r="3208" spans="1:16" hidden="1" x14ac:dyDescent="0.25">
      <c r="A3208" s="3" t="s">
        <v>3907</v>
      </c>
      <c r="B3208" t="s">
        <v>203</v>
      </c>
      <c r="C3208" t="s">
        <v>3957</v>
      </c>
      <c r="D3208" t="s">
        <v>26</v>
      </c>
      <c r="E3208" t="s">
        <v>31</v>
      </c>
      <c r="F3208">
        <v>1</v>
      </c>
      <c r="G3208" s="3" t="s">
        <v>5</v>
      </c>
      <c r="H3208" s="51" t="s">
        <v>15</v>
      </c>
      <c r="I3208" s="17">
        <v>104665</v>
      </c>
      <c r="J3208" s="17">
        <f>IF(Gastos[[#This Row],[Divisa]]="$", I3208*1, IF(Gastos[[#This Row],[Divisa]]="U$D", I3208*$N$1, IF(Gastos[[#This Row],[Divisa]]="EUR", I3208*$N$2, 0)))</f>
        <v>104665</v>
      </c>
      <c r="K3208" s="61">
        <f>Gastos[[#This Row],[Importe AR$]]/$N$1</f>
        <v>69.085808580858085</v>
      </c>
      <c r="M3208" s="76"/>
      <c r="N3208" s="50" t="str">
        <f>IF(Gastos[[#This Row],[Fecha_Cheque]]&gt;0,WEEKNUM(Gastos[[#This Row],[Fecha_Cheque]]),MID(Gastos[[#This Row],[Semana]],6,2))</f>
        <v>31</v>
      </c>
      <c r="O3208" t="s">
        <v>3958</v>
      </c>
      <c r="P3208" t="s">
        <v>27</v>
      </c>
    </row>
    <row r="3209" spans="1:16" hidden="1" x14ac:dyDescent="0.25">
      <c r="A3209" s="3" t="s">
        <v>2841</v>
      </c>
      <c r="B3209" t="s">
        <v>3238</v>
      </c>
      <c r="C3209" t="s">
        <v>1507</v>
      </c>
      <c r="D3209" t="s">
        <v>26</v>
      </c>
      <c r="E3209" t="s">
        <v>31</v>
      </c>
      <c r="F3209">
        <v>1</v>
      </c>
      <c r="G3209" s="3" t="s">
        <v>32</v>
      </c>
      <c r="H3209" s="51" t="s">
        <v>15</v>
      </c>
      <c r="I3209" s="17">
        <v>563801</v>
      </c>
      <c r="J3209" s="17">
        <f>IF(Gastos[[#This Row],[Divisa]]="$", I3209*1, IF(Gastos[[#This Row],[Divisa]]="U$D", I3209*$N$1, IF(Gastos[[#This Row],[Divisa]]="EUR", I3209*$N$2, 0)))</f>
        <v>563801</v>
      </c>
      <c r="K3209" s="61">
        <f>Gastos[[#This Row],[Importe AR$]]/$N$1</f>
        <v>372.14587458745876</v>
      </c>
      <c r="M3209" s="76">
        <v>46201</v>
      </c>
      <c r="N3209" s="50">
        <f>IF(Gastos[[#This Row],[Fecha_Cheque]]&gt;0,WEEKNUM(Gastos[[#This Row],[Fecha_Cheque]]),MID(Gastos[[#This Row],[Semana]],6,2))</f>
        <v>27</v>
      </c>
      <c r="O3209" t="s">
        <v>3239</v>
      </c>
      <c r="P3209" t="s">
        <v>27</v>
      </c>
    </row>
    <row r="3210" spans="1:16" hidden="1" x14ac:dyDescent="0.25">
      <c r="A3210" s="3" t="s">
        <v>2841</v>
      </c>
      <c r="B3210" t="s">
        <v>3238</v>
      </c>
      <c r="C3210" t="s">
        <v>1507</v>
      </c>
      <c r="D3210" t="s">
        <v>26</v>
      </c>
      <c r="E3210" t="s">
        <v>31</v>
      </c>
      <c r="F3210">
        <v>1</v>
      </c>
      <c r="G3210" s="3" t="s">
        <v>32</v>
      </c>
      <c r="H3210" s="51" t="s">
        <v>15</v>
      </c>
      <c r="I3210" s="17">
        <v>563801</v>
      </c>
      <c r="J3210" s="17">
        <f>IF(Gastos[[#This Row],[Divisa]]="$", I3210*1, IF(Gastos[[#This Row],[Divisa]]="U$D", I3210*$N$1, IF(Gastos[[#This Row],[Divisa]]="EUR", I3210*$N$2, 0)))</f>
        <v>563801</v>
      </c>
      <c r="K3210" s="61">
        <f>Gastos[[#This Row],[Importe AR$]]/$N$1</f>
        <v>372.14587458745876</v>
      </c>
      <c r="M3210" s="76">
        <v>46205</v>
      </c>
      <c r="N3210" s="50">
        <f>IF(Gastos[[#This Row],[Fecha_Cheque]]&gt;0,WEEKNUM(Gastos[[#This Row],[Fecha_Cheque]]),MID(Gastos[[#This Row],[Semana]],6,2))</f>
        <v>27</v>
      </c>
      <c r="O3210" t="s">
        <v>3239</v>
      </c>
      <c r="P3210" t="s">
        <v>27</v>
      </c>
    </row>
    <row r="3211" spans="1:16" hidden="1" x14ac:dyDescent="0.25">
      <c r="A3211" s="3" t="s">
        <v>2841</v>
      </c>
      <c r="B3211" t="s">
        <v>3238</v>
      </c>
      <c r="C3211" t="s">
        <v>1507</v>
      </c>
      <c r="D3211" t="s">
        <v>26</v>
      </c>
      <c r="E3211" t="s">
        <v>31</v>
      </c>
      <c r="F3211">
        <v>1</v>
      </c>
      <c r="G3211" s="3" t="s">
        <v>32</v>
      </c>
      <c r="H3211" s="51" t="s">
        <v>15</v>
      </c>
      <c r="I3211" s="17">
        <v>14396</v>
      </c>
      <c r="J3211" s="17">
        <f>IF(Gastos[[#This Row],[Divisa]]="$", I3211*1, IF(Gastos[[#This Row],[Divisa]]="U$D", I3211*$N$1, IF(Gastos[[#This Row],[Divisa]]="EUR", I3211*$N$2, 0)))</f>
        <v>14396</v>
      </c>
      <c r="K3211" s="61">
        <f>Gastos[[#This Row],[Importe AR$]]/$N$1</f>
        <v>9.5023102310231025</v>
      </c>
      <c r="L3211" t="s">
        <v>340</v>
      </c>
      <c r="M3211" s="76"/>
      <c r="N3211" s="50" t="str">
        <f>IF(Gastos[[#This Row],[Fecha_Cheque]]&gt;0,WEEKNUM(Gastos[[#This Row],[Fecha_Cheque]]),MID(Gastos[[#This Row],[Semana]],6,2))</f>
        <v>22</v>
      </c>
      <c r="O3211" t="s">
        <v>3239</v>
      </c>
      <c r="P3211" t="s">
        <v>27</v>
      </c>
    </row>
    <row r="3212" spans="1:16" hidden="1" x14ac:dyDescent="0.25">
      <c r="A3212" s="3" t="s">
        <v>2792</v>
      </c>
      <c r="B3212" t="s">
        <v>1841</v>
      </c>
      <c r="C3212" t="s">
        <v>1842</v>
      </c>
      <c r="D3212" t="s">
        <v>26</v>
      </c>
      <c r="E3212" t="s">
        <v>42</v>
      </c>
      <c r="F3212">
        <v>2</v>
      </c>
      <c r="G3212" s="3" t="s">
        <v>4</v>
      </c>
      <c r="H3212" s="51" t="s">
        <v>15</v>
      </c>
      <c r="I3212" s="17">
        <v>300000</v>
      </c>
      <c r="J3212" s="17">
        <f>IF(Gastos[[#This Row],[Divisa]]="$", I3212*1, IF(Gastos[[#This Row],[Divisa]]="U$D", I3212*$N$1, IF(Gastos[[#This Row],[Divisa]]="EUR", I3212*$N$2, 0)))</f>
        <v>300000</v>
      </c>
      <c r="K3212" s="61">
        <f>Gastos[[#This Row],[Importe AR$]]/$N$1</f>
        <v>198.01980198019803</v>
      </c>
      <c r="M3212" s="76"/>
      <c r="N3212" s="50" t="str">
        <f>IF(Gastos[[#This Row],[Fecha_Cheque]]&gt;0,WEEKNUM(Gastos[[#This Row],[Fecha_Cheque]]),MID(Gastos[[#This Row],[Semana]],6,2))</f>
        <v>21</v>
      </c>
      <c r="O3212" t="s">
        <v>3240</v>
      </c>
      <c r="P3212" t="s">
        <v>27</v>
      </c>
    </row>
    <row r="3213" spans="1:16" hidden="1" x14ac:dyDescent="0.25">
      <c r="A3213" s="3" t="s">
        <v>2763</v>
      </c>
      <c r="B3213" t="s">
        <v>975</v>
      </c>
      <c r="C3213" t="s">
        <v>979</v>
      </c>
      <c r="D3213" t="s">
        <v>26</v>
      </c>
      <c r="E3213" t="s">
        <v>31</v>
      </c>
      <c r="F3213">
        <v>1</v>
      </c>
      <c r="G3213" s="3" t="s">
        <v>5</v>
      </c>
      <c r="H3213" s="90" t="s">
        <v>15</v>
      </c>
      <c r="I3213" s="17">
        <v>108295</v>
      </c>
      <c r="J3213" s="17">
        <f>IF(Gastos[[#This Row],[Divisa]]="$", I3213*1, IF(Gastos[[#This Row],[Divisa]]="U$D", I3213*$N$1, IF(Gastos[[#This Row],[Divisa]]="EUR", I3213*$N$2, 0)))</f>
        <v>108295</v>
      </c>
      <c r="K3213" s="61">
        <f>Gastos[[#This Row],[Importe AR$]]/$N$1</f>
        <v>71.481848184818489</v>
      </c>
      <c r="M3213" s="76"/>
      <c r="N3213" s="50" t="str">
        <f>IF(Gastos[[#This Row],[Fecha_Cheque]]&gt;0,WEEKNUM(Gastos[[#This Row],[Fecha_Cheque]]),MID(Gastos[[#This Row],[Semana]],6,2))</f>
        <v>23</v>
      </c>
      <c r="O3213" t="s">
        <v>3241</v>
      </c>
      <c r="P3213" t="s">
        <v>27</v>
      </c>
    </row>
    <row r="3214" spans="1:16" hidden="1" x14ac:dyDescent="0.25">
      <c r="A3214" s="3" t="s">
        <v>2726</v>
      </c>
      <c r="B3214" t="s">
        <v>3242</v>
      </c>
      <c r="D3214" t="s">
        <v>26</v>
      </c>
      <c r="E3214" t="s">
        <v>31</v>
      </c>
      <c r="F3214">
        <v>1</v>
      </c>
      <c r="G3214" s="3" t="s">
        <v>5</v>
      </c>
      <c r="H3214" s="51" t="s">
        <v>15</v>
      </c>
      <c r="I3214" s="17">
        <v>80000</v>
      </c>
      <c r="J3214" s="17">
        <f>IF(Gastos[[#This Row],[Divisa]]="$", I3214*1, IF(Gastos[[#This Row],[Divisa]]="U$D", I3214*$N$1, IF(Gastos[[#This Row],[Divisa]]="EUR", I3214*$N$2, 0)))</f>
        <v>80000</v>
      </c>
      <c r="K3214" s="61">
        <f>Gastos[[#This Row],[Importe AR$]]/$N$1</f>
        <v>52.805280528052805</v>
      </c>
      <c r="M3214" s="76"/>
      <c r="N3214" s="50" t="str">
        <f>IF(Gastos[[#This Row],[Fecha_Cheque]]&gt;0,WEEKNUM(Gastos[[#This Row],[Fecha_Cheque]]),MID(Gastos[[#This Row],[Semana]],6,2))</f>
        <v>24</v>
      </c>
      <c r="O3214" t="s">
        <v>3243</v>
      </c>
      <c r="P3214" t="s">
        <v>27</v>
      </c>
    </row>
    <row r="3215" spans="1:16" hidden="1" x14ac:dyDescent="0.25">
      <c r="A3215" s="3" t="s">
        <v>2763</v>
      </c>
      <c r="B3215" t="s">
        <v>1019</v>
      </c>
      <c r="C3215" t="s">
        <v>2867</v>
      </c>
      <c r="D3215" t="s">
        <v>26</v>
      </c>
      <c r="E3215" t="s">
        <v>91</v>
      </c>
      <c r="F3215">
        <v>1</v>
      </c>
      <c r="G3215" s="3" t="s">
        <v>5</v>
      </c>
      <c r="H3215" s="51" t="s">
        <v>15</v>
      </c>
      <c r="I3215" s="17">
        <v>619810.19999999995</v>
      </c>
      <c r="J3215" s="17">
        <f>IF(Gastos[[#This Row],[Divisa]]="$", I3215*1, IF(Gastos[[#This Row],[Divisa]]="U$D", I3215*$N$1, IF(Gastos[[#This Row],[Divisa]]="EUR", I3215*$N$2, 0)))</f>
        <v>619810.19999999995</v>
      </c>
      <c r="K3215" s="61">
        <f>Gastos[[#This Row],[Importe AR$]]/$N$1</f>
        <v>409.11564356435639</v>
      </c>
      <c r="M3215" s="76"/>
      <c r="N3215" s="50" t="str">
        <f>IF(Gastos[[#This Row],[Fecha_Cheque]]&gt;0,WEEKNUM(Gastos[[#This Row],[Fecha_Cheque]]),MID(Gastos[[#This Row],[Semana]],6,2))</f>
        <v>23</v>
      </c>
      <c r="O3215" t="s">
        <v>3244</v>
      </c>
      <c r="P3215" t="s">
        <v>27</v>
      </c>
    </row>
    <row r="3216" spans="1:16" hidden="1" x14ac:dyDescent="0.25">
      <c r="A3216" s="3" t="s">
        <v>2763</v>
      </c>
      <c r="B3216" t="s">
        <v>1019</v>
      </c>
      <c r="C3216" t="s">
        <v>2867</v>
      </c>
      <c r="D3216" t="s">
        <v>26</v>
      </c>
      <c r="E3216" t="s">
        <v>91</v>
      </c>
      <c r="F3216">
        <v>1</v>
      </c>
      <c r="G3216" s="3" t="s">
        <v>5</v>
      </c>
      <c r="H3216" s="51" t="s">
        <v>15</v>
      </c>
      <c r="I3216" s="17">
        <v>9051</v>
      </c>
      <c r="J3216" s="17">
        <f>IF(Gastos[[#This Row],[Divisa]]="$", I3216*1, IF(Gastos[[#This Row],[Divisa]]="U$D", I3216*$N$1, IF(Gastos[[#This Row],[Divisa]]="EUR", I3216*$N$2, 0)))</f>
        <v>9051</v>
      </c>
      <c r="K3216" s="61">
        <f>Gastos[[#This Row],[Importe AR$]]/$N$1</f>
        <v>5.9742574257425742</v>
      </c>
      <c r="L3216" t="s">
        <v>340</v>
      </c>
      <c r="M3216" s="76"/>
      <c r="N3216" s="50" t="str">
        <f>IF(Gastos[[#This Row],[Fecha_Cheque]]&gt;0,WEEKNUM(Gastos[[#This Row],[Fecha_Cheque]]),MID(Gastos[[#This Row],[Semana]],6,2))</f>
        <v>23</v>
      </c>
      <c r="O3216" t="s">
        <v>3244</v>
      </c>
      <c r="P3216" t="s">
        <v>27</v>
      </c>
    </row>
    <row r="3217" spans="1:16" hidden="1" x14ac:dyDescent="0.25">
      <c r="A3217" s="3" t="s">
        <v>2792</v>
      </c>
      <c r="B3217" t="s">
        <v>1854</v>
      </c>
      <c r="C3217" t="s">
        <v>118</v>
      </c>
      <c r="D3217" t="s">
        <v>26</v>
      </c>
      <c r="E3217" t="s">
        <v>132</v>
      </c>
      <c r="F3217">
        <v>2</v>
      </c>
      <c r="G3217" s="3" t="s">
        <v>32</v>
      </c>
      <c r="H3217" s="51" t="s">
        <v>15</v>
      </c>
      <c r="I3217" s="17">
        <v>112896</v>
      </c>
      <c r="J3217" s="17">
        <f>IF(Gastos[[#This Row],[Divisa]]="$", I3217*1, IF(Gastos[[#This Row],[Divisa]]="U$D", I3217*$N$1, IF(Gastos[[#This Row],[Divisa]]="EUR", I3217*$N$2, 0)))</f>
        <v>112896</v>
      </c>
      <c r="K3217" s="61">
        <f>Gastos[[#This Row],[Importe AR$]]/$N$1</f>
        <v>74.518811881188114</v>
      </c>
      <c r="M3217" s="76">
        <v>46179</v>
      </c>
      <c r="N3217" s="50">
        <f>IF(Gastos[[#This Row],[Fecha_Cheque]]&gt;0,WEEKNUM(Gastos[[#This Row],[Fecha_Cheque]]),MID(Gastos[[#This Row],[Semana]],6,2))</f>
        <v>23</v>
      </c>
      <c r="O3217" t="s">
        <v>3245</v>
      </c>
      <c r="P3217" t="s">
        <v>27</v>
      </c>
    </row>
    <row r="3218" spans="1:16" hidden="1" x14ac:dyDescent="0.25">
      <c r="A3218" s="3" t="s">
        <v>2792</v>
      </c>
      <c r="B3218" t="s">
        <v>1854</v>
      </c>
      <c r="C3218" t="s">
        <v>118</v>
      </c>
      <c r="D3218" t="s">
        <v>26</v>
      </c>
      <c r="E3218" t="s">
        <v>132</v>
      </c>
      <c r="F3218">
        <v>2</v>
      </c>
      <c r="G3218" s="3" t="s">
        <v>32</v>
      </c>
      <c r="H3218" s="51" t="s">
        <v>15</v>
      </c>
      <c r="I3218" s="17">
        <v>167890</v>
      </c>
      <c r="J3218" s="17">
        <f>IF(Gastos[[#This Row],[Divisa]]="$", I3218*1, IF(Gastos[[#This Row],[Divisa]]="U$D", I3218*$N$1, IF(Gastos[[#This Row],[Divisa]]="EUR", I3218*$N$2, 0)))</f>
        <v>167890</v>
      </c>
      <c r="K3218" s="61">
        <f>Gastos[[#This Row],[Importe AR$]]/$N$1</f>
        <v>110.81848184818482</v>
      </c>
      <c r="M3218" s="76">
        <v>46172</v>
      </c>
      <c r="N3218" s="50">
        <f>IF(Gastos[[#This Row],[Fecha_Cheque]]&gt;0,WEEKNUM(Gastos[[#This Row],[Fecha_Cheque]]),MID(Gastos[[#This Row],[Semana]],6,2))</f>
        <v>22</v>
      </c>
      <c r="O3218" t="s">
        <v>3245</v>
      </c>
      <c r="P3218" t="s">
        <v>27</v>
      </c>
    </row>
    <row r="3219" spans="1:16" hidden="1" x14ac:dyDescent="0.25">
      <c r="A3219" s="3" t="s">
        <v>2792</v>
      </c>
      <c r="B3219" t="s">
        <v>1854</v>
      </c>
      <c r="C3219" t="s">
        <v>118</v>
      </c>
      <c r="D3219" t="s">
        <v>26</v>
      </c>
      <c r="E3219" t="s">
        <v>132</v>
      </c>
      <c r="F3219">
        <v>2</v>
      </c>
      <c r="G3219" s="3" t="s">
        <v>32</v>
      </c>
      <c r="H3219" s="51" t="s">
        <v>15</v>
      </c>
      <c r="I3219" s="17">
        <v>267235</v>
      </c>
      <c r="J3219" s="17">
        <f>IF(Gastos[[#This Row],[Divisa]]="$", I3219*1, IF(Gastos[[#This Row],[Divisa]]="U$D", I3219*$N$1, IF(Gastos[[#This Row],[Divisa]]="EUR", I3219*$N$2, 0)))</f>
        <v>267235</v>
      </c>
      <c r="K3219" s="61">
        <f>Gastos[[#This Row],[Importe AR$]]/$N$1</f>
        <v>176.39273927392739</v>
      </c>
      <c r="M3219" s="76">
        <v>46167</v>
      </c>
      <c r="N3219" s="50">
        <f>IF(Gastos[[#This Row],[Fecha_Cheque]]&gt;0,WEEKNUM(Gastos[[#This Row],[Fecha_Cheque]]),MID(Gastos[[#This Row],[Semana]],6,2))</f>
        <v>22</v>
      </c>
      <c r="O3219" t="s">
        <v>3245</v>
      </c>
      <c r="P3219" t="s">
        <v>27</v>
      </c>
    </row>
    <row r="3220" spans="1:16" hidden="1" x14ac:dyDescent="0.25">
      <c r="A3220" s="3" t="s">
        <v>2792</v>
      </c>
      <c r="B3220" t="s">
        <v>1854</v>
      </c>
      <c r="C3220" t="s">
        <v>118</v>
      </c>
      <c r="D3220" t="s">
        <v>26</v>
      </c>
      <c r="E3220" t="s">
        <v>132</v>
      </c>
      <c r="F3220">
        <v>2</v>
      </c>
      <c r="G3220" s="3" t="s">
        <v>32</v>
      </c>
      <c r="H3220" s="51" t="s">
        <v>15</v>
      </c>
      <c r="I3220" s="17">
        <v>288325</v>
      </c>
      <c r="J3220" s="17">
        <f>IF(Gastos[[#This Row],[Divisa]]="$", I3220*1, IF(Gastos[[#This Row],[Divisa]]="U$D", I3220*$N$1, IF(Gastos[[#This Row],[Divisa]]="EUR", I3220*$N$2, 0)))</f>
        <v>288325</v>
      </c>
      <c r="K3220" s="61">
        <f>Gastos[[#This Row],[Importe AR$]]/$N$1</f>
        <v>190.31353135313532</v>
      </c>
      <c r="M3220" s="76">
        <v>46166</v>
      </c>
      <c r="N3220" s="50">
        <f>IF(Gastos[[#This Row],[Fecha_Cheque]]&gt;0,WEEKNUM(Gastos[[#This Row],[Fecha_Cheque]]),MID(Gastos[[#This Row],[Semana]],6,2))</f>
        <v>22</v>
      </c>
      <c r="O3220" t="s">
        <v>3245</v>
      </c>
      <c r="P3220" t="s">
        <v>27</v>
      </c>
    </row>
    <row r="3221" spans="1:16" hidden="1" x14ac:dyDescent="0.25">
      <c r="A3221" s="3" t="s">
        <v>2792</v>
      </c>
      <c r="B3221" t="s">
        <v>1854</v>
      </c>
      <c r="C3221" t="s">
        <v>118</v>
      </c>
      <c r="D3221" t="s">
        <v>26</v>
      </c>
      <c r="E3221" t="s">
        <v>132</v>
      </c>
      <c r="F3221">
        <v>2</v>
      </c>
      <c r="G3221" s="3" t="s">
        <v>32</v>
      </c>
      <c r="H3221" s="51" t="s">
        <v>15</v>
      </c>
      <c r="I3221" s="17">
        <v>314776</v>
      </c>
      <c r="J3221" s="17">
        <f>IF(Gastos[[#This Row],[Divisa]]="$", I3221*1, IF(Gastos[[#This Row],[Divisa]]="U$D", I3221*$N$1, IF(Gastos[[#This Row],[Divisa]]="EUR", I3221*$N$2, 0)))</f>
        <v>314776</v>
      </c>
      <c r="K3221" s="61">
        <f>Gastos[[#This Row],[Importe AR$]]/$N$1</f>
        <v>207.77293729372937</v>
      </c>
      <c r="M3221" s="76">
        <v>46170</v>
      </c>
      <c r="N3221" s="50">
        <f>IF(Gastos[[#This Row],[Fecha_Cheque]]&gt;0,WEEKNUM(Gastos[[#This Row],[Fecha_Cheque]]),MID(Gastos[[#This Row],[Semana]],6,2))</f>
        <v>22</v>
      </c>
      <c r="O3221" t="s">
        <v>3245</v>
      </c>
      <c r="P3221" t="s">
        <v>27</v>
      </c>
    </row>
    <row r="3222" spans="1:16" hidden="1" x14ac:dyDescent="0.25">
      <c r="A3222" s="3" t="s">
        <v>2792</v>
      </c>
      <c r="B3222" t="s">
        <v>1854</v>
      </c>
      <c r="C3222" t="s">
        <v>118</v>
      </c>
      <c r="D3222" t="s">
        <v>26</v>
      </c>
      <c r="E3222" t="s">
        <v>132</v>
      </c>
      <c r="F3222">
        <v>2</v>
      </c>
      <c r="G3222" s="3" t="s">
        <v>32</v>
      </c>
      <c r="H3222" s="51" t="s">
        <v>15</v>
      </c>
      <c r="I3222" s="17">
        <v>1000000</v>
      </c>
      <c r="J3222" s="17">
        <f>IF(Gastos[[#This Row],[Divisa]]="$", I3222*1, IF(Gastos[[#This Row],[Divisa]]="U$D", I3222*$N$1, IF(Gastos[[#This Row],[Divisa]]="EUR", I3222*$N$2, 0)))</f>
        <v>1000000</v>
      </c>
      <c r="K3222" s="61">
        <f>Gastos[[#This Row],[Importe AR$]]/$N$1</f>
        <v>660.0660066006601</v>
      </c>
      <c r="M3222" s="76">
        <v>46162</v>
      </c>
      <c r="N3222" s="50">
        <f>IF(Gastos[[#This Row],[Fecha_Cheque]]&gt;0,WEEKNUM(Gastos[[#This Row],[Fecha_Cheque]]),MID(Gastos[[#This Row],[Semana]],6,2))</f>
        <v>21</v>
      </c>
      <c r="O3222" t="s">
        <v>3245</v>
      </c>
      <c r="P3222" t="s">
        <v>27</v>
      </c>
    </row>
    <row r="3223" spans="1:16" hidden="1" x14ac:dyDescent="0.25">
      <c r="A3223" s="3" t="s">
        <v>2792</v>
      </c>
      <c r="B3223" t="s">
        <v>1854</v>
      </c>
      <c r="C3223" t="s">
        <v>118</v>
      </c>
      <c r="D3223" t="s">
        <v>26</v>
      </c>
      <c r="E3223" t="s">
        <v>132</v>
      </c>
      <c r="F3223">
        <v>2</v>
      </c>
      <c r="G3223" s="3" t="s">
        <v>32</v>
      </c>
      <c r="H3223" s="51" t="s">
        <v>15</v>
      </c>
      <c r="I3223" s="17">
        <v>1214000</v>
      </c>
      <c r="J3223" s="17">
        <f>IF(Gastos[[#This Row],[Divisa]]="$", I3223*1, IF(Gastos[[#This Row],[Divisa]]="U$D", I3223*$N$1, IF(Gastos[[#This Row],[Divisa]]="EUR", I3223*$N$2, 0)))</f>
        <v>1214000</v>
      </c>
      <c r="K3223" s="61">
        <f>Gastos[[#This Row],[Importe AR$]]/$N$1</f>
        <v>801.32013201320137</v>
      </c>
      <c r="M3223" s="76">
        <v>46193</v>
      </c>
      <c r="N3223" s="50">
        <f>IF(Gastos[[#This Row],[Fecha_Cheque]]&gt;0,WEEKNUM(Gastos[[#This Row],[Fecha_Cheque]]),MID(Gastos[[#This Row],[Semana]],6,2))</f>
        <v>25</v>
      </c>
      <c r="O3223" t="s">
        <v>3245</v>
      </c>
      <c r="P3223" t="s">
        <v>27</v>
      </c>
    </row>
    <row r="3224" spans="1:16" hidden="1" x14ac:dyDescent="0.25">
      <c r="A3224" s="3" t="s">
        <v>2792</v>
      </c>
      <c r="B3224" t="s">
        <v>1854</v>
      </c>
      <c r="C3224" t="s">
        <v>118</v>
      </c>
      <c r="D3224" t="s">
        <v>26</v>
      </c>
      <c r="E3224" t="s">
        <v>132</v>
      </c>
      <c r="F3224">
        <v>2</v>
      </c>
      <c r="G3224" s="3" t="s">
        <v>32</v>
      </c>
      <c r="H3224" s="51" t="s">
        <v>15</v>
      </c>
      <c r="I3224" s="17">
        <v>1214000</v>
      </c>
      <c r="J3224" s="17">
        <f>IF(Gastos[[#This Row],[Divisa]]="$", I3224*1, IF(Gastos[[#This Row],[Divisa]]="U$D", I3224*$N$1, IF(Gastos[[#This Row],[Divisa]]="EUR", I3224*$N$2, 0)))</f>
        <v>1214000</v>
      </c>
      <c r="K3224" s="61">
        <f>Gastos[[#This Row],[Importe AR$]]/$N$1</f>
        <v>801.32013201320137</v>
      </c>
      <c r="M3224" s="76">
        <v>46199</v>
      </c>
      <c r="N3224" s="50">
        <f>IF(Gastos[[#This Row],[Fecha_Cheque]]&gt;0,WEEKNUM(Gastos[[#This Row],[Fecha_Cheque]]),MID(Gastos[[#This Row],[Semana]],6,2))</f>
        <v>26</v>
      </c>
      <c r="O3224" t="s">
        <v>3245</v>
      </c>
      <c r="P3224" t="s">
        <v>27</v>
      </c>
    </row>
    <row r="3225" spans="1:16" hidden="1" x14ac:dyDescent="0.25">
      <c r="A3225" s="3" t="s">
        <v>2792</v>
      </c>
      <c r="B3225" t="s">
        <v>1854</v>
      </c>
      <c r="C3225" t="s">
        <v>118</v>
      </c>
      <c r="D3225" t="s">
        <v>26</v>
      </c>
      <c r="E3225" t="s">
        <v>132</v>
      </c>
      <c r="F3225">
        <v>2</v>
      </c>
      <c r="G3225" s="3" t="s">
        <v>32</v>
      </c>
      <c r="H3225" s="51" t="s">
        <v>15</v>
      </c>
      <c r="I3225" s="17">
        <v>1330337</v>
      </c>
      <c r="J3225" s="17">
        <f>IF(Gastos[[#This Row],[Divisa]]="$", I3225*1, IF(Gastos[[#This Row],[Divisa]]="U$D", I3225*$N$1, IF(Gastos[[#This Row],[Divisa]]="EUR", I3225*$N$2, 0)))</f>
        <v>1330337</v>
      </c>
      <c r="K3225" s="61">
        <f>Gastos[[#This Row],[Importe AR$]]/$N$1</f>
        <v>878.1102310231023</v>
      </c>
      <c r="M3225" s="76">
        <v>46203</v>
      </c>
      <c r="N3225" s="50">
        <f>IF(Gastos[[#This Row],[Fecha_Cheque]]&gt;0,WEEKNUM(Gastos[[#This Row],[Fecha_Cheque]]),MID(Gastos[[#This Row],[Semana]],6,2))</f>
        <v>27</v>
      </c>
      <c r="O3225" t="s">
        <v>2793</v>
      </c>
      <c r="P3225" t="s">
        <v>27</v>
      </c>
    </row>
    <row r="3226" spans="1:16" hidden="1" x14ac:dyDescent="0.25">
      <c r="A3226" s="3" t="s">
        <v>3440</v>
      </c>
      <c r="B3226" t="s">
        <v>623</v>
      </c>
      <c r="C3226" t="s">
        <v>693</v>
      </c>
      <c r="D3226" t="s">
        <v>26</v>
      </c>
      <c r="E3226" t="s">
        <v>91</v>
      </c>
      <c r="F3226">
        <v>1</v>
      </c>
      <c r="G3226" s="3" t="s">
        <v>5</v>
      </c>
      <c r="H3226" s="51" t="s">
        <v>15</v>
      </c>
      <c r="I3226" s="17">
        <v>500000</v>
      </c>
      <c r="J3226" s="17">
        <f>IF(Gastos[[#This Row],[Divisa]]="$", I3226*1, IF(Gastos[[#This Row],[Divisa]]="U$D", I3226*$N$1, IF(Gastos[[#This Row],[Divisa]]="EUR", I3226*$N$2, 0)))</f>
        <v>500000</v>
      </c>
      <c r="K3226" s="61">
        <f>Gastos[[#This Row],[Importe AR$]]/$N$1</f>
        <v>330.03300330033005</v>
      </c>
      <c r="M3226" s="76"/>
      <c r="N3226" s="50" t="str">
        <f>IF(Gastos[[#This Row],[Fecha_Cheque]]&gt;0,WEEKNUM(Gastos[[#This Row],[Fecha_Cheque]]),MID(Gastos[[#This Row],[Semana]],6,2))</f>
        <v>25</v>
      </c>
      <c r="O3226" t="s">
        <v>3560</v>
      </c>
      <c r="P3226" t="s">
        <v>27</v>
      </c>
    </row>
    <row r="3227" spans="1:16" hidden="1" x14ac:dyDescent="0.25">
      <c r="A3227" s="3" t="s">
        <v>2763</v>
      </c>
      <c r="B3227" t="s">
        <v>1058</v>
      </c>
      <c r="C3227" t="s">
        <v>2867</v>
      </c>
      <c r="D3227" t="s">
        <v>26</v>
      </c>
      <c r="E3227" t="s">
        <v>91</v>
      </c>
      <c r="F3227">
        <v>1</v>
      </c>
      <c r="G3227" s="3" t="s">
        <v>5</v>
      </c>
      <c r="H3227" s="51" t="s">
        <v>15</v>
      </c>
      <c r="I3227" s="17">
        <v>320019.8</v>
      </c>
      <c r="J3227" s="17">
        <f>IF(Gastos[[#This Row],[Divisa]]="$", I3227*1, IF(Gastos[[#This Row],[Divisa]]="U$D", I3227*$N$1, IF(Gastos[[#This Row],[Divisa]]="EUR", I3227*$N$2, 0)))</f>
        <v>320019.8</v>
      </c>
      <c r="K3227" s="61">
        <f>Gastos[[#This Row],[Importe AR$]]/$N$1</f>
        <v>211.23419141914189</v>
      </c>
      <c r="M3227" s="76"/>
      <c r="N3227" s="50" t="str">
        <f>IF(Gastos[[#This Row],[Fecha_Cheque]]&gt;0,WEEKNUM(Gastos[[#This Row],[Fecha_Cheque]]),MID(Gastos[[#This Row],[Semana]],6,2))</f>
        <v>23</v>
      </c>
      <c r="O3227" t="s">
        <v>3247</v>
      </c>
      <c r="P3227" t="s">
        <v>27</v>
      </c>
    </row>
    <row r="3228" spans="1:16" hidden="1" x14ac:dyDescent="0.25">
      <c r="A3228" s="3" t="s">
        <v>2763</v>
      </c>
      <c r="B3228" t="s">
        <v>1058</v>
      </c>
      <c r="C3228" t="s">
        <v>2867</v>
      </c>
      <c r="D3228" t="s">
        <v>26</v>
      </c>
      <c r="E3228" t="s">
        <v>91</v>
      </c>
      <c r="F3228">
        <v>1</v>
      </c>
      <c r="G3228" s="3" t="s">
        <v>5</v>
      </c>
      <c r="H3228" s="51" t="s">
        <v>15</v>
      </c>
      <c r="I3228" s="17">
        <v>5160.2</v>
      </c>
      <c r="J3228" s="17">
        <f>IF(Gastos[[#This Row],[Divisa]]="$", I3228*1, IF(Gastos[[#This Row],[Divisa]]="U$D", I3228*$N$1, IF(Gastos[[#This Row],[Divisa]]="EUR", I3228*$N$2, 0)))</f>
        <v>5160.2</v>
      </c>
      <c r="K3228" s="61">
        <f>Gastos[[#This Row],[Importe AR$]]/$N$1</f>
        <v>3.4060726072607261</v>
      </c>
      <c r="L3228" t="s">
        <v>340</v>
      </c>
      <c r="M3228" s="76"/>
      <c r="N3228" s="50" t="str">
        <f>IF(Gastos[[#This Row],[Fecha_Cheque]]&gt;0,WEEKNUM(Gastos[[#This Row],[Fecha_Cheque]]),MID(Gastos[[#This Row],[Semana]],6,2))</f>
        <v>23</v>
      </c>
      <c r="O3228" t="s">
        <v>3247</v>
      </c>
      <c r="P3228" t="s">
        <v>27</v>
      </c>
    </row>
    <row r="3229" spans="1:16" hidden="1" x14ac:dyDescent="0.25">
      <c r="A3229" s="3" t="s">
        <v>2726</v>
      </c>
      <c r="B3229" t="s">
        <v>871</v>
      </c>
      <c r="C3229" t="s">
        <v>3248</v>
      </c>
      <c r="D3229" t="s">
        <v>26</v>
      </c>
      <c r="E3229" t="s">
        <v>42</v>
      </c>
      <c r="F3229">
        <v>1</v>
      </c>
      <c r="G3229" s="3" t="s">
        <v>4</v>
      </c>
      <c r="H3229" s="51" t="s">
        <v>15</v>
      </c>
      <c r="I3229" s="17">
        <v>18000</v>
      </c>
      <c r="J3229" s="17">
        <f>IF(Gastos[[#This Row],[Divisa]]="$", I3229*1, IF(Gastos[[#This Row],[Divisa]]="U$D", I3229*$N$1, IF(Gastos[[#This Row],[Divisa]]="EUR", I3229*$N$2, 0)))</f>
        <v>18000</v>
      </c>
      <c r="K3229" s="61">
        <f>Gastos[[#This Row],[Importe AR$]]/$N$1</f>
        <v>11.881188118811881</v>
      </c>
      <c r="M3229" s="76"/>
      <c r="N3229" s="50" t="str">
        <f>IF(Gastos[[#This Row],[Fecha_Cheque]]&gt;0,WEEKNUM(Gastos[[#This Row],[Fecha_Cheque]]),MID(Gastos[[#This Row],[Semana]],6,2))</f>
        <v>24</v>
      </c>
      <c r="O3229" t="s">
        <v>3249</v>
      </c>
      <c r="P3229" t="s">
        <v>27</v>
      </c>
    </row>
    <row r="3230" spans="1:16" hidden="1" x14ac:dyDescent="0.25">
      <c r="A3230" s="3" t="s">
        <v>2792</v>
      </c>
      <c r="B3230" t="s">
        <v>2002</v>
      </c>
      <c r="C3230" t="s">
        <v>224</v>
      </c>
      <c r="D3230" t="s">
        <v>26</v>
      </c>
      <c r="E3230" t="s">
        <v>225</v>
      </c>
      <c r="F3230">
        <v>1</v>
      </c>
      <c r="G3230" s="3" t="s">
        <v>32</v>
      </c>
      <c r="H3230" s="51" t="s">
        <v>15</v>
      </c>
      <c r="I3230" s="17">
        <v>36000</v>
      </c>
      <c r="J3230" s="17">
        <f>IF(Gastos[[#This Row],[Divisa]]="$", I3230*1, IF(Gastos[[#This Row],[Divisa]]="U$D", I3230*$N$1, IF(Gastos[[#This Row],[Divisa]]="EUR", I3230*$N$2, 0)))</f>
        <v>36000</v>
      </c>
      <c r="K3230" s="61">
        <f>Gastos[[#This Row],[Importe AR$]]/$N$1</f>
        <v>23.762376237623762</v>
      </c>
      <c r="M3230" s="76">
        <v>46157</v>
      </c>
      <c r="N3230" s="50">
        <f>IF(Gastos[[#This Row],[Fecha_Cheque]]&gt;0,WEEKNUM(Gastos[[#This Row],[Fecha_Cheque]]),MID(Gastos[[#This Row],[Semana]],6,2))</f>
        <v>20</v>
      </c>
      <c r="O3230" t="s">
        <v>3250</v>
      </c>
      <c r="P3230" t="s">
        <v>27</v>
      </c>
    </row>
    <row r="3231" spans="1:16" hidden="1" x14ac:dyDescent="0.25">
      <c r="A3231" s="3" t="s">
        <v>2792</v>
      </c>
      <c r="B3231" t="s">
        <v>2002</v>
      </c>
      <c r="C3231" t="s">
        <v>224</v>
      </c>
      <c r="D3231" t="s">
        <v>26</v>
      </c>
      <c r="E3231" t="s">
        <v>225</v>
      </c>
      <c r="F3231">
        <v>1</v>
      </c>
      <c r="G3231" s="3" t="s">
        <v>32</v>
      </c>
      <c r="H3231" s="51" t="s">
        <v>15</v>
      </c>
      <c r="I3231" s="17">
        <v>144000</v>
      </c>
      <c r="J3231" s="17">
        <f>IF(Gastos[[#This Row],[Divisa]]="$", I3231*1, IF(Gastos[[#This Row],[Divisa]]="U$D", I3231*$N$1, IF(Gastos[[#This Row],[Divisa]]="EUR", I3231*$N$2, 0)))</f>
        <v>144000</v>
      </c>
      <c r="K3231" s="61">
        <f>Gastos[[#This Row],[Importe AR$]]/$N$1</f>
        <v>95.049504950495049</v>
      </c>
      <c r="M3231" s="76">
        <v>46185</v>
      </c>
      <c r="N3231" s="50">
        <f>IF(Gastos[[#This Row],[Fecha_Cheque]]&gt;0,WEEKNUM(Gastos[[#This Row],[Fecha_Cheque]]),MID(Gastos[[#This Row],[Semana]],6,2))</f>
        <v>24</v>
      </c>
      <c r="O3231" t="s">
        <v>3250</v>
      </c>
      <c r="P3231" t="s">
        <v>27</v>
      </c>
    </row>
    <row r="3232" spans="1:16" hidden="1" x14ac:dyDescent="0.25">
      <c r="A3232" s="3" t="s">
        <v>2792</v>
      </c>
      <c r="B3232" t="s">
        <v>2002</v>
      </c>
      <c r="C3232" t="s">
        <v>224</v>
      </c>
      <c r="D3232" t="s">
        <v>26</v>
      </c>
      <c r="E3232" t="s">
        <v>225</v>
      </c>
      <c r="F3232">
        <v>1</v>
      </c>
      <c r="G3232" s="3" t="s">
        <v>32</v>
      </c>
      <c r="H3232" s="51" t="s">
        <v>15</v>
      </c>
      <c r="I3232" s="17">
        <v>272638.01</v>
      </c>
      <c r="J3232" s="17">
        <f>IF(Gastos[[#This Row],[Divisa]]="$", I3232*1, IF(Gastos[[#This Row],[Divisa]]="U$D", I3232*$N$1, IF(Gastos[[#This Row],[Divisa]]="EUR", I3232*$N$2, 0)))</f>
        <v>272638.01</v>
      </c>
      <c r="K3232" s="61">
        <f>Gastos[[#This Row],[Importe AR$]]/$N$1</f>
        <v>179.95908250825084</v>
      </c>
      <c r="M3232" s="76">
        <v>46157</v>
      </c>
      <c r="N3232" s="50">
        <f>IF(Gastos[[#This Row],[Fecha_Cheque]]&gt;0,WEEKNUM(Gastos[[#This Row],[Fecha_Cheque]]),MID(Gastos[[#This Row],[Semana]],6,2))</f>
        <v>20</v>
      </c>
      <c r="O3232" t="s">
        <v>3250</v>
      </c>
      <c r="P3232" t="s">
        <v>27</v>
      </c>
    </row>
    <row r="3233" spans="1:16" hidden="1" x14ac:dyDescent="0.25">
      <c r="A3233" s="3" t="s">
        <v>2726</v>
      </c>
      <c r="B3233" t="s">
        <v>871</v>
      </c>
      <c r="C3233" t="s">
        <v>3251</v>
      </c>
      <c r="D3233" t="s">
        <v>26</v>
      </c>
      <c r="E3233" t="s">
        <v>42</v>
      </c>
      <c r="F3233">
        <v>1</v>
      </c>
      <c r="G3233" s="3" t="s">
        <v>4</v>
      </c>
      <c r="H3233" s="51" t="s">
        <v>15</v>
      </c>
      <c r="I3233" s="17">
        <v>83000</v>
      </c>
      <c r="J3233" s="17">
        <f>IF(Gastos[[#This Row],[Divisa]]="$", I3233*1, IF(Gastos[[#This Row],[Divisa]]="U$D", I3233*$N$1, IF(Gastos[[#This Row],[Divisa]]="EUR", I3233*$N$2, 0)))</f>
        <v>83000</v>
      </c>
      <c r="K3233" s="61">
        <f>Gastos[[#This Row],[Importe AR$]]/$N$1</f>
        <v>54.785478547854787</v>
      </c>
      <c r="M3233" s="76"/>
      <c r="N3233" s="50" t="str">
        <f>IF(Gastos[[#This Row],[Fecha_Cheque]]&gt;0,WEEKNUM(Gastos[[#This Row],[Fecha_Cheque]]),MID(Gastos[[#This Row],[Semana]],6,2))</f>
        <v>24</v>
      </c>
      <c r="O3233" t="s">
        <v>3252</v>
      </c>
      <c r="P3233" t="s">
        <v>27</v>
      </c>
    </row>
    <row r="3234" spans="1:16" hidden="1" x14ac:dyDescent="0.25">
      <c r="A3234" s="3" t="s">
        <v>2841</v>
      </c>
      <c r="B3234" t="s">
        <v>3253</v>
      </c>
      <c r="C3234" t="s">
        <v>3178</v>
      </c>
      <c r="D3234" t="s">
        <v>26</v>
      </c>
      <c r="E3234" t="s">
        <v>31</v>
      </c>
      <c r="F3234">
        <v>1</v>
      </c>
      <c r="G3234" s="3" t="s">
        <v>32</v>
      </c>
      <c r="H3234" s="51" t="s">
        <v>15</v>
      </c>
      <c r="I3234" s="17">
        <v>1037200</v>
      </c>
      <c r="J3234" s="17">
        <f>IF(Gastos[[#This Row],[Divisa]]="$", I3234*1, IF(Gastos[[#This Row],[Divisa]]="U$D", I3234*$N$1, IF(Gastos[[#This Row],[Divisa]]="EUR", I3234*$N$2, 0)))</f>
        <v>1037200</v>
      </c>
      <c r="K3234" s="61">
        <f>Gastos[[#This Row],[Importe AR$]]/$N$1</f>
        <v>684.62046204620458</v>
      </c>
      <c r="M3234" s="76">
        <v>46189</v>
      </c>
      <c r="N3234" s="50">
        <f>IF(Gastos[[#This Row],[Fecha_Cheque]]&gt;0,WEEKNUM(Gastos[[#This Row],[Fecha_Cheque]]),MID(Gastos[[#This Row],[Semana]],6,2))</f>
        <v>25</v>
      </c>
      <c r="O3234" t="s">
        <v>3254</v>
      </c>
      <c r="P3234" t="s">
        <v>27</v>
      </c>
    </row>
    <row r="3235" spans="1:16" hidden="1" x14ac:dyDescent="0.25">
      <c r="A3235" s="3" t="s">
        <v>2841</v>
      </c>
      <c r="B3235" t="s">
        <v>3253</v>
      </c>
      <c r="C3235" t="s">
        <v>3178</v>
      </c>
      <c r="D3235" t="s">
        <v>26</v>
      </c>
      <c r="E3235" t="s">
        <v>31</v>
      </c>
      <c r="F3235">
        <v>1</v>
      </c>
      <c r="G3235" s="3" t="s">
        <v>32</v>
      </c>
      <c r="H3235" s="51" t="s">
        <v>15</v>
      </c>
      <c r="I3235" s="17">
        <v>12663.8</v>
      </c>
      <c r="J3235" s="17">
        <f>IF(Gastos[[#This Row],[Divisa]]="$", I3235*1, IF(Gastos[[#This Row],[Divisa]]="U$D", I3235*$N$1, IF(Gastos[[#This Row],[Divisa]]="EUR", I3235*$N$2, 0)))</f>
        <v>12663.8</v>
      </c>
      <c r="K3235" s="61">
        <f>Gastos[[#This Row],[Importe AR$]]/$N$1</f>
        <v>8.358943894389439</v>
      </c>
      <c r="L3235" t="s">
        <v>340</v>
      </c>
      <c r="M3235" s="76"/>
      <c r="N3235" s="50" t="str">
        <f>IF(Gastos[[#This Row],[Fecha_Cheque]]&gt;0,WEEKNUM(Gastos[[#This Row],[Fecha_Cheque]]),MID(Gastos[[#This Row],[Semana]],6,2))</f>
        <v>22</v>
      </c>
      <c r="O3235" t="s">
        <v>3254</v>
      </c>
      <c r="P3235" t="s">
        <v>27</v>
      </c>
    </row>
    <row r="3236" spans="1:16" hidden="1" x14ac:dyDescent="0.25">
      <c r="A3236" s="3" t="s">
        <v>2792</v>
      </c>
      <c r="B3236" t="s">
        <v>3051</v>
      </c>
      <c r="C3236" t="s">
        <v>2667</v>
      </c>
      <c r="D3236" t="s">
        <v>26</v>
      </c>
      <c r="E3236" t="s">
        <v>132</v>
      </c>
      <c r="F3236">
        <v>2</v>
      </c>
      <c r="G3236" s="3" t="s">
        <v>32</v>
      </c>
      <c r="H3236" s="51" t="s">
        <v>15</v>
      </c>
      <c r="I3236" s="17">
        <v>1214000</v>
      </c>
      <c r="J3236" s="17">
        <f>IF(Gastos[[#This Row],[Divisa]]="$", I3236*1, IF(Gastos[[#This Row],[Divisa]]="U$D", I3236*$N$1, IF(Gastos[[#This Row],[Divisa]]="EUR", I3236*$N$2, 0)))</f>
        <v>1214000</v>
      </c>
      <c r="K3236" s="61">
        <f>Gastos[[#This Row],[Importe AR$]]/$N$1</f>
        <v>801.32013201320137</v>
      </c>
      <c r="M3236" s="76">
        <v>46177</v>
      </c>
      <c r="N3236" s="50">
        <f>IF(Gastos[[#This Row],[Fecha_Cheque]]&gt;0,WEEKNUM(Gastos[[#This Row],[Fecha_Cheque]]),MID(Gastos[[#This Row],[Semana]],6,2))</f>
        <v>23</v>
      </c>
      <c r="O3236" t="s">
        <v>3255</v>
      </c>
      <c r="P3236" t="s">
        <v>27</v>
      </c>
    </row>
    <row r="3237" spans="1:16" hidden="1" x14ac:dyDescent="0.25">
      <c r="A3237" s="3" t="s">
        <v>2773</v>
      </c>
      <c r="B3237" t="s">
        <v>3256</v>
      </c>
      <c r="C3237" t="s">
        <v>1307</v>
      </c>
      <c r="D3237" t="s">
        <v>26</v>
      </c>
      <c r="E3237" t="s">
        <v>31</v>
      </c>
      <c r="F3237">
        <v>1</v>
      </c>
      <c r="G3237" s="3" t="s">
        <v>32</v>
      </c>
      <c r="H3237" s="51" t="s">
        <v>15</v>
      </c>
      <c r="I3237" s="17">
        <v>197433</v>
      </c>
      <c r="J3237" s="17">
        <f>IF(Gastos[[#This Row],[Divisa]]="$", I3237*1, IF(Gastos[[#This Row],[Divisa]]="U$D", I3237*$N$1, IF(Gastos[[#This Row],[Divisa]]="EUR", I3237*$N$2, 0)))</f>
        <v>197433</v>
      </c>
      <c r="K3237" s="61">
        <f>Gastos[[#This Row],[Importe AR$]]/$N$1</f>
        <v>130.31881188118811</v>
      </c>
      <c r="M3237" s="76">
        <v>46193</v>
      </c>
      <c r="N3237" s="50">
        <f>IF(Gastos[[#This Row],[Fecha_Cheque]]&gt;0,WEEKNUM(Gastos[[#This Row],[Fecha_Cheque]]),MID(Gastos[[#This Row],[Semana]],6,2))</f>
        <v>25</v>
      </c>
      <c r="O3237" t="s">
        <v>3257</v>
      </c>
      <c r="P3237" t="s">
        <v>27</v>
      </c>
    </row>
    <row r="3238" spans="1:16" hidden="1" x14ac:dyDescent="0.25">
      <c r="A3238" s="3" t="s">
        <v>2773</v>
      </c>
      <c r="B3238" t="s">
        <v>3256</v>
      </c>
      <c r="C3238" t="s">
        <v>1307</v>
      </c>
      <c r="D3238" t="s">
        <v>26</v>
      </c>
      <c r="E3238" t="s">
        <v>31</v>
      </c>
      <c r="F3238">
        <v>1</v>
      </c>
      <c r="G3238" s="3" t="s">
        <v>32</v>
      </c>
      <c r="H3238" s="51" t="s">
        <v>15</v>
      </c>
      <c r="I3238" s="17">
        <v>430000</v>
      </c>
      <c r="J3238" s="17">
        <f>IF(Gastos[[#This Row],[Divisa]]="$", I3238*1, IF(Gastos[[#This Row],[Divisa]]="U$D", I3238*$N$1, IF(Gastos[[#This Row],[Divisa]]="EUR", I3238*$N$2, 0)))</f>
        <v>430000</v>
      </c>
      <c r="K3238" s="61">
        <f>Gastos[[#This Row],[Importe AR$]]/$N$1</f>
        <v>283.8283828382838</v>
      </c>
      <c r="M3238" s="76">
        <v>46190</v>
      </c>
      <c r="N3238" s="50">
        <f>IF(Gastos[[#This Row],[Fecha_Cheque]]&gt;0,WEEKNUM(Gastos[[#This Row],[Fecha_Cheque]]),MID(Gastos[[#This Row],[Semana]],6,2))</f>
        <v>25</v>
      </c>
      <c r="O3238" t="s">
        <v>3257</v>
      </c>
      <c r="P3238" t="s">
        <v>27</v>
      </c>
    </row>
    <row r="3239" spans="1:16" hidden="1" x14ac:dyDescent="0.25">
      <c r="A3239" s="3" t="s">
        <v>2773</v>
      </c>
      <c r="B3239" t="s">
        <v>3256</v>
      </c>
      <c r="C3239" t="s">
        <v>1307</v>
      </c>
      <c r="D3239" t="s">
        <v>26</v>
      </c>
      <c r="E3239" t="s">
        <v>31</v>
      </c>
      <c r="F3239">
        <v>1</v>
      </c>
      <c r="G3239" s="3" t="s">
        <v>32</v>
      </c>
      <c r="H3239" s="51" t="s">
        <v>15</v>
      </c>
      <c r="I3239" s="17">
        <v>659050</v>
      </c>
      <c r="J3239" s="17">
        <f>IF(Gastos[[#This Row],[Divisa]]="$", I3239*1, IF(Gastos[[#This Row],[Divisa]]="U$D", I3239*$N$1, IF(Gastos[[#This Row],[Divisa]]="EUR", I3239*$N$2, 0)))</f>
        <v>659050</v>
      </c>
      <c r="K3239" s="61">
        <f>Gastos[[#This Row],[Importe AR$]]/$N$1</f>
        <v>435.01650165016503</v>
      </c>
      <c r="M3239" s="76">
        <v>46175</v>
      </c>
      <c r="N3239" s="50">
        <f>IF(Gastos[[#This Row],[Fecha_Cheque]]&gt;0,WEEKNUM(Gastos[[#This Row],[Fecha_Cheque]]),MID(Gastos[[#This Row],[Semana]],6,2))</f>
        <v>23</v>
      </c>
      <c r="O3239" t="s">
        <v>3257</v>
      </c>
      <c r="P3239" t="s">
        <v>27</v>
      </c>
    </row>
    <row r="3240" spans="1:16" hidden="1" x14ac:dyDescent="0.25">
      <c r="A3240" s="3" t="s">
        <v>2773</v>
      </c>
      <c r="B3240" t="s">
        <v>2587</v>
      </c>
      <c r="C3240" t="s">
        <v>1948</v>
      </c>
      <c r="D3240" t="s">
        <v>26</v>
      </c>
      <c r="E3240" t="s">
        <v>42</v>
      </c>
      <c r="F3240">
        <v>1</v>
      </c>
      <c r="G3240" s="3" t="s">
        <v>4</v>
      </c>
      <c r="H3240" s="51" t="s">
        <v>15</v>
      </c>
      <c r="I3240" s="17">
        <v>167550</v>
      </c>
      <c r="J3240" s="17">
        <f>IF(Gastos[[#This Row],[Divisa]]="$", I3240*1, IF(Gastos[[#This Row],[Divisa]]="U$D", I3240*$N$1, IF(Gastos[[#This Row],[Divisa]]="EUR", I3240*$N$2, 0)))</f>
        <v>167550</v>
      </c>
      <c r="K3240" s="61">
        <f>Gastos[[#This Row],[Importe AR$]]/$N$1</f>
        <v>110.5940594059406</v>
      </c>
      <c r="M3240" s="76"/>
      <c r="N3240" s="50" t="str">
        <f>IF(Gastos[[#This Row],[Fecha_Cheque]]&gt;0,WEEKNUM(Gastos[[#This Row],[Fecha_Cheque]]),MID(Gastos[[#This Row],[Semana]],6,2))</f>
        <v>20</v>
      </c>
      <c r="O3240" t="s">
        <v>3258</v>
      </c>
      <c r="P3240" t="s">
        <v>27</v>
      </c>
    </row>
    <row r="3241" spans="1:16" hidden="1" x14ac:dyDescent="0.25">
      <c r="A3241" s="3" t="s">
        <v>2773</v>
      </c>
      <c r="B3241" t="s">
        <v>2978</v>
      </c>
      <c r="C3241" t="s">
        <v>2911</v>
      </c>
      <c r="D3241" t="s">
        <v>26</v>
      </c>
      <c r="E3241" t="s">
        <v>42</v>
      </c>
      <c r="F3241">
        <v>1</v>
      </c>
      <c r="G3241" s="3" t="s">
        <v>4</v>
      </c>
      <c r="H3241" s="51" t="s">
        <v>15</v>
      </c>
      <c r="I3241" s="17">
        <v>21000</v>
      </c>
      <c r="J3241" s="17">
        <f>IF(Gastos[[#This Row],[Divisa]]="$", I3241*1, IF(Gastos[[#This Row],[Divisa]]="U$D", I3241*$N$1, IF(Gastos[[#This Row],[Divisa]]="EUR", I3241*$N$2, 0)))</f>
        <v>21000</v>
      </c>
      <c r="K3241" s="61">
        <f>Gastos[[#This Row],[Importe AR$]]/$N$1</f>
        <v>13.861386138613861</v>
      </c>
      <c r="M3241" s="76"/>
      <c r="N3241" s="50" t="str">
        <f>IF(Gastos[[#This Row],[Fecha_Cheque]]&gt;0,WEEKNUM(Gastos[[#This Row],[Fecha_Cheque]]),MID(Gastos[[#This Row],[Semana]],6,2))</f>
        <v>20</v>
      </c>
      <c r="O3241" t="s">
        <v>3259</v>
      </c>
      <c r="P3241" t="s">
        <v>27</v>
      </c>
    </row>
    <row r="3242" spans="1:16" hidden="1" x14ac:dyDescent="0.25">
      <c r="A3242" s="3" t="s">
        <v>2773</v>
      </c>
      <c r="B3242" t="s">
        <v>2860</v>
      </c>
      <c r="C3242" t="s">
        <v>3222</v>
      </c>
      <c r="D3242" t="s">
        <v>26</v>
      </c>
      <c r="E3242" t="s">
        <v>42</v>
      </c>
      <c r="F3242">
        <v>1</v>
      </c>
      <c r="G3242" s="3" t="s">
        <v>4</v>
      </c>
      <c r="H3242" s="51" t="s">
        <v>15</v>
      </c>
      <c r="I3242" s="17">
        <v>102500</v>
      </c>
      <c r="J3242" s="17">
        <f>IF(Gastos[[#This Row],[Divisa]]="$", I3242*1, IF(Gastos[[#This Row],[Divisa]]="U$D", I3242*$N$1, IF(Gastos[[#This Row],[Divisa]]="EUR", I3242*$N$2, 0)))</f>
        <v>102500</v>
      </c>
      <c r="K3242" s="61">
        <f>Gastos[[#This Row],[Importe AR$]]/$N$1</f>
        <v>67.656765676567659</v>
      </c>
      <c r="M3242" s="76"/>
      <c r="N3242" s="50" t="str">
        <f>IF(Gastos[[#This Row],[Fecha_Cheque]]&gt;0,WEEKNUM(Gastos[[#This Row],[Fecha_Cheque]]),MID(Gastos[[#This Row],[Semana]],6,2))</f>
        <v>20</v>
      </c>
      <c r="O3242" t="s">
        <v>3260</v>
      </c>
      <c r="P3242" t="s">
        <v>27</v>
      </c>
    </row>
    <row r="3243" spans="1:16" hidden="1" x14ac:dyDescent="0.25">
      <c r="A3243" s="3" t="s">
        <v>2773</v>
      </c>
      <c r="B3243" t="s">
        <v>3024</v>
      </c>
      <c r="C3243" t="s">
        <v>3261</v>
      </c>
      <c r="D3243" t="s">
        <v>26</v>
      </c>
      <c r="E3243" t="s">
        <v>42</v>
      </c>
      <c r="F3243">
        <v>1</v>
      </c>
      <c r="G3243" s="3" t="s">
        <v>4</v>
      </c>
      <c r="H3243" s="51" t="s">
        <v>15</v>
      </c>
      <c r="I3243" s="17">
        <v>19700</v>
      </c>
      <c r="J3243" s="17">
        <f>IF(Gastos[[#This Row],[Divisa]]="$", I3243*1, IF(Gastos[[#This Row],[Divisa]]="U$D", I3243*$N$1, IF(Gastos[[#This Row],[Divisa]]="EUR", I3243*$N$2, 0)))</f>
        <v>19700</v>
      </c>
      <c r="K3243" s="61">
        <f>Gastos[[#This Row],[Importe AR$]]/$N$1</f>
        <v>13.003300330033003</v>
      </c>
      <c r="M3243" s="76"/>
      <c r="N3243" s="50" t="str">
        <f>IF(Gastos[[#This Row],[Fecha_Cheque]]&gt;0,WEEKNUM(Gastos[[#This Row],[Fecha_Cheque]]),MID(Gastos[[#This Row],[Semana]],6,2))</f>
        <v>20</v>
      </c>
      <c r="O3243" t="s">
        <v>3262</v>
      </c>
      <c r="P3243" t="s">
        <v>27</v>
      </c>
    </row>
    <row r="3244" spans="1:16" hidden="1" x14ac:dyDescent="0.25">
      <c r="A3244" s="3" t="s">
        <v>2773</v>
      </c>
      <c r="B3244" t="s">
        <v>3263</v>
      </c>
      <c r="C3244" t="s">
        <v>3264</v>
      </c>
      <c r="D3244" t="s">
        <v>26</v>
      </c>
      <c r="E3244" t="s">
        <v>31</v>
      </c>
      <c r="F3244">
        <v>1</v>
      </c>
      <c r="G3244" s="3" t="s">
        <v>32</v>
      </c>
      <c r="H3244" s="51" t="s">
        <v>15</v>
      </c>
      <c r="I3244" s="17">
        <v>916972</v>
      </c>
      <c r="J3244" s="17">
        <f>IF(Gastos[[#This Row],[Divisa]]="$", I3244*1, IF(Gastos[[#This Row],[Divisa]]="U$D", I3244*$N$1, IF(Gastos[[#This Row],[Divisa]]="EUR", I3244*$N$2, 0)))</f>
        <v>916972</v>
      </c>
      <c r="K3244" s="61">
        <f>Gastos[[#This Row],[Importe AR$]]/$N$1</f>
        <v>605.26204620462045</v>
      </c>
      <c r="M3244" s="76">
        <v>46188</v>
      </c>
      <c r="N3244" s="50">
        <f>IF(Gastos[[#This Row],[Fecha_Cheque]]&gt;0,WEEKNUM(Gastos[[#This Row],[Fecha_Cheque]]),MID(Gastos[[#This Row],[Semana]],6,2))</f>
        <v>25</v>
      </c>
      <c r="O3244" t="s">
        <v>3265</v>
      </c>
      <c r="P3244" t="s">
        <v>27</v>
      </c>
    </row>
    <row r="3245" spans="1:16" hidden="1" x14ac:dyDescent="0.25">
      <c r="A3245" s="3" t="s">
        <v>2773</v>
      </c>
      <c r="B3245" t="s">
        <v>3263</v>
      </c>
      <c r="C3245" t="s">
        <v>3264</v>
      </c>
      <c r="D3245" t="s">
        <v>26</v>
      </c>
      <c r="E3245" t="s">
        <v>31</v>
      </c>
      <c r="F3245">
        <v>1</v>
      </c>
      <c r="G3245" s="3" t="s">
        <v>32</v>
      </c>
      <c r="H3245" s="51" t="s">
        <v>15</v>
      </c>
      <c r="I3245" s="17">
        <v>10856</v>
      </c>
      <c r="J3245" s="17">
        <f>IF(Gastos[[#This Row],[Divisa]]="$", I3245*1, IF(Gastos[[#This Row],[Divisa]]="U$D", I3245*$N$1, IF(Gastos[[#This Row],[Divisa]]="EUR", I3245*$N$2, 0)))</f>
        <v>10856</v>
      </c>
      <c r="K3245" s="61">
        <f>Gastos[[#This Row],[Importe AR$]]/$N$1</f>
        <v>7.1656765676567655</v>
      </c>
      <c r="L3245" t="s">
        <v>340</v>
      </c>
      <c r="M3245" s="76"/>
      <c r="N3245" s="50" t="str">
        <f>IF(Gastos[[#This Row],[Fecha_Cheque]]&gt;0,WEEKNUM(Gastos[[#This Row],[Fecha_Cheque]]),MID(Gastos[[#This Row],[Semana]],6,2))</f>
        <v>20</v>
      </c>
      <c r="O3245" t="s">
        <v>3265</v>
      </c>
      <c r="P3245" t="s">
        <v>27</v>
      </c>
    </row>
    <row r="3246" spans="1:16" hidden="1" x14ac:dyDescent="0.25">
      <c r="A3246" s="3" t="s">
        <v>2773</v>
      </c>
      <c r="B3246" t="s">
        <v>3266</v>
      </c>
      <c r="C3246" t="s">
        <v>3267</v>
      </c>
      <c r="D3246" t="s">
        <v>26</v>
      </c>
      <c r="E3246" t="s">
        <v>31</v>
      </c>
      <c r="F3246">
        <v>1</v>
      </c>
      <c r="G3246" s="3" t="s">
        <v>4</v>
      </c>
      <c r="H3246" s="51" t="s">
        <v>15</v>
      </c>
      <c r="I3246" s="17">
        <v>48590</v>
      </c>
      <c r="J3246" s="17">
        <f>IF(Gastos[[#This Row],[Divisa]]="$", I3246*1, IF(Gastos[[#This Row],[Divisa]]="U$D", I3246*$N$1, IF(Gastos[[#This Row],[Divisa]]="EUR", I3246*$N$2, 0)))</f>
        <v>48590</v>
      </c>
      <c r="K3246" s="61">
        <f>Gastos[[#This Row],[Importe AR$]]/$N$1</f>
        <v>32.072607260726073</v>
      </c>
      <c r="M3246" s="76"/>
      <c r="N3246" s="50" t="str">
        <f>IF(Gastos[[#This Row],[Fecha_Cheque]]&gt;0,WEEKNUM(Gastos[[#This Row],[Fecha_Cheque]]),MID(Gastos[[#This Row],[Semana]],6,2))</f>
        <v>20</v>
      </c>
      <c r="O3246" t="s">
        <v>3268</v>
      </c>
      <c r="P3246" t="s">
        <v>27</v>
      </c>
    </row>
    <row r="3247" spans="1:16" hidden="1" x14ac:dyDescent="0.25">
      <c r="A3247" s="3" t="s">
        <v>2773</v>
      </c>
      <c r="B3247" t="s">
        <v>2857</v>
      </c>
      <c r="D3247" t="s">
        <v>26</v>
      </c>
      <c r="E3247" t="s">
        <v>31</v>
      </c>
      <c r="F3247">
        <v>1</v>
      </c>
      <c r="G3247" s="3" t="s">
        <v>32</v>
      </c>
      <c r="H3247" s="51" t="s">
        <v>15</v>
      </c>
      <c r="I3247" s="17">
        <v>484260.77</v>
      </c>
      <c r="J3247" s="17">
        <f>IF(Gastos[[#This Row],[Divisa]]="$", I3247*1, IF(Gastos[[#This Row],[Divisa]]="U$D", I3247*$N$1, IF(Gastos[[#This Row],[Divisa]]="EUR", I3247*$N$2, 0)))</f>
        <v>484260.77</v>
      </c>
      <c r="K3247" s="61">
        <f>Gastos[[#This Row],[Importe AR$]]/$N$1</f>
        <v>319.64407260726074</v>
      </c>
      <c r="M3247" s="76">
        <v>46183</v>
      </c>
      <c r="N3247" s="50">
        <f>IF(Gastos[[#This Row],[Fecha_Cheque]]&gt;0,WEEKNUM(Gastos[[#This Row],[Fecha_Cheque]]),MID(Gastos[[#This Row],[Semana]],6,2))</f>
        <v>24</v>
      </c>
      <c r="O3247" t="s">
        <v>2859</v>
      </c>
      <c r="P3247" t="s">
        <v>27</v>
      </c>
    </row>
    <row r="3248" spans="1:16" hidden="1" x14ac:dyDescent="0.25">
      <c r="A3248" s="3" t="s">
        <v>2773</v>
      </c>
      <c r="B3248" t="s">
        <v>2857</v>
      </c>
      <c r="D3248" t="s">
        <v>26</v>
      </c>
      <c r="E3248" t="s">
        <v>31</v>
      </c>
      <c r="F3248">
        <v>1</v>
      </c>
      <c r="G3248" s="3" t="s">
        <v>32</v>
      </c>
      <c r="H3248" s="51" t="s">
        <v>15</v>
      </c>
      <c r="I3248" s="17">
        <v>1441191.5</v>
      </c>
      <c r="J3248" s="17">
        <f>IF(Gastos[[#This Row],[Divisa]]="$", I3248*1, IF(Gastos[[#This Row],[Divisa]]="U$D", I3248*$N$1, IF(Gastos[[#This Row],[Divisa]]="EUR", I3248*$N$2, 0)))</f>
        <v>1441191.5</v>
      </c>
      <c r="K3248" s="61">
        <f>Gastos[[#This Row],[Importe AR$]]/$N$1</f>
        <v>951.28151815181513</v>
      </c>
      <c r="M3248" s="76">
        <v>46183</v>
      </c>
      <c r="N3248" s="50">
        <f>IF(Gastos[[#This Row],[Fecha_Cheque]]&gt;0,WEEKNUM(Gastos[[#This Row],[Fecha_Cheque]]),MID(Gastos[[#This Row],[Semana]],6,2))</f>
        <v>24</v>
      </c>
      <c r="O3248" t="s">
        <v>2859</v>
      </c>
      <c r="P3248" t="s">
        <v>27</v>
      </c>
    </row>
    <row r="3249" spans="1:16" hidden="1" x14ac:dyDescent="0.25">
      <c r="A3249" s="3" t="s">
        <v>2773</v>
      </c>
      <c r="B3249" t="s">
        <v>2857</v>
      </c>
      <c r="D3249" t="s">
        <v>26</v>
      </c>
      <c r="E3249" t="s">
        <v>31</v>
      </c>
      <c r="F3249">
        <v>1</v>
      </c>
      <c r="G3249" s="3" t="s">
        <v>32</v>
      </c>
      <c r="H3249" s="51" t="s">
        <v>15</v>
      </c>
      <c r="I3249" s="17">
        <v>27345.64</v>
      </c>
      <c r="J3249" s="17">
        <f>IF(Gastos[[#This Row],[Divisa]]="$", I3249*1, IF(Gastos[[#This Row],[Divisa]]="U$D", I3249*$N$1, IF(Gastos[[#This Row],[Divisa]]="EUR", I3249*$N$2, 0)))</f>
        <v>27345.64</v>
      </c>
      <c r="K3249" s="61">
        <f>Gastos[[#This Row],[Importe AR$]]/$N$1</f>
        <v>18.049927392739274</v>
      </c>
      <c r="L3249" t="s">
        <v>340</v>
      </c>
      <c r="M3249" s="76"/>
      <c r="N3249" s="50" t="str">
        <f>IF(Gastos[[#This Row],[Fecha_Cheque]]&gt;0,WEEKNUM(Gastos[[#This Row],[Fecha_Cheque]]),MID(Gastos[[#This Row],[Semana]],6,2))</f>
        <v>20</v>
      </c>
      <c r="O3249" t="s">
        <v>2859</v>
      </c>
      <c r="P3249" t="s">
        <v>27</v>
      </c>
    </row>
    <row r="3250" spans="1:16" hidden="1" x14ac:dyDescent="0.25">
      <c r="A3250" s="3" t="s">
        <v>2773</v>
      </c>
      <c r="B3250" t="s">
        <v>266</v>
      </c>
      <c r="C3250" t="s">
        <v>2869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469797.79</v>
      </c>
      <c r="J3250" s="17">
        <f>IF(Gastos[[#This Row],[Divisa]]="$", I3250*1, IF(Gastos[[#This Row],[Divisa]]="U$D", I3250*$N$1, IF(Gastos[[#This Row],[Divisa]]="EUR", I3250*$N$2, 0)))</f>
        <v>469797.79</v>
      </c>
      <c r="K3250" s="61">
        <f>Gastos[[#This Row],[Importe AR$]]/$N$1</f>
        <v>310.09755115511553</v>
      </c>
      <c r="M3250" s="76">
        <v>46188</v>
      </c>
      <c r="N3250" s="50">
        <f>IF(Gastos[[#This Row],[Fecha_Cheque]]&gt;0,WEEKNUM(Gastos[[#This Row],[Fecha_Cheque]]),MID(Gastos[[#This Row],[Semana]],6,2))</f>
        <v>25</v>
      </c>
      <c r="O3250" t="s">
        <v>3269</v>
      </c>
      <c r="P3250" t="s">
        <v>27</v>
      </c>
    </row>
    <row r="3251" spans="1:16" hidden="1" x14ac:dyDescent="0.25">
      <c r="A3251" s="3" t="s">
        <v>2773</v>
      </c>
      <c r="B3251" t="s">
        <v>266</v>
      </c>
      <c r="C3251" t="s">
        <v>2869</v>
      </c>
      <c r="D3251" t="s">
        <v>26</v>
      </c>
      <c r="E3251" t="s">
        <v>31</v>
      </c>
      <c r="F3251">
        <v>1</v>
      </c>
      <c r="G3251" s="3" t="s">
        <v>32</v>
      </c>
      <c r="H3251" s="51" t="s">
        <v>15</v>
      </c>
      <c r="I3251" s="17">
        <v>3340.47</v>
      </c>
      <c r="J3251" s="17">
        <f>IF(Gastos[[#This Row],[Divisa]]="$", I3251*1, IF(Gastos[[#This Row],[Divisa]]="U$D", I3251*$N$1, IF(Gastos[[#This Row],[Divisa]]="EUR", I3251*$N$2, 0)))</f>
        <v>3340.47</v>
      </c>
      <c r="K3251" s="61">
        <f>Gastos[[#This Row],[Importe AR$]]/$N$1</f>
        <v>2.2049306930693069</v>
      </c>
      <c r="L3251" t="s">
        <v>340</v>
      </c>
      <c r="M3251" s="76"/>
      <c r="N3251" s="50" t="str">
        <f>IF(Gastos[[#This Row],[Fecha_Cheque]]&gt;0,WEEKNUM(Gastos[[#This Row],[Fecha_Cheque]]),MID(Gastos[[#This Row],[Semana]],6,2))</f>
        <v>20</v>
      </c>
      <c r="O3251" t="s">
        <v>3269</v>
      </c>
      <c r="P3251" t="s">
        <v>27</v>
      </c>
    </row>
    <row r="3252" spans="1:16" hidden="1" x14ac:dyDescent="0.25">
      <c r="A3252" s="3" t="s">
        <v>2792</v>
      </c>
      <c r="B3252" t="s">
        <v>3051</v>
      </c>
      <c r="C3252" t="s">
        <v>2667</v>
      </c>
      <c r="D3252" t="s">
        <v>26</v>
      </c>
      <c r="E3252" t="s">
        <v>132</v>
      </c>
      <c r="F3252">
        <v>2</v>
      </c>
      <c r="G3252" s="3" t="s">
        <v>32</v>
      </c>
      <c r="H3252" s="51" t="s">
        <v>15</v>
      </c>
      <c r="I3252" s="17">
        <v>1250000</v>
      </c>
      <c r="J3252" s="17">
        <f>IF(Gastos[[#This Row],[Divisa]]="$", I3252*1, IF(Gastos[[#This Row],[Divisa]]="U$D", I3252*$N$1, IF(Gastos[[#This Row],[Divisa]]="EUR", I3252*$N$2, 0)))</f>
        <v>1250000</v>
      </c>
      <c r="K3252" s="61">
        <f>Gastos[[#This Row],[Importe AR$]]/$N$1</f>
        <v>825.08250825082507</v>
      </c>
      <c r="M3252" s="76">
        <v>46196</v>
      </c>
      <c r="N3252" s="50">
        <f>IF(Gastos[[#This Row],[Fecha_Cheque]]&gt;0,WEEKNUM(Gastos[[#This Row],[Fecha_Cheque]]),MID(Gastos[[#This Row],[Semana]],6,2))</f>
        <v>26</v>
      </c>
      <c r="O3252" t="s">
        <v>3270</v>
      </c>
      <c r="P3252" t="s">
        <v>27</v>
      </c>
    </row>
    <row r="3253" spans="1:16" hidden="1" x14ac:dyDescent="0.25">
      <c r="A3253" s="3" t="s">
        <v>2763</v>
      </c>
      <c r="B3253" t="s">
        <v>1079</v>
      </c>
      <c r="C3253" t="s">
        <v>3271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7195841.1100000003</v>
      </c>
      <c r="J3253" s="17">
        <f>IF(Gastos[[#This Row],[Divisa]]="$", I3253*1, IF(Gastos[[#This Row],[Divisa]]="U$D", I3253*$N$1, IF(Gastos[[#This Row],[Divisa]]="EUR", I3253*$N$2, 0)))</f>
        <v>7195841.1100000003</v>
      </c>
      <c r="K3253" s="61">
        <f>Gastos[[#This Row],[Importe AR$]]/$N$1</f>
        <v>4749.7301056105616</v>
      </c>
      <c r="M3253" s="76">
        <v>46223</v>
      </c>
      <c r="N3253" s="50">
        <f>IF(Gastos[[#This Row],[Fecha_Cheque]]&gt;0,WEEKNUM(Gastos[[#This Row],[Fecha_Cheque]]),MID(Gastos[[#This Row],[Semana]],6,2))</f>
        <v>30</v>
      </c>
      <c r="O3253" t="s">
        <v>3272</v>
      </c>
      <c r="P3253" t="s">
        <v>27</v>
      </c>
    </row>
    <row r="3254" spans="1:16" hidden="1" x14ac:dyDescent="0.25">
      <c r="A3254" s="3" t="s">
        <v>2763</v>
      </c>
      <c r="B3254" t="s">
        <v>1079</v>
      </c>
      <c r="C3254" t="s">
        <v>3271</v>
      </c>
      <c r="D3254" t="s">
        <v>26</v>
      </c>
      <c r="E3254" t="s">
        <v>31</v>
      </c>
      <c r="F3254">
        <v>1</v>
      </c>
      <c r="G3254" s="3" t="s">
        <v>32</v>
      </c>
      <c r="H3254" s="51" t="s">
        <v>15</v>
      </c>
      <c r="I3254" s="17">
        <v>7195841.1100000003</v>
      </c>
      <c r="J3254" s="17">
        <f>IF(Gastos[[#This Row],[Divisa]]="$", I3254*1, IF(Gastos[[#This Row],[Divisa]]="U$D", I3254*$N$1, IF(Gastos[[#This Row],[Divisa]]="EUR", I3254*$N$2, 0)))</f>
        <v>7195841.1100000003</v>
      </c>
      <c r="K3254" s="61">
        <f>Gastos[[#This Row],[Importe AR$]]/$N$1</f>
        <v>4749.7301056105616</v>
      </c>
      <c r="M3254" s="76">
        <v>46237</v>
      </c>
      <c r="N3254" s="50">
        <f>IF(Gastos[[#This Row],[Fecha_Cheque]]&gt;0,WEEKNUM(Gastos[[#This Row],[Fecha_Cheque]]),MID(Gastos[[#This Row],[Semana]],6,2))</f>
        <v>32</v>
      </c>
      <c r="O3254" t="s">
        <v>3272</v>
      </c>
      <c r="P3254" t="s">
        <v>27</v>
      </c>
    </row>
    <row r="3255" spans="1:16" hidden="1" x14ac:dyDescent="0.25">
      <c r="A3255" s="3" t="s">
        <v>2763</v>
      </c>
      <c r="B3255" t="s">
        <v>1079</v>
      </c>
      <c r="C3255" t="s">
        <v>3271</v>
      </c>
      <c r="D3255" t="s">
        <v>26</v>
      </c>
      <c r="E3255" t="s">
        <v>31</v>
      </c>
      <c r="F3255">
        <v>1</v>
      </c>
      <c r="G3255" s="3" t="s">
        <v>32</v>
      </c>
      <c r="H3255" s="51" t="s">
        <v>15</v>
      </c>
      <c r="I3255" s="17">
        <v>7195841.1100000003</v>
      </c>
      <c r="J3255" s="17">
        <f>IF(Gastos[[#This Row],[Divisa]]="$", I3255*1, IF(Gastos[[#This Row],[Divisa]]="U$D", I3255*$N$1, IF(Gastos[[#This Row],[Divisa]]="EUR", I3255*$N$2, 0)))</f>
        <v>7195841.1100000003</v>
      </c>
      <c r="K3255" s="61">
        <f>Gastos[[#This Row],[Importe AR$]]/$N$1</f>
        <v>4749.7301056105616</v>
      </c>
      <c r="M3255" s="76">
        <v>46247</v>
      </c>
      <c r="N3255" s="50">
        <f>IF(Gastos[[#This Row],[Fecha_Cheque]]&gt;0,WEEKNUM(Gastos[[#This Row],[Fecha_Cheque]]),MID(Gastos[[#This Row],[Semana]],6,2))</f>
        <v>33</v>
      </c>
      <c r="O3255" t="s">
        <v>3272</v>
      </c>
      <c r="P3255" t="s">
        <v>27</v>
      </c>
    </row>
    <row r="3256" spans="1:16" hidden="1" x14ac:dyDescent="0.25">
      <c r="A3256" s="3" t="s">
        <v>2763</v>
      </c>
      <c r="B3256" t="s">
        <v>1079</v>
      </c>
      <c r="C3256" t="s">
        <v>3271</v>
      </c>
      <c r="D3256" t="s">
        <v>26</v>
      </c>
      <c r="E3256" t="s">
        <v>31</v>
      </c>
      <c r="F3256">
        <v>1</v>
      </c>
      <c r="G3256" s="3" t="s">
        <v>32</v>
      </c>
      <c r="H3256" s="51" t="s">
        <v>15</v>
      </c>
      <c r="I3256" s="17">
        <v>358260.22</v>
      </c>
      <c r="J3256" s="17">
        <f>IF(Gastos[[#This Row],[Divisa]]="$", I3256*1, IF(Gastos[[#This Row],[Divisa]]="U$D", I3256*$N$1, IF(Gastos[[#This Row],[Divisa]]="EUR", I3256*$N$2, 0)))</f>
        <v>358260.22</v>
      </c>
      <c r="K3256" s="61">
        <f>Gastos[[#This Row],[Importe AR$]]/$N$1</f>
        <v>236.4753927392739</v>
      </c>
      <c r="L3256" t="s">
        <v>340</v>
      </c>
      <c r="M3256" s="76"/>
      <c r="N3256" s="50" t="str">
        <f>IF(Gastos[[#This Row],[Fecha_Cheque]]&gt;0,WEEKNUM(Gastos[[#This Row],[Fecha_Cheque]]),MID(Gastos[[#This Row],[Semana]],6,2))</f>
        <v>23</v>
      </c>
      <c r="O3256" t="s">
        <v>3272</v>
      </c>
      <c r="P3256" t="s">
        <v>27</v>
      </c>
    </row>
    <row r="3257" spans="1:16" hidden="1" x14ac:dyDescent="0.25">
      <c r="A3257" s="3" t="s">
        <v>3842</v>
      </c>
      <c r="B3257" t="s">
        <v>266</v>
      </c>
      <c r="C3257" t="s">
        <v>3849</v>
      </c>
      <c r="D3257" t="s">
        <v>26</v>
      </c>
      <c r="E3257" t="s">
        <v>31</v>
      </c>
      <c r="F3257">
        <v>1</v>
      </c>
      <c r="G3257" s="3" t="s">
        <v>32</v>
      </c>
      <c r="H3257" s="51" t="s">
        <v>15</v>
      </c>
      <c r="I3257" s="17">
        <v>958175.99</v>
      </c>
      <c r="J3257" s="17">
        <f>IF(Gastos[[#This Row],[Divisa]]="$", I3257*1, IF(Gastos[[#This Row],[Divisa]]="U$D", I3257*$N$1, IF(Gastos[[#This Row],[Divisa]]="EUR", I3257*$N$2, 0)))</f>
        <v>958175.99</v>
      </c>
      <c r="K3257" s="61">
        <f>Gastos[[#This Row],[Importe AR$]]/$N$1</f>
        <v>632.45939933993395</v>
      </c>
      <c r="M3257" s="76">
        <v>46256</v>
      </c>
      <c r="N3257" s="50">
        <f>IF(Gastos[[#This Row],[Fecha_Cheque]]&gt;0,WEEKNUM(Gastos[[#This Row],[Fecha_Cheque]]),MID(Gastos[[#This Row],[Semana]],6,2))</f>
        <v>34</v>
      </c>
      <c r="O3257" t="s">
        <v>3877</v>
      </c>
      <c r="P3257" t="s">
        <v>27</v>
      </c>
    </row>
    <row r="3258" spans="1:16" hidden="1" x14ac:dyDescent="0.25">
      <c r="A3258" s="3" t="s">
        <v>3842</v>
      </c>
      <c r="B3258" t="s">
        <v>266</v>
      </c>
      <c r="C3258" t="s">
        <v>3849</v>
      </c>
      <c r="D3258" t="s">
        <v>26</v>
      </c>
      <c r="E3258" t="s">
        <v>31</v>
      </c>
      <c r="F3258">
        <v>1</v>
      </c>
      <c r="G3258" s="3" t="s">
        <v>32</v>
      </c>
      <c r="H3258" s="51" t="s">
        <v>15</v>
      </c>
      <c r="I3258" s="17">
        <v>16103.8</v>
      </c>
      <c r="J3258" s="17">
        <f>IF(Gastos[[#This Row],[Divisa]]="$", I3258*1, IF(Gastos[[#This Row],[Divisa]]="U$D", I3258*$N$1, IF(Gastos[[#This Row],[Divisa]]="EUR", I3258*$N$2, 0)))</f>
        <v>16103.8</v>
      </c>
      <c r="K3258" s="61">
        <f>Gastos[[#This Row],[Importe AR$]]/$N$1</f>
        <v>10.629570957095709</v>
      </c>
      <c r="L3258" t="s">
        <v>340</v>
      </c>
      <c r="M3258" s="76"/>
      <c r="N3258" s="50" t="str">
        <f>IF(Gastos[[#This Row],[Fecha_Cheque]]&gt;0,WEEKNUM(Gastos[[#This Row],[Fecha_Cheque]]),MID(Gastos[[#This Row],[Semana]],6,2))</f>
        <v>30</v>
      </c>
      <c r="O3258" t="s">
        <v>3877</v>
      </c>
      <c r="P3258" t="s">
        <v>27</v>
      </c>
    </row>
    <row r="3259" spans="1:16" x14ac:dyDescent="0.25">
      <c r="A3259" s="3" t="s">
        <v>3990</v>
      </c>
      <c r="B3259" t="s">
        <v>3767</v>
      </c>
      <c r="C3259" t="s">
        <v>3888</v>
      </c>
      <c r="D3259" t="s">
        <v>26</v>
      </c>
      <c r="E3259" t="s">
        <v>31</v>
      </c>
      <c r="F3259">
        <v>1</v>
      </c>
      <c r="G3259" s="3" t="s">
        <v>5</v>
      </c>
      <c r="H3259" s="51" t="s">
        <v>15</v>
      </c>
      <c r="I3259" s="17">
        <v>605000</v>
      </c>
      <c r="J3259" s="17">
        <f>IF(Gastos[[#This Row],[Divisa]]="$", I3259*1, IF(Gastos[[#This Row],[Divisa]]="U$D", I3259*$N$1, IF(Gastos[[#This Row],[Divisa]]="EUR", I3259*$N$2, 0)))</f>
        <v>605000</v>
      </c>
      <c r="K3259" s="61">
        <f>Gastos[[#This Row],[Importe AR$]]/$N$1</f>
        <v>399.33993399339931</v>
      </c>
      <c r="M3259" s="76"/>
      <c r="N3259" s="50" t="str">
        <f>IF(Gastos[[#This Row],[Fecha_Cheque]]&gt;0,WEEKNUM(Gastos[[#This Row],[Fecha_Cheque]]),MID(Gastos[[#This Row],[Semana]],6,2))</f>
        <v>32</v>
      </c>
      <c r="P3259" t="s">
        <v>3991</v>
      </c>
    </row>
    <row r="3260" spans="1:16" hidden="1" x14ac:dyDescent="0.25">
      <c r="A3260" s="3" t="s">
        <v>3641</v>
      </c>
      <c r="B3260" t="s">
        <v>2857</v>
      </c>
      <c r="C3260" t="s">
        <v>3669</v>
      </c>
      <c r="D3260" t="s">
        <v>26</v>
      </c>
      <c r="E3260" t="s">
        <v>31</v>
      </c>
      <c r="F3260">
        <v>1</v>
      </c>
      <c r="G3260" s="3" t="s">
        <v>5</v>
      </c>
      <c r="H3260" s="51" t="s">
        <v>15</v>
      </c>
      <c r="I3260" s="17">
        <v>1290848.79</v>
      </c>
      <c r="J3260" s="17">
        <f>IF(Gastos[[#This Row],[Divisa]]="$", I3260*1, IF(Gastos[[#This Row],[Divisa]]="U$D", I3260*$N$1, IF(Gastos[[#This Row],[Divisa]]="EUR", I3260*$N$2, 0)))</f>
        <v>1290848.79</v>
      </c>
      <c r="K3260" s="61">
        <f>Gastos[[#This Row],[Importe AR$]]/$N$1</f>
        <v>852.04540594059404</v>
      </c>
      <c r="M3260" s="76"/>
      <c r="N3260" s="50" t="str">
        <f>IF(Gastos[[#This Row],[Fecha_Cheque]]&gt;0,WEEKNUM(Gastos[[#This Row],[Fecha_Cheque]]),MID(Gastos[[#This Row],[Semana]],6,2))</f>
        <v>27</v>
      </c>
      <c r="O3260" t="s">
        <v>3676</v>
      </c>
      <c r="P3260" t="s">
        <v>27</v>
      </c>
    </row>
    <row r="3261" spans="1:16" x14ac:dyDescent="0.25">
      <c r="A3261" s="3" t="s">
        <v>3990</v>
      </c>
      <c r="B3261" t="s">
        <v>214</v>
      </c>
      <c r="C3261" t="s">
        <v>118</v>
      </c>
      <c r="D3261" t="s">
        <v>26</v>
      </c>
      <c r="E3261" t="s">
        <v>3956</v>
      </c>
      <c r="F3261">
        <v>1</v>
      </c>
      <c r="G3261" s="3" t="s">
        <v>32</v>
      </c>
      <c r="H3261" s="51" t="s">
        <v>2</v>
      </c>
      <c r="I3261" s="17">
        <v>4766</v>
      </c>
      <c r="J3261" s="17">
        <f>IF(Gastos[[#This Row],[Divisa]]="$", I3261*1, IF(Gastos[[#This Row],[Divisa]]="U$D", I3261*$N$1, IF(Gastos[[#This Row],[Divisa]]="EUR", I3261*$N$2, 0)))</f>
        <v>7220490</v>
      </c>
      <c r="K3261" s="61">
        <f>Gastos[[#This Row],[Importe AR$]]/$N$1</f>
        <v>4766</v>
      </c>
      <c r="M3261" s="76"/>
      <c r="N3261" s="50" t="str">
        <f>IF(Gastos[[#This Row],[Fecha_Cheque]]&gt;0,WEEKNUM(Gastos[[#This Row],[Fecha_Cheque]]),MID(Gastos[[#This Row],[Semana]],6,2))</f>
        <v>32</v>
      </c>
    </row>
    <row r="3262" spans="1:16" hidden="1" x14ac:dyDescent="0.25">
      <c r="A3262" s="3" t="s">
        <v>3718</v>
      </c>
      <c r="B3262" t="s">
        <v>334</v>
      </c>
      <c r="C3262" t="s">
        <v>2836</v>
      </c>
      <c r="D3262" t="s">
        <v>26</v>
      </c>
      <c r="E3262" t="s">
        <v>42</v>
      </c>
      <c r="F3262">
        <v>1</v>
      </c>
      <c r="G3262" s="3" t="s">
        <v>4</v>
      </c>
      <c r="H3262" s="53" t="s">
        <v>15</v>
      </c>
      <c r="I3262" s="17">
        <v>426745.29</v>
      </c>
      <c r="J3262" s="17">
        <f>IF(Gastos[[#This Row],[Divisa]]="$", I3262*1, IF(Gastos[[#This Row],[Divisa]]="U$D", I3262*$N$1, IF(Gastos[[#This Row],[Divisa]]="EUR", I3262*$N$2, 0)))</f>
        <v>426745.29</v>
      </c>
      <c r="K3262" s="61">
        <f>Gastos[[#This Row],[Importe AR$]]/$N$1</f>
        <v>281.6800594059406</v>
      </c>
      <c r="M3262" s="76"/>
      <c r="N3262" s="50" t="str">
        <f>IF(Gastos[[#This Row],[Fecha_Cheque]]&gt;0,WEEKNUM(Gastos[[#This Row],[Fecha_Cheque]]),MID(Gastos[[#This Row],[Semana]],6,2))</f>
        <v>28</v>
      </c>
      <c r="O3262" t="s">
        <v>3775</v>
      </c>
      <c r="P3262" t="s">
        <v>27</v>
      </c>
    </row>
    <row r="3263" spans="1:16" hidden="1" x14ac:dyDescent="0.25">
      <c r="A3263" s="3" t="s">
        <v>3718</v>
      </c>
      <c r="B3263" t="s">
        <v>334</v>
      </c>
      <c r="C3263" t="s">
        <v>2836</v>
      </c>
      <c r="D3263" t="s">
        <v>26</v>
      </c>
      <c r="E3263" t="s">
        <v>42</v>
      </c>
      <c r="F3263">
        <v>1</v>
      </c>
      <c r="G3263" s="3" t="s">
        <v>4</v>
      </c>
      <c r="H3263" s="53" t="s">
        <v>15</v>
      </c>
      <c r="I3263" s="17">
        <v>2616.9</v>
      </c>
      <c r="J3263" s="17">
        <f>IF(Gastos[[#This Row],[Divisa]]="$", I3263*1, IF(Gastos[[#This Row],[Divisa]]="U$D", I3263*$N$1, IF(Gastos[[#This Row],[Divisa]]="EUR", I3263*$N$2, 0)))</f>
        <v>2616.9</v>
      </c>
      <c r="K3263" s="61">
        <f>Gastos[[#This Row],[Importe AR$]]/$N$1</f>
        <v>1.7273267326732673</v>
      </c>
      <c r="L3263" t="s">
        <v>340</v>
      </c>
      <c r="M3263" s="76"/>
      <c r="N3263" s="50" t="str">
        <f>IF(Gastos[[#This Row],[Fecha_Cheque]]&gt;0,WEEKNUM(Gastos[[#This Row],[Fecha_Cheque]]),MID(Gastos[[#This Row],[Semana]],6,2))</f>
        <v>28</v>
      </c>
      <c r="O3263" t="s">
        <v>3775</v>
      </c>
      <c r="P3263" t="s">
        <v>27</v>
      </c>
    </row>
    <row r="3264" spans="1:16" hidden="1" x14ac:dyDescent="0.25">
      <c r="A3264" s="3" t="s">
        <v>2792</v>
      </c>
      <c r="B3264" t="s">
        <v>2198</v>
      </c>
      <c r="C3264" t="s">
        <v>3273</v>
      </c>
      <c r="D3264" t="s">
        <v>26</v>
      </c>
      <c r="E3264" t="s">
        <v>31</v>
      </c>
      <c r="F3264">
        <v>2</v>
      </c>
      <c r="G3264" s="3" t="s">
        <v>32</v>
      </c>
      <c r="H3264" s="51" t="s">
        <v>15</v>
      </c>
      <c r="I3264" s="17">
        <v>1214000</v>
      </c>
      <c r="J3264" s="17">
        <f>IF(Gastos[[#This Row],[Divisa]]="$", I3264*1, IF(Gastos[[#This Row],[Divisa]]="U$D", I3264*$N$1, IF(Gastos[[#This Row],[Divisa]]="EUR", I3264*$N$2, 0)))</f>
        <v>1214000</v>
      </c>
      <c r="K3264" s="61">
        <f>Gastos[[#This Row],[Importe AR$]]/$N$1</f>
        <v>801.32013201320137</v>
      </c>
      <c r="M3264" s="76">
        <v>46214</v>
      </c>
      <c r="N3264" s="50">
        <f>IF(Gastos[[#This Row],[Fecha_Cheque]]&gt;0,WEEKNUM(Gastos[[#This Row],[Fecha_Cheque]]),MID(Gastos[[#This Row],[Semana]],6,2))</f>
        <v>28</v>
      </c>
      <c r="O3264" t="s">
        <v>3274</v>
      </c>
      <c r="P3264" t="s">
        <v>27</v>
      </c>
    </row>
    <row r="3265" spans="1:16" hidden="1" x14ac:dyDescent="0.25">
      <c r="A3265" s="3" t="s">
        <v>2763</v>
      </c>
      <c r="B3265" t="s">
        <v>1143</v>
      </c>
      <c r="C3265" t="s">
        <v>1147</v>
      </c>
      <c r="D3265" t="s">
        <v>26</v>
      </c>
      <c r="E3265" t="s">
        <v>91</v>
      </c>
      <c r="F3265">
        <v>1</v>
      </c>
      <c r="G3265" s="3" t="s">
        <v>5</v>
      </c>
      <c r="H3265" s="51" t="s">
        <v>15</v>
      </c>
      <c r="I3265" s="17">
        <v>237376.46</v>
      </c>
      <c r="J3265" s="17">
        <f>IF(Gastos[[#This Row],[Divisa]]="$", I3265*1, IF(Gastos[[#This Row],[Divisa]]="U$D", I3265*$N$1, IF(Gastos[[#This Row],[Divisa]]="EUR", I3265*$N$2, 0)))</f>
        <v>237376.46</v>
      </c>
      <c r="K3265" s="61">
        <f>Gastos[[#This Row],[Importe AR$]]/$N$1</f>
        <v>156.68413201320132</v>
      </c>
      <c r="M3265" s="76"/>
      <c r="N3265" s="50" t="str">
        <f>IF(Gastos[[#This Row],[Fecha_Cheque]]&gt;0,WEEKNUM(Gastos[[#This Row],[Fecha_Cheque]]),MID(Gastos[[#This Row],[Semana]],6,2))</f>
        <v>23</v>
      </c>
      <c r="O3265" t="s">
        <v>3275</v>
      </c>
      <c r="P3265" t="s">
        <v>27</v>
      </c>
    </row>
    <row r="3266" spans="1:16" hidden="1" x14ac:dyDescent="0.25">
      <c r="A3266" s="3" t="s">
        <v>2763</v>
      </c>
      <c r="B3266" t="s">
        <v>1143</v>
      </c>
      <c r="C3266" t="s">
        <v>1147</v>
      </c>
      <c r="D3266" t="s">
        <v>26</v>
      </c>
      <c r="E3266" t="s">
        <v>91</v>
      </c>
      <c r="F3266">
        <v>1</v>
      </c>
      <c r="G3266" s="3" t="s">
        <v>5</v>
      </c>
      <c r="H3266" s="51" t="s">
        <v>15</v>
      </c>
      <c r="I3266" s="17">
        <v>2623.54</v>
      </c>
      <c r="J3266" s="17">
        <f>IF(Gastos[[#This Row],[Divisa]]="$", I3266*1, IF(Gastos[[#This Row],[Divisa]]="U$D", I3266*$N$1, IF(Gastos[[#This Row],[Divisa]]="EUR", I3266*$N$2, 0)))</f>
        <v>2623.54</v>
      </c>
      <c r="K3266" s="61">
        <f>Gastos[[#This Row],[Importe AR$]]/$N$1</f>
        <v>1.7317095709570958</v>
      </c>
      <c r="L3266" t="s">
        <v>340</v>
      </c>
      <c r="M3266" s="76"/>
      <c r="N3266" s="50" t="str">
        <f>IF(Gastos[[#This Row],[Fecha_Cheque]]&gt;0,WEEKNUM(Gastos[[#This Row],[Fecha_Cheque]]),MID(Gastos[[#This Row],[Semana]],6,2))</f>
        <v>23</v>
      </c>
      <c r="O3266" t="s">
        <v>3275</v>
      </c>
      <c r="P3266" t="s">
        <v>27</v>
      </c>
    </row>
    <row r="3267" spans="1:16" hidden="1" x14ac:dyDescent="0.25">
      <c r="A3267" s="3" t="s">
        <v>2763</v>
      </c>
      <c r="B3267" t="s">
        <v>1152</v>
      </c>
      <c r="C3267" t="s">
        <v>1157</v>
      </c>
      <c r="D3267" t="s">
        <v>26</v>
      </c>
      <c r="E3267" t="s">
        <v>31</v>
      </c>
      <c r="F3267">
        <v>1</v>
      </c>
      <c r="G3267" s="3" t="s">
        <v>32</v>
      </c>
      <c r="H3267" s="51" t="s">
        <v>15</v>
      </c>
      <c r="I3267" s="17">
        <v>93567.61</v>
      </c>
      <c r="J3267" s="17">
        <f>IF(Gastos[[#This Row],[Divisa]]="$", I3267*1, IF(Gastos[[#This Row],[Divisa]]="U$D", I3267*$N$1, IF(Gastos[[#This Row],[Divisa]]="EUR", I3267*$N$2, 0)))</f>
        <v>93567.61</v>
      </c>
      <c r="K3267" s="61">
        <f>Gastos[[#This Row],[Importe AR$]]/$N$1</f>
        <v>61.760798679867989</v>
      </c>
      <c r="M3267" s="76">
        <v>46208</v>
      </c>
      <c r="N3267" s="50">
        <f>IF(Gastos[[#This Row],[Fecha_Cheque]]&gt;0,WEEKNUM(Gastos[[#This Row],[Fecha_Cheque]]),MID(Gastos[[#This Row],[Semana]],6,2))</f>
        <v>28</v>
      </c>
      <c r="O3267" t="s">
        <v>3276</v>
      </c>
      <c r="P3267" t="s">
        <v>27</v>
      </c>
    </row>
    <row r="3268" spans="1:16" hidden="1" x14ac:dyDescent="0.25">
      <c r="A3268" s="3" t="s">
        <v>3440</v>
      </c>
      <c r="B3268" t="s">
        <v>3551</v>
      </c>
      <c r="C3268" t="s">
        <v>3552</v>
      </c>
      <c r="D3268" t="s">
        <v>26</v>
      </c>
      <c r="E3268" t="s">
        <v>42</v>
      </c>
      <c r="F3268">
        <v>1</v>
      </c>
      <c r="G3268" s="3" t="s">
        <v>4</v>
      </c>
      <c r="H3268" s="51" t="s">
        <v>15</v>
      </c>
      <c r="I3268" s="17">
        <v>49999.98</v>
      </c>
      <c r="J3268" s="17">
        <f>IF(Gastos[[#This Row],[Divisa]]="$", I3268*1, IF(Gastos[[#This Row],[Divisa]]="U$D", I3268*$N$1, IF(Gastos[[#This Row],[Divisa]]="EUR", I3268*$N$2, 0)))</f>
        <v>49999.98</v>
      </c>
      <c r="K3268" s="61">
        <f>Gastos[[#This Row],[Importe AR$]]/$N$1</f>
        <v>33.00328712871287</v>
      </c>
      <c r="M3268" s="76"/>
      <c r="N3268" s="50" t="str">
        <f>IF(Gastos[[#This Row],[Fecha_Cheque]]&gt;0,WEEKNUM(Gastos[[#This Row],[Fecha_Cheque]]),MID(Gastos[[#This Row],[Semana]],6,2))</f>
        <v>25</v>
      </c>
      <c r="O3268" t="s">
        <v>3553</v>
      </c>
      <c r="P3268" t="s">
        <v>27</v>
      </c>
    </row>
    <row r="3269" spans="1:16" hidden="1" x14ac:dyDescent="0.25">
      <c r="A3269" s="3" t="s">
        <v>2841</v>
      </c>
      <c r="B3269" t="s">
        <v>3263</v>
      </c>
      <c r="C3269" t="s">
        <v>3277</v>
      </c>
      <c r="D3269" t="s">
        <v>26</v>
      </c>
      <c r="E3269" t="s">
        <v>31</v>
      </c>
      <c r="F3269">
        <v>1</v>
      </c>
      <c r="G3269" s="3" t="s">
        <v>32</v>
      </c>
      <c r="H3269" s="51" t="s">
        <v>15</v>
      </c>
      <c r="I3269" s="17">
        <v>3296538</v>
      </c>
      <c r="J3269" s="17">
        <f>IF(Gastos[[#This Row],[Divisa]]="$", I3269*1, IF(Gastos[[#This Row],[Divisa]]="U$D", I3269*$N$1, IF(Gastos[[#This Row],[Divisa]]="EUR", I3269*$N$2, 0)))</f>
        <v>3296538</v>
      </c>
      <c r="K3269" s="61">
        <f>Gastos[[#This Row],[Importe AR$]]/$N$1</f>
        <v>2175.9326732673267</v>
      </c>
      <c r="M3269" s="76">
        <v>46199</v>
      </c>
      <c r="N3269" s="50">
        <f>IF(Gastos[[#This Row],[Fecha_Cheque]]&gt;0,WEEKNUM(Gastos[[#This Row],[Fecha_Cheque]]),MID(Gastos[[#This Row],[Semana]],6,2))</f>
        <v>26</v>
      </c>
      <c r="O3269" t="s">
        <v>3278</v>
      </c>
      <c r="P3269" t="s">
        <v>27</v>
      </c>
    </row>
    <row r="3270" spans="1:16" hidden="1" x14ac:dyDescent="0.25">
      <c r="A3270" s="3" t="s">
        <v>2841</v>
      </c>
      <c r="B3270" t="s">
        <v>3263</v>
      </c>
      <c r="C3270" t="s">
        <v>3277</v>
      </c>
      <c r="D3270" t="s">
        <v>26</v>
      </c>
      <c r="E3270" t="s">
        <v>31</v>
      </c>
      <c r="F3270">
        <v>1</v>
      </c>
      <c r="G3270" s="3" t="s">
        <v>32</v>
      </c>
      <c r="H3270" s="51" t="s">
        <v>15</v>
      </c>
      <c r="I3270" s="17">
        <v>55404</v>
      </c>
      <c r="J3270" s="17">
        <f>IF(Gastos[[#This Row],[Divisa]]="$", I3270*1, IF(Gastos[[#This Row],[Divisa]]="U$D", I3270*$N$1, IF(Gastos[[#This Row],[Divisa]]="EUR", I3270*$N$2, 0)))</f>
        <v>55404</v>
      </c>
      <c r="K3270" s="61">
        <f>Gastos[[#This Row],[Importe AR$]]/$N$1</f>
        <v>36.570297029702971</v>
      </c>
      <c r="L3270" t="s">
        <v>340</v>
      </c>
      <c r="M3270" s="76"/>
      <c r="N3270" s="50" t="str">
        <f>IF(Gastos[[#This Row],[Fecha_Cheque]]&gt;0,WEEKNUM(Gastos[[#This Row],[Fecha_Cheque]]),MID(Gastos[[#This Row],[Semana]],6,2))</f>
        <v>22</v>
      </c>
      <c r="O3270" t="s">
        <v>3278</v>
      </c>
      <c r="P3270" t="s">
        <v>27</v>
      </c>
    </row>
    <row r="3271" spans="1:16" hidden="1" x14ac:dyDescent="0.25">
      <c r="A3271" s="3" t="s">
        <v>2841</v>
      </c>
      <c r="B3271" t="s">
        <v>3263</v>
      </c>
      <c r="C3271" t="s">
        <v>2473</v>
      </c>
      <c r="D3271" t="s">
        <v>26</v>
      </c>
      <c r="E3271" t="s">
        <v>31</v>
      </c>
      <c r="F3271">
        <v>1</v>
      </c>
      <c r="G3271" s="3" t="s">
        <v>32</v>
      </c>
      <c r="H3271" s="51" t="s">
        <v>15</v>
      </c>
      <c r="I3271" s="17">
        <v>1058007.3400000001</v>
      </c>
      <c r="J3271" s="17">
        <f>IF(Gastos[[#This Row],[Divisa]]="$", I3271*1, IF(Gastos[[#This Row],[Divisa]]="U$D", I3271*$N$1, IF(Gastos[[#This Row],[Divisa]]="EUR", I3271*$N$2, 0)))</f>
        <v>1058007.3400000001</v>
      </c>
      <c r="K3271" s="61">
        <f>Gastos[[#This Row],[Importe AR$]]/$N$1</f>
        <v>698.35467986798687</v>
      </c>
      <c r="M3271" s="76">
        <v>46204</v>
      </c>
      <c r="N3271" s="50">
        <f>IF(Gastos[[#This Row],[Fecha_Cheque]]&gt;0,WEEKNUM(Gastos[[#This Row],[Fecha_Cheque]]),MID(Gastos[[#This Row],[Semana]],6,2))</f>
        <v>27</v>
      </c>
      <c r="O3271" t="s">
        <v>3279</v>
      </c>
      <c r="P3271" t="s">
        <v>27</v>
      </c>
    </row>
    <row r="3272" spans="1:16" hidden="1" x14ac:dyDescent="0.25">
      <c r="A3272" s="3" t="s">
        <v>2841</v>
      </c>
      <c r="B3272" t="s">
        <v>3263</v>
      </c>
      <c r="C3272" t="s">
        <v>2473</v>
      </c>
      <c r="D3272" t="s">
        <v>26</v>
      </c>
      <c r="E3272" t="s">
        <v>31</v>
      </c>
      <c r="F3272">
        <v>1</v>
      </c>
      <c r="G3272" s="3" t="s">
        <v>32</v>
      </c>
      <c r="H3272" s="51" t="s">
        <v>15</v>
      </c>
      <c r="I3272" s="17">
        <v>17781.64</v>
      </c>
      <c r="J3272" s="17">
        <f>IF(Gastos[[#This Row],[Divisa]]="$", I3272*1, IF(Gastos[[#This Row],[Divisa]]="U$D", I3272*$N$1, IF(Gastos[[#This Row],[Divisa]]="EUR", I3272*$N$2, 0)))</f>
        <v>17781.64</v>
      </c>
      <c r="K3272" s="61">
        <f>Gastos[[#This Row],[Importe AR$]]/$N$1</f>
        <v>11.737056105610561</v>
      </c>
      <c r="L3272" t="s">
        <v>340</v>
      </c>
      <c r="M3272" s="76"/>
      <c r="N3272" s="50" t="str">
        <f>IF(Gastos[[#This Row],[Fecha_Cheque]]&gt;0,WEEKNUM(Gastos[[#This Row],[Fecha_Cheque]]),MID(Gastos[[#This Row],[Semana]],6,2))</f>
        <v>22</v>
      </c>
      <c r="O3272" t="s">
        <v>3279</v>
      </c>
      <c r="P3272" t="s">
        <v>27</v>
      </c>
    </row>
    <row r="3273" spans="1:16" hidden="1" x14ac:dyDescent="0.25">
      <c r="A3273" s="3" t="s">
        <v>2763</v>
      </c>
      <c r="B3273" t="s">
        <v>3048</v>
      </c>
      <c r="C3273" t="s">
        <v>155</v>
      </c>
      <c r="D3273" t="s">
        <v>26</v>
      </c>
      <c r="E3273" t="s">
        <v>42</v>
      </c>
      <c r="F3273">
        <v>1</v>
      </c>
      <c r="G3273" s="3" t="s">
        <v>4</v>
      </c>
      <c r="H3273" s="51" t="s">
        <v>15</v>
      </c>
      <c r="I3273" s="17">
        <v>70000</v>
      </c>
      <c r="J3273" s="17">
        <f>IF(Gastos[[#This Row],[Divisa]]="$", I3273*1, IF(Gastos[[#This Row],[Divisa]]="U$D", I3273*$N$1, IF(Gastos[[#This Row],[Divisa]]="EUR", I3273*$N$2, 0)))</f>
        <v>70000</v>
      </c>
      <c r="K3273" s="61">
        <f>Gastos[[#This Row],[Importe AR$]]/$N$1</f>
        <v>46.204620462046208</v>
      </c>
      <c r="M3273" s="76"/>
      <c r="N3273" s="50" t="str">
        <f>IF(Gastos[[#This Row],[Fecha_Cheque]]&gt;0,WEEKNUM(Gastos[[#This Row],[Fecha_Cheque]]),MID(Gastos[[#This Row],[Semana]],6,2))</f>
        <v>23</v>
      </c>
      <c r="O3273" t="s">
        <v>3280</v>
      </c>
      <c r="P3273" t="s">
        <v>27</v>
      </c>
    </row>
    <row r="3274" spans="1:16" hidden="1" x14ac:dyDescent="0.25">
      <c r="A3274" s="3" t="s">
        <v>2763</v>
      </c>
      <c r="B3274" t="s">
        <v>2930</v>
      </c>
      <c r="C3274" t="s">
        <v>3281</v>
      </c>
      <c r="D3274" t="s">
        <v>26</v>
      </c>
      <c r="E3274" t="s">
        <v>42</v>
      </c>
      <c r="F3274">
        <v>1</v>
      </c>
      <c r="G3274" s="3" t="s">
        <v>4</v>
      </c>
      <c r="H3274" s="51" t="s">
        <v>15</v>
      </c>
      <c r="I3274" s="17">
        <v>15200.06</v>
      </c>
      <c r="J3274" s="17">
        <f>IF(Gastos[[#This Row],[Divisa]]="$", I3274*1, IF(Gastos[[#This Row],[Divisa]]="U$D", I3274*$N$1, IF(Gastos[[#This Row],[Divisa]]="EUR", I3274*$N$2, 0)))</f>
        <v>15200.06</v>
      </c>
      <c r="K3274" s="61">
        <f>Gastos[[#This Row],[Importe AR$]]/$N$1</f>
        <v>10.033042904290429</v>
      </c>
      <c r="M3274" s="76"/>
      <c r="N3274" s="50" t="str">
        <f>IF(Gastos[[#This Row],[Fecha_Cheque]]&gt;0,WEEKNUM(Gastos[[#This Row],[Fecha_Cheque]]),MID(Gastos[[#This Row],[Semana]],6,2))</f>
        <v>23</v>
      </c>
      <c r="O3274" t="s">
        <v>3282</v>
      </c>
      <c r="P3274" t="s">
        <v>27</v>
      </c>
    </row>
    <row r="3275" spans="1:16" hidden="1" x14ac:dyDescent="0.25">
      <c r="A3275" s="3" t="s">
        <v>2763</v>
      </c>
      <c r="B3275" t="s">
        <v>2930</v>
      </c>
      <c r="C3275" t="s">
        <v>3283</v>
      </c>
      <c r="D3275" t="s">
        <v>26</v>
      </c>
      <c r="E3275" t="s">
        <v>42</v>
      </c>
      <c r="F3275">
        <v>1</v>
      </c>
      <c r="G3275" s="3" t="s">
        <v>4</v>
      </c>
      <c r="H3275" s="51" t="s">
        <v>15</v>
      </c>
      <c r="I3275" s="17">
        <v>17599.96</v>
      </c>
      <c r="J3275" s="17">
        <f>IF(Gastos[[#This Row],[Divisa]]="$", I3275*1, IF(Gastos[[#This Row],[Divisa]]="U$D", I3275*$N$1, IF(Gastos[[#This Row],[Divisa]]="EUR", I3275*$N$2, 0)))</f>
        <v>17599.96</v>
      </c>
      <c r="K3275" s="61">
        <f>Gastos[[#This Row],[Importe AR$]]/$N$1</f>
        <v>11.617135313531353</v>
      </c>
      <c r="M3275" s="76"/>
      <c r="N3275" s="50" t="str">
        <f>IF(Gastos[[#This Row],[Fecha_Cheque]]&gt;0,WEEKNUM(Gastos[[#This Row],[Fecha_Cheque]]),MID(Gastos[[#This Row],[Semana]],6,2))</f>
        <v>23</v>
      </c>
      <c r="O3275" t="s">
        <v>3284</v>
      </c>
      <c r="P3275" t="s">
        <v>27</v>
      </c>
    </row>
    <row r="3276" spans="1:16" hidden="1" x14ac:dyDescent="0.25">
      <c r="A3276" s="3" t="s">
        <v>3440</v>
      </c>
      <c r="B3276" t="s">
        <v>2875</v>
      </c>
      <c r="C3276" t="s">
        <v>3561</v>
      </c>
      <c r="D3276" t="s">
        <v>26</v>
      </c>
      <c r="E3276" t="s">
        <v>31</v>
      </c>
      <c r="F3276">
        <v>1</v>
      </c>
      <c r="G3276" s="3" t="s">
        <v>4</v>
      </c>
      <c r="H3276" s="51" t="s">
        <v>15</v>
      </c>
      <c r="I3276" s="17">
        <v>59334</v>
      </c>
      <c r="J3276" s="17">
        <f>IF(Gastos[[#This Row],[Divisa]]="$", I3276*1, IF(Gastos[[#This Row],[Divisa]]="U$D", I3276*$N$1, IF(Gastos[[#This Row],[Divisa]]="EUR", I3276*$N$2, 0)))</f>
        <v>59334</v>
      </c>
      <c r="K3276" s="61">
        <f>Gastos[[#This Row],[Importe AR$]]/$N$1</f>
        <v>39.164356435643562</v>
      </c>
      <c r="M3276" s="76"/>
      <c r="N3276" s="50" t="str">
        <f>IF(Gastos[[#This Row],[Fecha_Cheque]]&gt;0,WEEKNUM(Gastos[[#This Row],[Fecha_Cheque]]),MID(Gastos[[#This Row],[Semana]],6,2))</f>
        <v>25</v>
      </c>
      <c r="O3276" t="s">
        <v>3562</v>
      </c>
      <c r="P3276" t="s">
        <v>27</v>
      </c>
    </row>
    <row r="3277" spans="1:16" hidden="1" x14ac:dyDescent="0.25">
      <c r="A3277" s="3" t="s">
        <v>2841</v>
      </c>
      <c r="B3277" t="s">
        <v>1854</v>
      </c>
      <c r="C3277" t="s">
        <v>3285</v>
      </c>
      <c r="D3277" t="s">
        <v>26</v>
      </c>
      <c r="E3277" t="s">
        <v>62</v>
      </c>
      <c r="F3277">
        <v>2</v>
      </c>
      <c r="G3277" s="3" t="s">
        <v>32</v>
      </c>
      <c r="H3277" s="51" t="s">
        <v>15</v>
      </c>
      <c r="I3277" s="17">
        <v>100000</v>
      </c>
      <c r="J3277" s="17">
        <f>IF(Gastos[[#This Row],[Divisa]]="$", I3277*1, IF(Gastos[[#This Row],[Divisa]]="U$D", I3277*$N$1, IF(Gastos[[#This Row],[Divisa]]="EUR", I3277*$N$2, 0)))</f>
        <v>100000</v>
      </c>
      <c r="K3277" s="61">
        <f>Gastos[[#This Row],[Importe AR$]]/$N$1</f>
        <v>66.006600660066013</v>
      </c>
      <c r="M3277" s="76">
        <v>46213</v>
      </c>
      <c r="N3277" s="50">
        <f>IF(Gastos[[#This Row],[Fecha_Cheque]]&gt;0,WEEKNUM(Gastos[[#This Row],[Fecha_Cheque]]),MID(Gastos[[#This Row],[Semana]],6,2))</f>
        <v>28</v>
      </c>
      <c r="O3277" t="s">
        <v>3286</v>
      </c>
      <c r="P3277" t="s">
        <v>27</v>
      </c>
    </row>
    <row r="3278" spans="1:16" hidden="1" x14ac:dyDescent="0.25">
      <c r="A3278" s="3" t="s">
        <v>2841</v>
      </c>
      <c r="B3278" t="s">
        <v>1854</v>
      </c>
      <c r="C3278" t="s">
        <v>3285</v>
      </c>
      <c r="D3278" t="s">
        <v>26</v>
      </c>
      <c r="E3278" t="s">
        <v>62</v>
      </c>
      <c r="F3278">
        <v>2</v>
      </c>
      <c r="G3278" s="3" t="s">
        <v>32</v>
      </c>
      <c r="H3278" s="51" t="s">
        <v>15</v>
      </c>
      <c r="I3278" s="17">
        <v>633100</v>
      </c>
      <c r="J3278" s="17">
        <f>IF(Gastos[[#This Row],[Divisa]]="$", I3278*1, IF(Gastos[[#This Row],[Divisa]]="U$D", I3278*$N$1, IF(Gastos[[#This Row],[Divisa]]="EUR", I3278*$N$2, 0)))</f>
        <v>633100</v>
      </c>
      <c r="K3278" s="61">
        <f>Gastos[[#This Row],[Importe AR$]]/$N$1</f>
        <v>417.8877887788779</v>
      </c>
      <c r="M3278" s="76">
        <v>46211</v>
      </c>
      <c r="N3278" s="50">
        <f>IF(Gastos[[#This Row],[Fecha_Cheque]]&gt;0,WEEKNUM(Gastos[[#This Row],[Fecha_Cheque]]),MID(Gastos[[#This Row],[Semana]],6,2))</f>
        <v>28</v>
      </c>
      <c r="O3278" t="s">
        <v>3286</v>
      </c>
      <c r="P3278" t="s">
        <v>27</v>
      </c>
    </row>
    <row r="3279" spans="1:16" hidden="1" x14ac:dyDescent="0.25">
      <c r="A3279" s="3" t="s">
        <v>2841</v>
      </c>
      <c r="B3279" t="s">
        <v>1854</v>
      </c>
      <c r="C3279" t="s">
        <v>3285</v>
      </c>
      <c r="D3279" t="s">
        <v>26</v>
      </c>
      <c r="E3279" t="s">
        <v>62</v>
      </c>
      <c r="F3279">
        <v>2</v>
      </c>
      <c r="G3279" s="3" t="s">
        <v>32</v>
      </c>
      <c r="H3279" s="51" t="s">
        <v>15</v>
      </c>
      <c r="I3279" s="17">
        <v>2000000</v>
      </c>
      <c r="J3279" s="17">
        <f>IF(Gastos[[#This Row],[Divisa]]="$", I3279*1, IF(Gastos[[#This Row],[Divisa]]="U$D", I3279*$N$1, IF(Gastos[[#This Row],[Divisa]]="EUR", I3279*$N$2, 0)))</f>
        <v>2000000</v>
      </c>
      <c r="K3279" s="61">
        <f>Gastos[[#This Row],[Importe AR$]]/$N$1</f>
        <v>1320.1320132013202</v>
      </c>
      <c r="M3279" s="76">
        <v>46185</v>
      </c>
      <c r="N3279" s="50">
        <f>IF(Gastos[[#This Row],[Fecha_Cheque]]&gt;0,WEEKNUM(Gastos[[#This Row],[Fecha_Cheque]]),MID(Gastos[[#This Row],[Semana]],6,2))</f>
        <v>24</v>
      </c>
      <c r="O3279" t="s">
        <v>3286</v>
      </c>
      <c r="P3279" t="s">
        <v>27</v>
      </c>
    </row>
    <row r="3280" spans="1:16" hidden="1" x14ac:dyDescent="0.25">
      <c r="A3280" s="3" t="s">
        <v>3591</v>
      </c>
      <c r="B3280" t="s">
        <v>483</v>
      </c>
      <c r="C3280" t="s">
        <v>3443</v>
      </c>
      <c r="D3280" t="s">
        <v>26</v>
      </c>
      <c r="E3280" t="s">
        <v>42</v>
      </c>
      <c r="F3280">
        <v>2</v>
      </c>
      <c r="G3280" s="3" t="s">
        <v>4</v>
      </c>
      <c r="H3280" s="51" t="s">
        <v>15</v>
      </c>
      <c r="I3280" s="17">
        <v>1000000</v>
      </c>
      <c r="J3280" s="17">
        <f>IF(Gastos[[#This Row],[Divisa]]="$", I3280*1, IF(Gastos[[#This Row],[Divisa]]="U$D", I3280*$N$1, IF(Gastos[[#This Row],[Divisa]]="EUR", I3280*$N$2, 0)))</f>
        <v>1000000</v>
      </c>
      <c r="K3280" s="61">
        <f>Gastos[[#This Row],[Importe AR$]]/$N$1</f>
        <v>660.0660066006601</v>
      </c>
      <c r="M3280" s="76"/>
      <c r="N3280" s="50" t="str">
        <f>IF(Gastos[[#This Row],[Fecha_Cheque]]&gt;0,WEEKNUM(Gastos[[#This Row],[Fecha_Cheque]]),MID(Gastos[[#This Row],[Semana]],6,2))</f>
        <v>26</v>
      </c>
      <c r="O3280" t="s">
        <v>3629</v>
      </c>
      <c r="P3280" t="s">
        <v>27</v>
      </c>
    </row>
    <row r="3281" spans="1:16" hidden="1" x14ac:dyDescent="0.25">
      <c r="A3281" s="3" t="s">
        <v>3440</v>
      </c>
      <c r="B3281" t="s">
        <v>3568</v>
      </c>
      <c r="C3281" t="s">
        <v>3569</v>
      </c>
      <c r="D3281" t="s">
        <v>26</v>
      </c>
      <c r="E3281" t="s">
        <v>31</v>
      </c>
      <c r="F3281">
        <v>1</v>
      </c>
      <c r="G3281" s="3" t="s">
        <v>32</v>
      </c>
      <c r="H3281" s="51" t="s">
        <v>15</v>
      </c>
      <c r="I3281" s="17">
        <v>1000000</v>
      </c>
      <c r="J3281" s="17">
        <f>IF(Gastos[[#This Row],[Divisa]]="$", I3281*1, IF(Gastos[[#This Row],[Divisa]]="U$D", I3281*$N$1, IF(Gastos[[#This Row],[Divisa]]="EUR", I3281*$N$2, 0)))</f>
        <v>1000000</v>
      </c>
      <c r="K3281" s="61">
        <f>Gastos[[#This Row],[Importe AR$]]/$N$1</f>
        <v>660.0660066006601</v>
      </c>
      <c r="M3281" s="76"/>
      <c r="N3281" s="50" t="str">
        <f>IF(Gastos[[#This Row],[Fecha_Cheque]]&gt;0,WEEKNUM(Gastos[[#This Row],[Fecha_Cheque]]),MID(Gastos[[#This Row],[Semana]],6,2))</f>
        <v>25</v>
      </c>
      <c r="O3281" t="s">
        <v>3570</v>
      </c>
      <c r="P3281" t="s">
        <v>27</v>
      </c>
    </row>
    <row r="3282" spans="1:16" hidden="1" x14ac:dyDescent="0.25">
      <c r="A3282" s="3" t="s">
        <v>2792</v>
      </c>
      <c r="B3282" t="s">
        <v>3289</v>
      </c>
      <c r="C3282" t="s">
        <v>3290</v>
      </c>
      <c r="D3282" t="s">
        <v>26</v>
      </c>
      <c r="E3282" t="s">
        <v>31</v>
      </c>
      <c r="F3282">
        <v>1</v>
      </c>
      <c r="G3282" s="3" t="s">
        <v>32</v>
      </c>
      <c r="H3282" s="51" t="s">
        <v>15</v>
      </c>
      <c r="I3282" s="17">
        <v>300000</v>
      </c>
      <c r="J3282" s="17">
        <f>IF(Gastos[[#This Row],[Divisa]]="$", I3282*1, IF(Gastos[[#This Row],[Divisa]]="U$D", I3282*$N$1, IF(Gastos[[#This Row],[Divisa]]="EUR", I3282*$N$2, 0)))</f>
        <v>300000</v>
      </c>
      <c r="K3282" s="61">
        <f>Gastos[[#This Row],[Importe AR$]]/$N$1</f>
        <v>198.01980198019803</v>
      </c>
      <c r="M3282" s="76">
        <v>46191</v>
      </c>
      <c r="N3282" s="50">
        <f>IF(Gastos[[#This Row],[Fecha_Cheque]]&gt;0,WEEKNUM(Gastos[[#This Row],[Fecha_Cheque]]),MID(Gastos[[#This Row],[Semana]],6,2))</f>
        <v>25</v>
      </c>
      <c r="O3282" t="s">
        <v>3291</v>
      </c>
      <c r="P3282" t="s">
        <v>27</v>
      </c>
    </row>
    <row r="3283" spans="1:16" hidden="1" x14ac:dyDescent="0.25">
      <c r="A3283" s="3" t="s">
        <v>2792</v>
      </c>
      <c r="B3283" t="s">
        <v>3289</v>
      </c>
      <c r="C3283" t="s">
        <v>3290</v>
      </c>
      <c r="D3283" t="s">
        <v>26</v>
      </c>
      <c r="E3283" t="s">
        <v>31</v>
      </c>
      <c r="F3283">
        <v>1</v>
      </c>
      <c r="G3283" s="3" t="s">
        <v>32</v>
      </c>
      <c r="H3283" s="51" t="s">
        <v>15</v>
      </c>
      <c r="I3283" s="17">
        <v>300000</v>
      </c>
      <c r="J3283" s="17">
        <f>IF(Gastos[[#This Row],[Divisa]]="$", I3283*1, IF(Gastos[[#This Row],[Divisa]]="U$D", I3283*$N$1, IF(Gastos[[#This Row],[Divisa]]="EUR", I3283*$N$2, 0)))</f>
        <v>300000</v>
      </c>
      <c r="K3283" s="61">
        <f>Gastos[[#This Row],[Importe AR$]]/$N$1</f>
        <v>198.01980198019803</v>
      </c>
      <c r="M3283" s="76">
        <v>46185</v>
      </c>
      <c r="N3283" s="50">
        <f>IF(Gastos[[#This Row],[Fecha_Cheque]]&gt;0,WEEKNUM(Gastos[[#This Row],[Fecha_Cheque]]),MID(Gastos[[#This Row],[Semana]],6,2))</f>
        <v>24</v>
      </c>
      <c r="O3283" t="s">
        <v>3291</v>
      </c>
      <c r="P3283" t="s">
        <v>27</v>
      </c>
    </row>
    <row r="3284" spans="1:16" hidden="1" x14ac:dyDescent="0.25">
      <c r="A3284" s="3" t="s">
        <v>2792</v>
      </c>
      <c r="B3284" t="s">
        <v>3289</v>
      </c>
      <c r="C3284" t="s">
        <v>3290</v>
      </c>
      <c r="D3284" t="s">
        <v>26</v>
      </c>
      <c r="E3284" t="s">
        <v>31</v>
      </c>
      <c r="F3284">
        <v>1</v>
      </c>
      <c r="G3284" s="3" t="s">
        <v>32</v>
      </c>
      <c r="H3284" s="51" t="s">
        <v>15</v>
      </c>
      <c r="I3284" s="17">
        <v>314950</v>
      </c>
      <c r="J3284" s="17">
        <f>IF(Gastos[[#This Row],[Divisa]]="$", I3284*1, IF(Gastos[[#This Row],[Divisa]]="U$D", I3284*$N$1, IF(Gastos[[#This Row],[Divisa]]="EUR", I3284*$N$2, 0)))</f>
        <v>314950</v>
      </c>
      <c r="K3284" s="61">
        <f>Gastos[[#This Row],[Importe AR$]]/$N$1</f>
        <v>207.88778877887788</v>
      </c>
      <c r="M3284" s="76">
        <v>46184</v>
      </c>
      <c r="N3284" s="50">
        <f>IF(Gastos[[#This Row],[Fecha_Cheque]]&gt;0,WEEKNUM(Gastos[[#This Row],[Fecha_Cheque]]),MID(Gastos[[#This Row],[Semana]],6,2))</f>
        <v>24</v>
      </c>
      <c r="O3284" t="s">
        <v>3291</v>
      </c>
      <c r="P3284" t="s">
        <v>27</v>
      </c>
    </row>
    <row r="3285" spans="1:16" hidden="1" x14ac:dyDescent="0.25">
      <c r="A3285" s="3" t="s">
        <v>2792</v>
      </c>
      <c r="B3285" t="s">
        <v>3289</v>
      </c>
      <c r="C3285" t="s">
        <v>3290</v>
      </c>
      <c r="D3285" t="s">
        <v>26</v>
      </c>
      <c r="E3285" t="s">
        <v>31</v>
      </c>
      <c r="F3285">
        <v>1</v>
      </c>
      <c r="G3285" s="3" t="s">
        <v>32</v>
      </c>
      <c r="H3285" s="51" t="s">
        <v>15</v>
      </c>
      <c r="I3285" s="17">
        <v>575000</v>
      </c>
      <c r="J3285" s="17">
        <f>IF(Gastos[[#This Row],[Divisa]]="$", I3285*1, IF(Gastos[[#This Row],[Divisa]]="U$D", I3285*$N$1, IF(Gastos[[#This Row],[Divisa]]="EUR", I3285*$N$2, 0)))</f>
        <v>575000</v>
      </c>
      <c r="K3285" s="61">
        <f>Gastos[[#This Row],[Importe AR$]]/$N$1</f>
        <v>379.53795379537956</v>
      </c>
      <c r="M3285" s="76">
        <v>46198</v>
      </c>
      <c r="N3285" s="50">
        <f>IF(Gastos[[#This Row],[Fecha_Cheque]]&gt;0,WEEKNUM(Gastos[[#This Row],[Fecha_Cheque]]),MID(Gastos[[#This Row],[Semana]],6,2))</f>
        <v>26</v>
      </c>
      <c r="O3285" t="s">
        <v>3291</v>
      </c>
      <c r="P3285" t="s">
        <v>27</v>
      </c>
    </row>
    <row r="3286" spans="1:16" hidden="1" x14ac:dyDescent="0.25">
      <c r="A3286" s="3" t="s">
        <v>2792</v>
      </c>
      <c r="B3286" t="s">
        <v>3289</v>
      </c>
      <c r="C3286" t="s">
        <v>3290</v>
      </c>
      <c r="D3286" t="s">
        <v>26</v>
      </c>
      <c r="E3286" t="s">
        <v>31</v>
      </c>
      <c r="F3286">
        <v>1</v>
      </c>
      <c r="G3286" s="3" t="s">
        <v>32</v>
      </c>
      <c r="H3286" s="51" t="s">
        <v>15</v>
      </c>
      <c r="I3286" s="17">
        <v>23283.85</v>
      </c>
      <c r="J3286" s="17">
        <f>IF(Gastos[[#This Row],[Divisa]]="$", I3286*1, IF(Gastos[[#This Row],[Divisa]]="U$D", I3286*$N$1, IF(Gastos[[#This Row],[Divisa]]="EUR", I3286*$N$2, 0)))</f>
        <v>23283.85</v>
      </c>
      <c r="K3286" s="61">
        <f>Gastos[[#This Row],[Importe AR$]]/$N$1</f>
        <v>15.368877887788777</v>
      </c>
      <c r="L3286" t="s">
        <v>340</v>
      </c>
      <c r="M3286" s="76"/>
      <c r="N3286" s="50" t="str">
        <f>IF(Gastos[[#This Row],[Fecha_Cheque]]&gt;0,WEEKNUM(Gastos[[#This Row],[Fecha_Cheque]]),MID(Gastos[[#This Row],[Semana]],6,2))</f>
        <v>21</v>
      </c>
      <c r="O3286" t="s">
        <v>3291</v>
      </c>
      <c r="P3286" t="s">
        <v>27</v>
      </c>
    </row>
    <row r="3287" spans="1:16" hidden="1" x14ac:dyDescent="0.25">
      <c r="A3287" s="3" t="s">
        <v>2841</v>
      </c>
      <c r="B3287" t="s">
        <v>3105</v>
      </c>
      <c r="C3287" t="s">
        <v>125</v>
      </c>
      <c r="D3287" t="s">
        <v>26</v>
      </c>
      <c r="E3287" t="s">
        <v>31</v>
      </c>
      <c r="F3287">
        <v>1</v>
      </c>
      <c r="G3287" s="3" t="s">
        <v>5</v>
      </c>
      <c r="H3287" s="51" t="s">
        <v>15</v>
      </c>
      <c r="I3287" s="17">
        <v>2406885</v>
      </c>
      <c r="J3287" s="17">
        <f>IF(Gastos[[#This Row],[Divisa]]="$", I3287*1, IF(Gastos[[#This Row],[Divisa]]="U$D", I3287*$N$1, IF(Gastos[[#This Row],[Divisa]]="EUR", I3287*$N$2, 0)))</f>
        <v>2406885</v>
      </c>
      <c r="K3287" s="61">
        <f>Gastos[[#This Row],[Importe AR$]]/$N$1</f>
        <v>1588.7029702970297</v>
      </c>
      <c r="M3287" s="76"/>
      <c r="N3287" s="50" t="str">
        <f>IF(Gastos[[#This Row],[Fecha_Cheque]]&gt;0,WEEKNUM(Gastos[[#This Row],[Fecha_Cheque]]),MID(Gastos[[#This Row],[Semana]],6,2))</f>
        <v>22</v>
      </c>
      <c r="O3287" t="s">
        <v>3292</v>
      </c>
      <c r="P3287" t="s">
        <v>27</v>
      </c>
    </row>
    <row r="3288" spans="1:16" hidden="1" x14ac:dyDescent="0.25">
      <c r="A3288" s="3" t="s">
        <v>3440</v>
      </c>
      <c r="B3288" t="s">
        <v>3568</v>
      </c>
      <c r="C3288" t="s">
        <v>3569</v>
      </c>
      <c r="D3288" t="s">
        <v>26</v>
      </c>
      <c r="E3288" t="s">
        <v>31</v>
      </c>
      <c r="F3288">
        <v>1</v>
      </c>
      <c r="G3288" s="3" t="s">
        <v>32</v>
      </c>
      <c r="H3288" s="51" t="s">
        <v>15</v>
      </c>
      <c r="I3288" s="17">
        <v>1143343.3999999999</v>
      </c>
      <c r="J3288" s="17">
        <f>IF(Gastos[[#This Row],[Divisa]]="$", I3288*1, IF(Gastos[[#This Row],[Divisa]]="U$D", I3288*$N$1, IF(Gastos[[#This Row],[Divisa]]="EUR", I3288*$N$2, 0)))</f>
        <v>1143343.3999999999</v>
      </c>
      <c r="K3288" s="61">
        <f>Gastos[[#This Row],[Importe AR$]]/$N$1</f>
        <v>754.68211221122101</v>
      </c>
      <c r="M3288" s="76"/>
      <c r="N3288" s="50" t="str">
        <f>IF(Gastos[[#This Row],[Fecha_Cheque]]&gt;0,WEEKNUM(Gastos[[#This Row],[Fecha_Cheque]]),MID(Gastos[[#This Row],[Semana]],6,2))</f>
        <v>25</v>
      </c>
      <c r="O3288" t="s">
        <v>3570</v>
      </c>
      <c r="P3288" t="s">
        <v>27</v>
      </c>
    </row>
    <row r="3289" spans="1:16" hidden="1" x14ac:dyDescent="0.25">
      <c r="A3289" s="3" t="s">
        <v>2792</v>
      </c>
      <c r="B3289" t="s">
        <v>3169</v>
      </c>
      <c r="C3289" t="s">
        <v>3170</v>
      </c>
      <c r="D3289" t="s">
        <v>26</v>
      </c>
      <c r="E3289" t="s">
        <v>62</v>
      </c>
      <c r="F3289">
        <v>1</v>
      </c>
      <c r="G3289" s="3" t="s">
        <v>32</v>
      </c>
      <c r="H3289" s="51" t="s">
        <v>15</v>
      </c>
      <c r="I3289" s="17">
        <v>50000</v>
      </c>
      <c r="J3289" s="17">
        <f>IF(Gastos[[#This Row],[Divisa]]="$", I3289*1, IF(Gastos[[#This Row],[Divisa]]="U$D", I3289*$N$1, IF(Gastos[[#This Row],[Divisa]]="EUR", I3289*$N$2, 0)))</f>
        <v>50000</v>
      </c>
      <c r="K3289" s="61">
        <f>Gastos[[#This Row],[Importe AR$]]/$N$1</f>
        <v>33.003300330033007</v>
      </c>
      <c r="M3289" s="76">
        <v>46140</v>
      </c>
      <c r="N3289" s="50">
        <f>IF(Gastos[[#This Row],[Fecha_Cheque]]&gt;0,WEEKNUM(Gastos[[#This Row],[Fecha_Cheque]]),MID(Gastos[[#This Row],[Semana]],6,2))</f>
        <v>18</v>
      </c>
      <c r="O3289" t="s">
        <v>3293</v>
      </c>
      <c r="P3289" t="s">
        <v>27</v>
      </c>
    </row>
    <row r="3290" spans="1:16" hidden="1" x14ac:dyDescent="0.25">
      <c r="A3290" s="3" t="s">
        <v>2792</v>
      </c>
      <c r="B3290" t="s">
        <v>3169</v>
      </c>
      <c r="C3290" t="s">
        <v>3170</v>
      </c>
      <c r="D3290" t="s">
        <v>26</v>
      </c>
      <c r="E3290" t="s">
        <v>62</v>
      </c>
      <c r="F3290">
        <v>1</v>
      </c>
      <c r="G3290" s="3" t="s">
        <v>32</v>
      </c>
      <c r="H3290" s="51" t="s">
        <v>15</v>
      </c>
      <c r="I3290" s="17">
        <v>70000</v>
      </c>
      <c r="J3290" s="17">
        <f>IF(Gastos[[#This Row],[Divisa]]="$", I3290*1, IF(Gastos[[#This Row],[Divisa]]="U$D", I3290*$N$1, IF(Gastos[[#This Row],[Divisa]]="EUR", I3290*$N$2, 0)))</f>
        <v>70000</v>
      </c>
      <c r="K3290" s="61">
        <f>Gastos[[#This Row],[Importe AR$]]/$N$1</f>
        <v>46.204620462046208</v>
      </c>
      <c r="M3290" s="76">
        <v>46154</v>
      </c>
      <c r="N3290" s="50">
        <f>IF(Gastos[[#This Row],[Fecha_Cheque]]&gt;0,WEEKNUM(Gastos[[#This Row],[Fecha_Cheque]]),MID(Gastos[[#This Row],[Semana]],6,2))</f>
        <v>20</v>
      </c>
      <c r="O3290" t="s">
        <v>3293</v>
      </c>
      <c r="P3290" t="s">
        <v>27</v>
      </c>
    </row>
    <row r="3291" spans="1:16" hidden="1" x14ac:dyDescent="0.25">
      <c r="A3291" s="3" t="s">
        <v>2792</v>
      </c>
      <c r="B3291" t="s">
        <v>3169</v>
      </c>
      <c r="C3291" t="s">
        <v>3170</v>
      </c>
      <c r="D3291" t="s">
        <v>26</v>
      </c>
      <c r="E3291" t="s">
        <v>62</v>
      </c>
      <c r="F3291">
        <v>1</v>
      </c>
      <c r="G3291" s="3" t="s">
        <v>32</v>
      </c>
      <c r="H3291" s="51" t="s">
        <v>15</v>
      </c>
      <c r="I3291" s="17">
        <v>415000</v>
      </c>
      <c r="J3291" s="17">
        <f>IF(Gastos[[#This Row],[Divisa]]="$", I3291*1, IF(Gastos[[#This Row],[Divisa]]="U$D", I3291*$N$1, IF(Gastos[[#This Row],[Divisa]]="EUR", I3291*$N$2, 0)))</f>
        <v>415000</v>
      </c>
      <c r="K3291" s="61">
        <f>Gastos[[#This Row],[Importe AR$]]/$N$1</f>
        <v>273.92739273927396</v>
      </c>
      <c r="M3291" s="76">
        <v>46142</v>
      </c>
      <c r="N3291" s="50">
        <f>IF(Gastos[[#This Row],[Fecha_Cheque]]&gt;0,WEEKNUM(Gastos[[#This Row],[Fecha_Cheque]]),MID(Gastos[[#This Row],[Semana]],6,2))</f>
        <v>18</v>
      </c>
      <c r="O3291" t="s">
        <v>3293</v>
      </c>
      <c r="P3291" t="s">
        <v>27</v>
      </c>
    </row>
    <row r="3292" spans="1:16" hidden="1" x14ac:dyDescent="0.25">
      <c r="A3292" s="3" t="s">
        <v>2726</v>
      </c>
      <c r="B3292" t="s">
        <v>3294</v>
      </c>
      <c r="C3292" t="s">
        <v>3295</v>
      </c>
      <c r="D3292" t="s">
        <v>26</v>
      </c>
      <c r="E3292" t="s">
        <v>42</v>
      </c>
      <c r="F3292">
        <v>2</v>
      </c>
      <c r="G3292" s="3" t="s">
        <v>4</v>
      </c>
      <c r="H3292" s="51" t="s">
        <v>15</v>
      </c>
      <c r="I3292" s="17">
        <v>400000</v>
      </c>
      <c r="J3292" s="17">
        <f>IF(Gastos[[#This Row],[Divisa]]="$", I3292*1, IF(Gastos[[#This Row],[Divisa]]="U$D", I3292*$N$1, IF(Gastos[[#This Row],[Divisa]]="EUR", I3292*$N$2, 0)))</f>
        <v>400000</v>
      </c>
      <c r="K3292" s="61">
        <f>Gastos[[#This Row],[Importe AR$]]/$N$1</f>
        <v>264.02640264026405</v>
      </c>
      <c r="M3292" s="76"/>
      <c r="N3292" s="50" t="str">
        <f>IF(Gastos[[#This Row],[Fecha_Cheque]]&gt;0,WEEKNUM(Gastos[[#This Row],[Fecha_Cheque]]),MID(Gastos[[#This Row],[Semana]],6,2))</f>
        <v>24</v>
      </c>
      <c r="O3292" t="s">
        <v>3296</v>
      </c>
      <c r="P3292" t="s">
        <v>27</v>
      </c>
    </row>
    <row r="3293" spans="1:16" hidden="1" x14ac:dyDescent="0.25">
      <c r="A3293" s="3" t="s">
        <v>2726</v>
      </c>
      <c r="B3293" t="s">
        <v>3297</v>
      </c>
      <c r="C3293" t="s">
        <v>3295</v>
      </c>
      <c r="D3293" t="s">
        <v>26</v>
      </c>
      <c r="E3293" t="s">
        <v>42</v>
      </c>
      <c r="F3293">
        <v>2</v>
      </c>
      <c r="G3293" s="3" t="s">
        <v>4</v>
      </c>
      <c r="H3293" s="51" t="s">
        <v>15</v>
      </c>
      <c r="I3293" s="17">
        <v>400000</v>
      </c>
      <c r="J3293" s="17">
        <f>IF(Gastos[[#This Row],[Divisa]]="$", I3293*1, IF(Gastos[[#This Row],[Divisa]]="U$D", I3293*$N$1, IF(Gastos[[#This Row],[Divisa]]="EUR", I3293*$N$2, 0)))</f>
        <v>400000</v>
      </c>
      <c r="K3293" s="61">
        <f>Gastos[[#This Row],[Importe AR$]]/$N$1</f>
        <v>264.02640264026405</v>
      </c>
      <c r="M3293" s="76"/>
      <c r="N3293" s="50" t="str">
        <f>IF(Gastos[[#This Row],[Fecha_Cheque]]&gt;0,WEEKNUM(Gastos[[#This Row],[Fecha_Cheque]]),MID(Gastos[[#This Row],[Semana]],6,2))</f>
        <v>24</v>
      </c>
      <c r="O3293" t="s">
        <v>3298</v>
      </c>
      <c r="P3293" t="s">
        <v>27</v>
      </c>
    </row>
    <row r="3294" spans="1:16" hidden="1" x14ac:dyDescent="0.25">
      <c r="A3294" s="3" t="s">
        <v>3440</v>
      </c>
      <c r="B3294" t="s">
        <v>3568</v>
      </c>
      <c r="C3294" t="s">
        <v>3569</v>
      </c>
      <c r="D3294" t="s">
        <v>26</v>
      </c>
      <c r="E3294" t="s">
        <v>31</v>
      </c>
      <c r="F3294">
        <v>1</v>
      </c>
      <c r="G3294" s="3" t="s">
        <v>32</v>
      </c>
      <c r="H3294" s="51" t="s">
        <v>15</v>
      </c>
      <c r="I3294" s="17">
        <v>34656.6</v>
      </c>
      <c r="J3294" s="17">
        <f>IF(Gastos[[#This Row],[Divisa]]="$", I3294*1, IF(Gastos[[#This Row],[Divisa]]="U$D", I3294*$N$1, IF(Gastos[[#This Row],[Divisa]]="EUR", I3294*$N$2, 0)))</f>
        <v>34656.6</v>
      </c>
      <c r="K3294" s="61">
        <f>Gastos[[#This Row],[Importe AR$]]/$N$1</f>
        <v>22.875643564356434</v>
      </c>
      <c r="L3294" t="s">
        <v>340</v>
      </c>
      <c r="M3294" s="76"/>
      <c r="N3294" s="50" t="str">
        <f>IF(Gastos[[#This Row],[Fecha_Cheque]]&gt;0,WEEKNUM(Gastos[[#This Row],[Fecha_Cheque]]),MID(Gastos[[#This Row],[Semana]],6,2))</f>
        <v>25</v>
      </c>
      <c r="O3294" t="s">
        <v>3570</v>
      </c>
      <c r="P3294" t="s">
        <v>27</v>
      </c>
    </row>
    <row r="3295" spans="1:16" hidden="1" x14ac:dyDescent="0.25">
      <c r="A3295" s="3" t="s">
        <v>3718</v>
      </c>
      <c r="B3295" t="s">
        <v>334</v>
      </c>
      <c r="C3295" t="s">
        <v>2836</v>
      </c>
      <c r="D3295" t="s">
        <v>26</v>
      </c>
      <c r="E3295" t="s">
        <v>42</v>
      </c>
      <c r="F3295">
        <v>2</v>
      </c>
      <c r="G3295" s="3" t="s">
        <v>4</v>
      </c>
      <c r="H3295" s="53" t="s">
        <v>15</v>
      </c>
      <c r="I3295" s="17">
        <v>375000</v>
      </c>
      <c r="J3295" s="17">
        <f>IF(Gastos[[#This Row],[Divisa]]="$", I3295*1, IF(Gastos[[#This Row],[Divisa]]="U$D", I3295*$N$1, IF(Gastos[[#This Row],[Divisa]]="EUR", I3295*$N$2, 0)))</f>
        <v>375000</v>
      </c>
      <c r="K3295" s="61">
        <f>Gastos[[#This Row],[Importe AR$]]/$N$1</f>
        <v>247.52475247524754</v>
      </c>
      <c r="M3295" s="76"/>
      <c r="N3295" s="50" t="str">
        <f>IF(Gastos[[#This Row],[Fecha_Cheque]]&gt;0,WEEKNUM(Gastos[[#This Row],[Fecha_Cheque]]),MID(Gastos[[#This Row],[Semana]],6,2))</f>
        <v>28</v>
      </c>
      <c r="O3295" t="s">
        <v>3774</v>
      </c>
      <c r="P3295" t="s">
        <v>27</v>
      </c>
    </row>
    <row r="3296" spans="1:16" hidden="1" x14ac:dyDescent="0.25">
      <c r="A3296" s="3" t="s">
        <v>3641</v>
      </c>
      <c r="B3296" t="s">
        <v>2829</v>
      </c>
      <c r="C3296" t="s">
        <v>3667</v>
      </c>
      <c r="D3296" t="s">
        <v>26</v>
      </c>
      <c r="E3296" t="s">
        <v>42</v>
      </c>
      <c r="F3296">
        <v>1</v>
      </c>
      <c r="G3296" s="3" t="s">
        <v>4</v>
      </c>
      <c r="H3296" s="51" t="s">
        <v>15</v>
      </c>
      <c r="I3296" s="17">
        <v>26400</v>
      </c>
      <c r="J3296" s="17">
        <f>IF(Gastos[[#This Row],[Divisa]]="$", I3296*1, IF(Gastos[[#This Row],[Divisa]]="U$D", I3296*$N$1, IF(Gastos[[#This Row],[Divisa]]="EUR", I3296*$N$2, 0)))</f>
        <v>26400</v>
      </c>
      <c r="K3296" s="61">
        <f>Gastos[[#This Row],[Importe AR$]]/$N$1</f>
        <v>17.425742574257427</v>
      </c>
      <c r="M3296" s="76"/>
      <c r="N3296" s="50" t="str">
        <f>IF(Gastos[[#This Row],[Fecha_Cheque]]&gt;0,WEEKNUM(Gastos[[#This Row],[Fecha_Cheque]]),MID(Gastos[[#This Row],[Semana]],6,2))</f>
        <v>27</v>
      </c>
      <c r="O3296" t="s">
        <v>3702</v>
      </c>
      <c r="P3296" t="s">
        <v>27</v>
      </c>
    </row>
    <row r="3297" spans="1:16" hidden="1" x14ac:dyDescent="0.25">
      <c r="A3297" s="3" t="s">
        <v>3440</v>
      </c>
      <c r="B3297" t="s">
        <v>871</v>
      </c>
      <c r="C3297" t="s">
        <v>3540</v>
      </c>
      <c r="D3297" t="s">
        <v>26</v>
      </c>
      <c r="E3297" t="s">
        <v>42</v>
      </c>
      <c r="F3297">
        <v>1</v>
      </c>
      <c r="G3297" s="3" t="s">
        <v>4</v>
      </c>
      <c r="H3297" s="51" t="s">
        <v>15</v>
      </c>
      <c r="I3297" s="17">
        <v>55000</v>
      </c>
      <c r="J3297" s="17">
        <f>IF(Gastos[[#This Row],[Divisa]]="$", I3297*1, IF(Gastos[[#This Row],[Divisa]]="U$D", I3297*$N$1, IF(Gastos[[#This Row],[Divisa]]="EUR", I3297*$N$2, 0)))</f>
        <v>55000</v>
      </c>
      <c r="K3297" s="61">
        <f>Gastos[[#This Row],[Importe AR$]]/$N$1</f>
        <v>36.303630363036305</v>
      </c>
      <c r="M3297" s="76"/>
      <c r="N3297" s="50" t="str">
        <f>IF(Gastos[[#This Row],[Fecha_Cheque]]&gt;0,WEEKNUM(Gastos[[#This Row],[Fecha_Cheque]]),MID(Gastos[[#This Row],[Semana]],6,2))</f>
        <v>25</v>
      </c>
      <c r="O3297" t="s">
        <v>3541</v>
      </c>
      <c r="P3297" t="s">
        <v>27</v>
      </c>
    </row>
    <row r="3298" spans="1:16" hidden="1" x14ac:dyDescent="0.25">
      <c r="A3298" s="3" t="s">
        <v>2841</v>
      </c>
      <c r="B3298" t="s">
        <v>2040</v>
      </c>
      <c r="C3298" t="s">
        <v>3302</v>
      </c>
      <c r="D3298" t="s">
        <v>26</v>
      </c>
      <c r="E3298" t="s">
        <v>31</v>
      </c>
      <c r="F3298">
        <v>1</v>
      </c>
      <c r="G3298" s="3" t="s">
        <v>32</v>
      </c>
      <c r="H3298" s="51" t="s">
        <v>15</v>
      </c>
      <c r="I3298" s="17">
        <v>1588160</v>
      </c>
      <c r="J3298" s="17">
        <f>IF(Gastos[[#This Row],[Divisa]]="$", I3298*1, IF(Gastos[[#This Row],[Divisa]]="U$D", I3298*$N$1, IF(Gastos[[#This Row],[Divisa]]="EUR", I3298*$N$2, 0)))</f>
        <v>1588160</v>
      </c>
      <c r="K3298" s="61">
        <f>Gastos[[#This Row],[Importe AR$]]/$N$1</f>
        <v>1048.2904290429042</v>
      </c>
      <c r="M3298" s="76">
        <v>46223</v>
      </c>
      <c r="N3298" s="50">
        <f>IF(Gastos[[#This Row],[Fecha_Cheque]]&gt;0,WEEKNUM(Gastos[[#This Row],[Fecha_Cheque]]),MID(Gastos[[#This Row],[Semana]],6,2))</f>
        <v>30</v>
      </c>
      <c r="O3298" t="s">
        <v>3303</v>
      </c>
      <c r="P3298" t="s">
        <v>27</v>
      </c>
    </row>
    <row r="3299" spans="1:16" hidden="1" x14ac:dyDescent="0.25">
      <c r="A3299" s="3" t="s">
        <v>2841</v>
      </c>
      <c r="B3299" t="s">
        <v>2040</v>
      </c>
      <c r="C3299" t="s">
        <v>3302</v>
      </c>
      <c r="D3299" t="s">
        <v>26</v>
      </c>
      <c r="E3299" t="s">
        <v>31</v>
      </c>
      <c r="F3299">
        <v>1</v>
      </c>
      <c r="G3299" s="3" t="s">
        <v>32</v>
      </c>
      <c r="H3299" s="51" t="s">
        <v>15</v>
      </c>
      <c r="I3299" s="17">
        <v>1588160</v>
      </c>
      <c r="J3299" s="17">
        <f>IF(Gastos[[#This Row],[Divisa]]="$", I3299*1, IF(Gastos[[#This Row],[Divisa]]="U$D", I3299*$N$1, IF(Gastos[[#This Row],[Divisa]]="EUR", I3299*$N$2, 0)))</f>
        <v>1588160</v>
      </c>
      <c r="K3299" s="61">
        <f>Gastos[[#This Row],[Importe AR$]]/$N$1</f>
        <v>1048.2904290429042</v>
      </c>
      <c r="M3299" s="76">
        <v>46208</v>
      </c>
      <c r="N3299" s="50">
        <f>IF(Gastos[[#This Row],[Fecha_Cheque]]&gt;0,WEEKNUM(Gastos[[#This Row],[Fecha_Cheque]]),MID(Gastos[[#This Row],[Semana]],6,2))</f>
        <v>28</v>
      </c>
      <c r="O3299" t="s">
        <v>3303</v>
      </c>
      <c r="P3299" t="s">
        <v>27</v>
      </c>
    </row>
    <row r="3300" spans="1:16" hidden="1" x14ac:dyDescent="0.25">
      <c r="A3300" s="3" t="s">
        <v>2841</v>
      </c>
      <c r="B3300" t="s">
        <v>2040</v>
      </c>
      <c r="C3300" t="s">
        <v>3302</v>
      </c>
      <c r="D3300" t="s">
        <v>26</v>
      </c>
      <c r="E3300" t="s">
        <v>31</v>
      </c>
      <c r="F3300">
        <v>1</v>
      </c>
      <c r="G3300" s="3" t="s">
        <v>32</v>
      </c>
      <c r="H3300" s="51" t="s">
        <v>15</v>
      </c>
      <c r="I3300" s="17">
        <v>1588160</v>
      </c>
      <c r="J3300" s="17">
        <f>IF(Gastos[[#This Row],[Divisa]]="$", I3300*1, IF(Gastos[[#This Row],[Divisa]]="U$D", I3300*$N$1, IF(Gastos[[#This Row],[Divisa]]="EUR", I3300*$N$2, 0)))</f>
        <v>1588160</v>
      </c>
      <c r="K3300" s="61">
        <f>Gastos[[#This Row],[Importe AR$]]/$N$1</f>
        <v>1048.2904290429042</v>
      </c>
      <c r="M3300" s="76">
        <v>46193</v>
      </c>
      <c r="N3300" s="50">
        <f>IF(Gastos[[#This Row],[Fecha_Cheque]]&gt;0,WEEKNUM(Gastos[[#This Row],[Fecha_Cheque]]),MID(Gastos[[#This Row],[Semana]],6,2))</f>
        <v>25</v>
      </c>
      <c r="O3300" t="s">
        <v>3303</v>
      </c>
      <c r="P3300" t="s">
        <v>27</v>
      </c>
    </row>
    <row r="3301" spans="1:16" hidden="1" x14ac:dyDescent="0.25">
      <c r="A3301" s="3" t="s">
        <v>2841</v>
      </c>
      <c r="B3301" t="s">
        <v>2040</v>
      </c>
      <c r="C3301" t="s">
        <v>3302</v>
      </c>
      <c r="D3301" t="s">
        <v>26</v>
      </c>
      <c r="E3301" t="s">
        <v>31</v>
      </c>
      <c r="F3301">
        <v>1</v>
      </c>
      <c r="G3301" s="3" t="s">
        <v>32</v>
      </c>
      <c r="H3301" s="51" t="s">
        <v>15</v>
      </c>
      <c r="I3301" s="17">
        <v>75520</v>
      </c>
      <c r="J3301" s="17">
        <f>IF(Gastos[[#This Row],[Divisa]]="$", I3301*1, IF(Gastos[[#This Row],[Divisa]]="U$D", I3301*$N$1, IF(Gastos[[#This Row],[Divisa]]="EUR", I3301*$N$2, 0)))</f>
        <v>75520</v>
      </c>
      <c r="K3301" s="61">
        <f>Gastos[[#This Row],[Importe AR$]]/$N$1</f>
        <v>49.848184818481847</v>
      </c>
      <c r="L3301" t="s">
        <v>340</v>
      </c>
      <c r="M3301" s="76"/>
      <c r="N3301" s="50" t="str">
        <f>IF(Gastos[[#This Row],[Fecha_Cheque]]&gt;0,WEEKNUM(Gastos[[#This Row],[Fecha_Cheque]]),MID(Gastos[[#This Row],[Semana]],6,2))</f>
        <v>22</v>
      </c>
      <c r="O3301" t="s">
        <v>3303</v>
      </c>
      <c r="P3301" t="s">
        <v>27</v>
      </c>
    </row>
    <row r="3302" spans="1:16" hidden="1" x14ac:dyDescent="0.25">
      <c r="A3302" s="3" t="s">
        <v>2792</v>
      </c>
      <c r="B3302" t="s">
        <v>3304</v>
      </c>
      <c r="C3302" t="s">
        <v>3305</v>
      </c>
      <c r="D3302" t="s">
        <v>26</v>
      </c>
      <c r="E3302" t="s">
        <v>42</v>
      </c>
      <c r="F3302">
        <v>1</v>
      </c>
      <c r="G3302" s="3" t="s">
        <v>4</v>
      </c>
      <c r="H3302" s="51" t="s">
        <v>15</v>
      </c>
      <c r="I3302" s="17">
        <v>100000</v>
      </c>
      <c r="J3302" s="17">
        <f>IF(Gastos[[#This Row],[Divisa]]="$", I3302*1, IF(Gastos[[#This Row],[Divisa]]="U$D", I3302*$N$1, IF(Gastos[[#This Row],[Divisa]]="EUR", I3302*$N$2, 0)))</f>
        <v>100000</v>
      </c>
      <c r="K3302" s="61">
        <f>Gastos[[#This Row],[Importe AR$]]/$N$1</f>
        <v>66.006600660066013</v>
      </c>
      <c r="M3302" s="76"/>
      <c r="N3302" s="50" t="str">
        <f>IF(Gastos[[#This Row],[Fecha_Cheque]]&gt;0,WEEKNUM(Gastos[[#This Row],[Fecha_Cheque]]),MID(Gastos[[#This Row],[Semana]],6,2))</f>
        <v>21</v>
      </c>
      <c r="O3302" t="s">
        <v>3202</v>
      </c>
      <c r="P3302" t="s">
        <v>27</v>
      </c>
    </row>
    <row r="3303" spans="1:16" hidden="1" x14ac:dyDescent="0.25">
      <c r="A3303" s="3" t="s">
        <v>2792</v>
      </c>
      <c r="B3303" t="s">
        <v>3306</v>
      </c>
      <c r="C3303" t="s">
        <v>3307</v>
      </c>
      <c r="D3303" t="s">
        <v>26</v>
      </c>
      <c r="E3303" t="s">
        <v>31</v>
      </c>
      <c r="F3303">
        <v>1</v>
      </c>
      <c r="G3303" s="3" t="s">
        <v>32</v>
      </c>
      <c r="H3303" s="51" t="s">
        <v>15</v>
      </c>
      <c r="I3303" s="17">
        <v>757000</v>
      </c>
      <c r="J3303" s="17">
        <f>IF(Gastos[[#This Row],[Divisa]]="$", I3303*1, IF(Gastos[[#This Row],[Divisa]]="U$D", I3303*$N$1, IF(Gastos[[#This Row],[Divisa]]="EUR", I3303*$N$2, 0)))</f>
        <v>757000</v>
      </c>
      <c r="K3303" s="61">
        <f>Gastos[[#This Row],[Importe AR$]]/$N$1</f>
        <v>499.66996699669966</v>
      </c>
      <c r="M3303" s="76">
        <v>46187</v>
      </c>
      <c r="N3303" s="50">
        <f>IF(Gastos[[#This Row],[Fecha_Cheque]]&gt;0,WEEKNUM(Gastos[[#This Row],[Fecha_Cheque]]),MID(Gastos[[#This Row],[Semana]],6,2))</f>
        <v>25</v>
      </c>
      <c r="O3303" t="s">
        <v>3308</v>
      </c>
      <c r="P3303" t="s">
        <v>27</v>
      </c>
    </row>
    <row r="3304" spans="1:16" hidden="1" x14ac:dyDescent="0.25">
      <c r="A3304" s="3" t="s">
        <v>2792</v>
      </c>
      <c r="B3304" t="s">
        <v>3306</v>
      </c>
      <c r="C3304" t="s">
        <v>3307</v>
      </c>
      <c r="D3304" t="s">
        <v>26</v>
      </c>
      <c r="E3304" t="s">
        <v>31</v>
      </c>
      <c r="F3304">
        <v>1</v>
      </c>
      <c r="G3304" s="3" t="s">
        <v>32</v>
      </c>
      <c r="H3304" s="51" t="s">
        <v>15</v>
      </c>
      <c r="I3304" s="17">
        <v>15230.34</v>
      </c>
      <c r="J3304" s="17">
        <f>IF(Gastos[[#This Row],[Divisa]]="$", I3304*1, IF(Gastos[[#This Row],[Divisa]]="U$D", I3304*$N$1, IF(Gastos[[#This Row],[Divisa]]="EUR", I3304*$N$2, 0)))</f>
        <v>15230.34</v>
      </c>
      <c r="K3304" s="61">
        <f>Gastos[[#This Row],[Importe AR$]]/$N$1</f>
        <v>10.053029702970298</v>
      </c>
      <c r="M3304" s="76"/>
      <c r="N3304" s="50" t="str">
        <f>IF(Gastos[[#This Row],[Fecha_Cheque]]&gt;0,WEEKNUM(Gastos[[#This Row],[Fecha_Cheque]]),MID(Gastos[[#This Row],[Semana]],6,2))</f>
        <v>21</v>
      </c>
      <c r="O3304" t="s">
        <v>3308</v>
      </c>
      <c r="P3304" t="s">
        <v>27</v>
      </c>
    </row>
    <row r="3305" spans="1:16" hidden="1" x14ac:dyDescent="0.25">
      <c r="A3305" s="3" t="s">
        <v>2792</v>
      </c>
      <c r="B3305" t="s">
        <v>3309</v>
      </c>
      <c r="C3305" t="s">
        <v>3310</v>
      </c>
      <c r="D3305" t="s">
        <v>26</v>
      </c>
      <c r="E3305" t="s">
        <v>31</v>
      </c>
      <c r="F3305">
        <v>1</v>
      </c>
      <c r="G3305" s="3" t="s">
        <v>32</v>
      </c>
      <c r="H3305" s="51" t="s">
        <v>15</v>
      </c>
      <c r="I3305" s="17">
        <v>208000</v>
      </c>
      <c r="J3305" s="17">
        <f>IF(Gastos[[#This Row],[Divisa]]="$", I3305*1, IF(Gastos[[#This Row],[Divisa]]="U$D", I3305*$N$1, IF(Gastos[[#This Row],[Divisa]]="EUR", I3305*$N$2, 0)))</f>
        <v>208000</v>
      </c>
      <c r="K3305" s="61">
        <f>Gastos[[#This Row],[Importe AR$]]/$N$1</f>
        <v>137.29372937293729</v>
      </c>
      <c r="M3305" s="76">
        <v>46179</v>
      </c>
      <c r="N3305" s="50">
        <f>IF(Gastos[[#This Row],[Fecha_Cheque]]&gt;0,WEEKNUM(Gastos[[#This Row],[Fecha_Cheque]]),MID(Gastos[[#This Row],[Semana]],6,2))</f>
        <v>23</v>
      </c>
      <c r="O3305" t="s">
        <v>3311</v>
      </c>
      <c r="P3305" t="s">
        <v>27</v>
      </c>
    </row>
    <row r="3306" spans="1:16" hidden="1" x14ac:dyDescent="0.25">
      <c r="A3306" s="3" t="s">
        <v>3440</v>
      </c>
      <c r="B3306" t="s">
        <v>871</v>
      </c>
      <c r="C3306" t="s">
        <v>3542</v>
      </c>
      <c r="D3306" t="s">
        <v>26</v>
      </c>
      <c r="E3306" t="s">
        <v>42</v>
      </c>
      <c r="F3306">
        <v>1</v>
      </c>
      <c r="G3306" s="3" t="s">
        <v>4</v>
      </c>
      <c r="H3306" s="51" t="s">
        <v>15</v>
      </c>
      <c r="I3306" s="17">
        <v>45000</v>
      </c>
      <c r="J3306" s="17">
        <f>IF(Gastos[[#This Row],[Divisa]]="$", I3306*1, IF(Gastos[[#This Row],[Divisa]]="U$D", I3306*$N$1, IF(Gastos[[#This Row],[Divisa]]="EUR", I3306*$N$2, 0)))</f>
        <v>45000</v>
      </c>
      <c r="K3306" s="61">
        <f>Gastos[[#This Row],[Importe AR$]]/$N$1</f>
        <v>29.702970297029704</v>
      </c>
      <c r="M3306" s="76"/>
      <c r="N3306" s="50" t="str">
        <f>IF(Gastos[[#This Row],[Fecha_Cheque]]&gt;0,WEEKNUM(Gastos[[#This Row],[Fecha_Cheque]]),MID(Gastos[[#This Row],[Semana]],6,2))</f>
        <v>25</v>
      </c>
      <c r="O3306" t="s">
        <v>3543</v>
      </c>
      <c r="P3306" t="s">
        <v>27</v>
      </c>
    </row>
    <row r="3307" spans="1:16" hidden="1" x14ac:dyDescent="0.25">
      <c r="A3307" s="3" t="s">
        <v>3440</v>
      </c>
      <c r="B3307" t="s">
        <v>871</v>
      </c>
      <c r="C3307" t="s">
        <v>3544</v>
      </c>
      <c r="D3307" t="s">
        <v>26</v>
      </c>
      <c r="E3307" t="s">
        <v>42</v>
      </c>
      <c r="F3307">
        <v>1</v>
      </c>
      <c r="G3307" s="3" t="s">
        <v>4</v>
      </c>
      <c r="H3307" s="51" t="s">
        <v>15</v>
      </c>
      <c r="I3307" s="17">
        <v>11000</v>
      </c>
      <c r="J3307" s="17">
        <f>IF(Gastos[[#This Row],[Divisa]]="$", I3307*1, IF(Gastos[[#This Row],[Divisa]]="U$D", I3307*$N$1, IF(Gastos[[#This Row],[Divisa]]="EUR", I3307*$N$2, 0)))</f>
        <v>11000</v>
      </c>
      <c r="K3307" s="61">
        <f>Gastos[[#This Row],[Importe AR$]]/$N$1</f>
        <v>7.2607260726072607</v>
      </c>
      <c r="M3307" s="76"/>
      <c r="N3307" s="50" t="str">
        <f>IF(Gastos[[#This Row],[Fecha_Cheque]]&gt;0,WEEKNUM(Gastos[[#This Row],[Fecha_Cheque]]),MID(Gastos[[#This Row],[Semana]],6,2))</f>
        <v>25</v>
      </c>
      <c r="O3307" t="s">
        <v>3545</v>
      </c>
      <c r="P3307" t="s">
        <v>27</v>
      </c>
    </row>
    <row r="3308" spans="1:16" hidden="1" x14ac:dyDescent="0.25">
      <c r="A3308" s="3" t="s">
        <v>2726</v>
      </c>
      <c r="B3308" t="s">
        <v>1152</v>
      </c>
      <c r="C3308" t="s">
        <v>267</v>
      </c>
      <c r="D3308" t="s">
        <v>26</v>
      </c>
      <c r="E3308" t="s">
        <v>31</v>
      </c>
      <c r="F3308">
        <v>1</v>
      </c>
      <c r="G3308" s="3" t="s">
        <v>32</v>
      </c>
      <c r="H3308" s="51" t="s">
        <v>15</v>
      </c>
      <c r="I3308" s="17">
        <v>72096.639999999999</v>
      </c>
      <c r="J3308" s="17">
        <f>IF(Gastos[[#This Row],[Divisa]]="$", I3308*1, IF(Gastos[[#This Row],[Divisa]]="U$D", I3308*$N$1, IF(Gastos[[#This Row],[Divisa]]="EUR", I3308*$N$2, 0)))</f>
        <v>72096.639999999999</v>
      </c>
      <c r="K3308" s="61">
        <f>Gastos[[#This Row],[Importe AR$]]/$N$1</f>
        <v>47.58854125412541</v>
      </c>
      <c r="M3308" s="76">
        <v>46199</v>
      </c>
      <c r="N3308" s="50">
        <f>IF(Gastos[[#This Row],[Fecha_Cheque]]&gt;0,WEEKNUM(Gastos[[#This Row],[Fecha_Cheque]]),MID(Gastos[[#This Row],[Semana]],6,2))</f>
        <v>26</v>
      </c>
      <c r="O3308" t="s">
        <v>3312</v>
      </c>
      <c r="P3308" t="s">
        <v>27</v>
      </c>
    </row>
    <row r="3309" spans="1:16" hidden="1" x14ac:dyDescent="0.25">
      <c r="A3309" s="3" t="s">
        <v>2841</v>
      </c>
      <c r="B3309" t="s">
        <v>2049</v>
      </c>
      <c r="C3309" t="s">
        <v>2473</v>
      </c>
      <c r="D3309" t="s">
        <v>26</v>
      </c>
      <c r="E3309" t="s">
        <v>31</v>
      </c>
      <c r="F3309">
        <v>1</v>
      </c>
      <c r="G3309" s="3" t="s">
        <v>32</v>
      </c>
      <c r="H3309" s="51" t="s">
        <v>15</v>
      </c>
      <c r="I3309" s="17">
        <v>1000000</v>
      </c>
      <c r="J3309" s="17">
        <f>IF(Gastos[[#This Row],[Divisa]]="$", I3309*1, IF(Gastos[[#This Row],[Divisa]]="U$D", I3309*$N$1, IF(Gastos[[#This Row],[Divisa]]="EUR", I3309*$N$2, 0)))</f>
        <v>1000000</v>
      </c>
      <c r="K3309" s="61">
        <f>Gastos[[#This Row],[Importe AR$]]/$N$1</f>
        <v>660.0660066006601</v>
      </c>
      <c r="M3309" s="76">
        <v>46208</v>
      </c>
      <c r="N3309" s="50">
        <f>IF(Gastos[[#This Row],[Fecha_Cheque]]&gt;0,WEEKNUM(Gastos[[#This Row],[Fecha_Cheque]]),MID(Gastos[[#This Row],[Semana]],6,2))</f>
        <v>28</v>
      </c>
      <c r="O3309" t="s">
        <v>3313</v>
      </c>
      <c r="P3309" t="s">
        <v>27</v>
      </c>
    </row>
    <row r="3310" spans="1:16" hidden="1" x14ac:dyDescent="0.25">
      <c r="A3310" s="3" t="s">
        <v>2841</v>
      </c>
      <c r="B3310" t="s">
        <v>2049</v>
      </c>
      <c r="C3310" t="s">
        <v>2473</v>
      </c>
      <c r="D3310" t="s">
        <v>26</v>
      </c>
      <c r="E3310" t="s">
        <v>31</v>
      </c>
      <c r="F3310">
        <v>1</v>
      </c>
      <c r="G3310" s="3" t="s">
        <v>32</v>
      </c>
      <c r="H3310" s="51" t="s">
        <v>15</v>
      </c>
      <c r="I3310" s="17">
        <v>2792000</v>
      </c>
      <c r="J3310" s="17">
        <f>IF(Gastos[[#This Row],[Divisa]]="$", I3310*1, IF(Gastos[[#This Row],[Divisa]]="U$D", I3310*$N$1, IF(Gastos[[#This Row],[Divisa]]="EUR", I3310*$N$2, 0)))</f>
        <v>2792000</v>
      </c>
      <c r="K3310" s="61">
        <f>Gastos[[#This Row],[Importe AR$]]/$N$1</f>
        <v>1842.9042904290429</v>
      </c>
      <c r="M3310" s="76">
        <v>46200</v>
      </c>
      <c r="N3310" s="50">
        <f>IF(Gastos[[#This Row],[Fecha_Cheque]]&gt;0,WEEKNUM(Gastos[[#This Row],[Fecha_Cheque]]),MID(Gastos[[#This Row],[Semana]],6,2))</f>
        <v>26</v>
      </c>
      <c r="O3310" t="s">
        <v>3313</v>
      </c>
      <c r="P3310" t="s">
        <v>27</v>
      </c>
    </row>
    <row r="3311" spans="1:16" hidden="1" x14ac:dyDescent="0.25">
      <c r="A3311" s="3" t="s">
        <v>2841</v>
      </c>
      <c r="B3311" t="s">
        <v>2049</v>
      </c>
      <c r="C3311" t="s">
        <v>2473</v>
      </c>
      <c r="D3311" t="s">
        <v>26</v>
      </c>
      <c r="E3311" t="s">
        <v>31</v>
      </c>
      <c r="F3311">
        <v>1</v>
      </c>
      <c r="G3311" s="3" t="s">
        <v>32</v>
      </c>
      <c r="H3311" s="51" t="s">
        <v>15</v>
      </c>
      <c r="I3311" s="17">
        <v>75840</v>
      </c>
      <c r="J3311" s="17">
        <f>IF(Gastos[[#This Row],[Divisa]]="$", I3311*1, IF(Gastos[[#This Row],[Divisa]]="U$D", I3311*$N$1, IF(Gastos[[#This Row],[Divisa]]="EUR", I3311*$N$2, 0)))</f>
        <v>75840</v>
      </c>
      <c r="K3311" s="61">
        <f>Gastos[[#This Row],[Importe AR$]]/$N$1</f>
        <v>50.059405940594061</v>
      </c>
      <c r="L3311" t="s">
        <v>340</v>
      </c>
      <c r="M3311" s="76"/>
      <c r="N3311" s="50" t="str">
        <f>IF(Gastos[[#This Row],[Fecha_Cheque]]&gt;0,WEEKNUM(Gastos[[#This Row],[Fecha_Cheque]]),MID(Gastos[[#This Row],[Semana]],6,2))</f>
        <v>22</v>
      </c>
      <c r="O3311" t="s">
        <v>3313</v>
      </c>
      <c r="P3311" t="s">
        <v>27</v>
      </c>
    </row>
    <row r="3312" spans="1:16" hidden="1" x14ac:dyDescent="0.25">
      <c r="A3312" s="3" t="s">
        <v>3440</v>
      </c>
      <c r="B3312" t="s">
        <v>871</v>
      </c>
      <c r="C3312" t="s">
        <v>3546</v>
      </c>
      <c r="D3312" t="s">
        <v>26</v>
      </c>
      <c r="E3312" t="s">
        <v>42</v>
      </c>
      <c r="F3312">
        <v>1</v>
      </c>
      <c r="G3312" s="3" t="s">
        <v>4</v>
      </c>
      <c r="H3312" s="51" t="s">
        <v>15</v>
      </c>
      <c r="I3312" s="17">
        <v>11000</v>
      </c>
      <c r="J3312" s="17">
        <f>IF(Gastos[[#This Row],[Divisa]]="$", I3312*1, IF(Gastos[[#This Row],[Divisa]]="U$D", I3312*$N$1, IF(Gastos[[#This Row],[Divisa]]="EUR", I3312*$N$2, 0)))</f>
        <v>11000</v>
      </c>
      <c r="K3312" s="61">
        <f>Gastos[[#This Row],[Importe AR$]]/$N$1</f>
        <v>7.2607260726072607</v>
      </c>
      <c r="M3312" s="76"/>
      <c r="N3312" s="50" t="str">
        <f>IF(Gastos[[#This Row],[Fecha_Cheque]]&gt;0,WEEKNUM(Gastos[[#This Row],[Fecha_Cheque]]),MID(Gastos[[#This Row],[Semana]],6,2))</f>
        <v>25</v>
      </c>
      <c r="O3312" t="s">
        <v>3547</v>
      </c>
      <c r="P3312" t="s">
        <v>27</v>
      </c>
    </row>
    <row r="3313" spans="1:16" hidden="1" x14ac:dyDescent="0.25">
      <c r="A3313" s="3" t="s">
        <v>2841</v>
      </c>
      <c r="B3313" t="s">
        <v>2106</v>
      </c>
      <c r="C3313" t="s">
        <v>3314</v>
      </c>
      <c r="D3313" t="s">
        <v>26</v>
      </c>
      <c r="E3313" t="s">
        <v>31</v>
      </c>
      <c r="F3313">
        <v>1</v>
      </c>
      <c r="G3313" s="3" t="s">
        <v>32</v>
      </c>
      <c r="H3313" s="51" t="s">
        <v>15</v>
      </c>
      <c r="I3313" s="17">
        <v>1437716.75</v>
      </c>
      <c r="J3313" s="17">
        <f>IF(Gastos[[#This Row],[Divisa]]="$", I3313*1, IF(Gastos[[#This Row],[Divisa]]="U$D", I3313*$N$1, IF(Gastos[[#This Row],[Divisa]]="EUR", I3313*$N$2, 0)))</f>
        <v>1437716.75</v>
      </c>
      <c r="K3313" s="61">
        <f>Gastos[[#This Row],[Importe AR$]]/$N$1</f>
        <v>948.98795379537955</v>
      </c>
      <c r="M3313" s="76">
        <v>46201</v>
      </c>
      <c r="N3313" s="50">
        <f>IF(Gastos[[#This Row],[Fecha_Cheque]]&gt;0,WEEKNUM(Gastos[[#This Row],[Fecha_Cheque]]),MID(Gastos[[#This Row],[Semana]],6,2))</f>
        <v>27</v>
      </c>
      <c r="O3313" t="s">
        <v>3315</v>
      </c>
      <c r="P3313" t="s">
        <v>27</v>
      </c>
    </row>
    <row r="3314" spans="1:16" hidden="1" x14ac:dyDescent="0.25">
      <c r="A3314" s="3" t="s">
        <v>2841</v>
      </c>
      <c r="B3314" t="s">
        <v>2106</v>
      </c>
      <c r="C3314" t="s">
        <v>3314</v>
      </c>
      <c r="D3314" t="s">
        <v>26</v>
      </c>
      <c r="E3314" t="s">
        <v>31</v>
      </c>
      <c r="F3314">
        <v>1</v>
      </c>
      <c r="G3314" s="3" t="s">
        <v>32</v>
      </c>
      <c r="H3314" s="51" t="s">
        <v>15</v>
      </c>
      <c r="I3314" s="17">
        <v>24165.7</v>
      </c>
      <c r="J3314" s="17">
        <f>IF(Gastos[[#This Row],[Divisa]]="$", I3314*1, IF(Gastos[[#This Row],[Divisa]]="U$D", I3314*$N$1, IF(Gastos[[#This Row],[Divisa]]="EUR", I3314*$N$2, 0)))</f>
        <v>24165.7</v>
      </c>
      <c r="K3314" s="61">
        <f>Gastos[[#This Row],[Importe AR$]]/$N$1</f>
        <v>15.950957095709571</v>
      </c>
      <c r="L3314" t="s">
        <v>340</v>
      </c>
      <c r="M3314" s="76"/>
      <c r="N3314" s="50" t="str">
        <f>IF(Gastos[[#This Row],[Fecha_Cheque]]&gt;0,WEEKNUM(Gastos[[#This Row],[Fecha_Cheque]]),MID(Gastos[[#This Row],[Semana]],6,2))</f>
        <v>22</v>
      </c>
      <c r="O3314" t="s">
        <v>3315</v>
      </c>
      <c r="P3314" t="s">
        <v>27</v>
      </c>
    </row>
    <row r="3315" spans="1:16" hidden="1" x14ac:dyDescent="0.25">
      <c r="A3315" s="3" t="s">
        <v>2726</v>
      </c>
      <c r="B3315" t="s">
        <v>3048</v>
      </c>
      <c r="C3315" t="s">
        <v>155</v>
      </c>
      <c r="D3315" t="s">
        <v>26</v>
      </c>
      <c r="E3315" t="s">
        <v>42</v>
      </c>
      <c r="F3315">
        <v>1</v>
      </c>
      <c r="G3315" s="3" t="s">
        <v>4</v>
      </c>
      <c r="H3315" s="51" t="s">
        <v>15</v>
      </c>
      <c r="I3315" s="17">
        <v>70000</v>
      </c>
      <c r="J3315" s="17">
        <f>IF(Gastos[[#This Row],[Divisa]]="$", I3315*1, IF(Gastos[[#This Row],[Divisa]]="U$D", I3315*$N$1, IF(Gastos[[#This Row],[Divisa]]="EUR", I3315*$N$2, 0)))</f>
        <v>70000</v>
      </c>
      <c r="K3315" s="61">
        <f>Gastos[[#This Row],[Importe AR$]]/$N$1</f>
        <v>46.204620462046208</v>
      </c>
      <c r="M3315" s="76"/>
      <c r="N3315" s="50" t="str">
        <f>IF(Gastos[[#This Row],[Fecha_Cheque]]&gt;0,WEEKNUM(Gastos[[#This Row],[Fecha_Cheque]]),MID(Gastos[[#This Row],[Semana]],6,2))</f>
        <v>24</v>
      </c>
      <c r="O3315" t="s">
        <v>3316</v>
      </c>
      <c r="P3315" t="s">
        <v>27</v>
      </c>
    </row>
    <row r="3316" spans="1:16" hidden="1" x14ac:dyDescent="0.25">
      <c r="A3316" s="3" t="s">
        <v>2763</v>
      </c>
      <c r="B3316" t="s">
        <v>3024</v>
      </c>
      <c r="C3316" t="s">
        <v>3281</v>
      </c>
      <c r="D3316" t="s">
        <v>26</v>
      </c>
      <c r="E3316" t="s">
        <v>42</v>
      </c>
      <c r="F3316">
        <v>1</v>
      </c>
      <c r="G3316" s="3" t="s">
        <v>4</v>
      </c>
      <c r="H3316" s="51" t="s">
        <v>15</v>
      </c>
      <c r="I3316" s="17">
        <v>16000</v>
      </c>
      <c r="J3316" s="17">
        <f>IF(Gastos[[#This Row],[Divisa]]="$", I3316*1, IF(Gastos[[#This Row],[Divisa]]="U$D", I3316*$N$1, IF(Gastos[[#This Row],[Divisa]]="EUR", I3316*$N$2, 0)))</f>
        <v>16000</v>
      </c>
      <c r="K3316" s="61">
        <f>Gastos[[#This Row],[Importe AR$]]/$N$1</f>
        <v>10.561056105610561</v>
      </c>
      <c r="M3316" s="76"/>
      <c r="N3316" s="50" t="str">
        <f>IF(Gastos[[#This Row],[Fecha_Cheque]]&gt;0,WEEKNUM(Gastos[[#This Row],[Fecha_Cheque]]),MID(Gastos[[#This Row],[Semana]],6,2))</f>
        <v>23</v>
      </c>
      <c r="O3316" t="s">
        <v>3317</v>
      </c>
      <c r="P3316" t="s">
        <v>27</v>
      </c>
    </row>
    <row r="3317" spans="1:16" hidden="1" x14ac:dyDescent="0.25">
      <c r="A3317" s="3" t="s">
        <v>2763</v>
      </c>
      <c r="B3317" t="s">
        <v>3024</v>
      </c>
      <c r="C3317" t="s">
        <v>3318</v>
      </c>
      <c r="D3317" t="s">
        <v>26</v>
      </c>
      <c r="E3317" t="s">
        <v>42</v>
      </c>
      <c r="F3317">
        <v>1</v>
      </c>
      <c r="G3317" s="3" t="s">
        <v>4</v>
      </c>
      <c r="H3317" s="51" t="s">
        <v>15</v>
      </c>
      <c r="I3317" s="17">
        <v>67300.02</v>
      </c>
      <c r="J3317" s="17">
        <f>IF(Gastos[[#This Row],[Divisa]]="$", I3317*1, IF(Gastos[[#This Row],[Divisa]]="U$D", I3317*$N$1, IF(Gastos[[#This Row],[Divisa]]="EUR", I3317*$N$2, 0)))</f>
        <v>67300.02</v>
      </c>
      <c r="K3317" s="61">
        <f>Gastos[[#This Row],[Importe AR$]]/$N$1</f>
        <v>44.422455445544557</v>
      </c>
      <c r="M3317" s="76"/>
      <c r="N3317" s="50" t="str">
        <f>IF(Gastos[[#This Row],[Fecha_Cheque]]&gt;0,WEEKNUM(Gastos[[#This Row],[Fecha_Cheque]]),MID(Gastos[[#This Row],[Semana]],6,2))</f>
        <v>23</v>
      </c>
      <c r="O3317" t="s">
        <v>3319</v>
      </c>
      <c r="P3317" t="s">
        <v>27</v>
      </c>
    </row>
    <row r="3318" spans="1:16" hidden="1" x14ac:dyDescent="0.25">
      <c r="A3318" s="3" t="s">
        <v>2726</v>
      </c>
      <c r="B3318" t="s">
        <v>2930</v>
      </c>
      <c r="C3318" t="s">
        <v>1948</v>
      </c>
      <c r="D3318" t="s">
        <v>26</v>
      </c>
      <c r="E3318" t="s">
        <v>42</v>
      </c>
      <c r="F3318">
        <v>1</v>
      </c>
      <c r="G3318" s="3" t="s">
        <v>4</v>
      </c>
      <c r="H3318" s="51" t="s">
        <v>15</v>
      </c>
      <c r="I3318" s="17">
        <v>38965.39</v>
      </c>
      <c r="J3318" s="17">
        <f>IF(Gastos[[#This Row],[Divisa]]="$", I3318*1, IF(Gastos[[#This Row],[Divisa]]="U$D", I3318*$N$1, IF(Gastos[[#This Row],[Divisa]]="EUR", I3318*$N$2, 0)))</f>
        <v>38965.39</v>
      </c>
      <c r="K3318" s="61">
        <f>Gastos[[#This Row],[Importe AR$]]/$N$1</f>
        <v>25.719729372937294</v>
      </c>
      <c r="M3318" s="76"/>
      <c r="N3318" s="50" t="str">
        <f>IF(Gastos[[#This Row],[Fecha_Cheque]]&gt;0,WEEKNUM(Gastos[[#This Row],[Fecha_Cheque]]),MID(Gastos[[#This Row],[Semana]],6,2))</f>
        <v>24</v>
      </c>
      <c r="O3318" t="s">
        <v>3320</v>
      </c>
      <c r="P3318" t="s">
        <v>27</v>
      </c>
    </row>
    <row r="3319" spans="1:16" hidden="1" x14ac:dyDescent="0.25">
      <c r="A3319" s="3" t="s">
        <v>2841</v>
      </c>
      <c r="B3319" t="s">
        <v>3321</v>
      </c>
      <c r="C3319" t="s">
        <v>3322</v>
      </c>
      <c r="D3319" t="s">
        <v>26</v>
      </c>
      <c r="E3319" t="s">
        <v>31</v>
      </c>
      <c r="F3319">
        <v>1</v>
      </c>
      <c r="G3319" s="3" t="s">
        <v>5</v>
      </c>
      <c r="H3319" s="51" t="s">
        <v>15</v>
      </c>
      <c r="I3319" s="17">
        <v>50000</v>
      </c>
      <c r="J3319" s="17">
        <f>IF(Gastos[[#This Row],[Divisa]]="$", I3319*1, IF(Gastos[[#This Row],[Divisa]]="U$D", I3319*$N$1, IF(Gastos[[#This Row],[Divisa]]="EUR", I3319*$N$2, 0)))</f>
        <v>50000</v>
      </c>
      <c r="K3319" s="61">
        <f>Gastos[[#This Row],[Importe AR$]]/$N$1</f>
        <v>33.003300330033007</v>
      </c>
      <c r="M3319" s="76"/>
      <c r="N3319" s="50" t="str">
        <f>IF(Gastos[[#This Row],[Fecha_Cheque]]&gt;0,WEEKNUM(Gastos[[#This Row],[Fecha_Cheque]]),MID(Gastos[[#This Row],[Semana]],6,2))</f>
        <v>22</v>
      </c>
      <c r="O3319" t="s">
        <v>3323</v>
      </c>
      <c r="P3319" t="s">
        <v>27</v>
      </c>
    </row>
    <row r="3320" spans="1:16" hidden="1" x14ac:dyDescent="0.25">
      <c r="A3320" s="3" t="s">
        <v>3718</v>
      </c>
      <c r="B3320" t="s">
        <v>344</v>
      </c>
      <c r="C3320" t="s">
        <v>3707</v>
      </c>
      <c r="D3320" t="s">
        <v>26</v>
      </c>
      <c r="E3320" t="s">
        <v>31</v>
      </c>
      <c r="F3320">
        <v>1</v>
      </c>
      <c r="G3320" s="3" t="s">
        <v>32</v>
      </c>
      <c r="H3320" s="51" t="s">
        <v>15</v>
      </c>
      <c r="I3320" s="17">
        <v>463121.74</v>
      </c>
      <c r="J3320" s="17">
        <f>IF(Gastos[[#This Row],[Divisa]]="$", I3320*1, IF(Gastos[[#This Row],[Divisa]]="U$D", I3320*$N$1, IF(Gastos[[#This Row],[Divisa]]="EUR", I3320*$N$2, 0)))</f>
        <v>463121.74</v>
      </c>
      <c r="K3320" s="61">
        <f>Gastos[[#This Row],[Importe AR$]]/$N$1</f>
        <v>305.69091749174919</v>
      </c>
      <c r="M3320" s="76">
        <v>46235</v>
      </c>
      <c r="N3320" s="50">
        <f>IF(Gastos[[#This Row],[Fecha_Cheque]]&gt;0,WEEKNUM(Gastos[[#This Row],[Fecha_Cheque]]),MID(Gastos[[#This Row],[Semana]],6,2))</f>
        <v>31</v>
      </c>
      <c r="O3320" t="s">
        <v>3708</v>
      </c>
      <c r="P3320" t="s">
        <v>27</v>
      </c>
    </row>
    <row r="3321" spans="1:16" hidden="1" x14ac:dyDescent="0.25">
      <c r="A3321" s="3" t="s">
        <v>2841</v>
      </c>
      <c r="B3321" t="s">
        <v>2171</v>
      </c>
      <c r="C3321" t="s">
        <v>2181</v>
      </c>
      <c r="D3321" t="s">
        <v>61</v>
      </c>
      <c r="E3321" t="s">
        <v>62</v>
      </c>
      <c r="F3321">
        <v>1</v>
      </c>
      <c r="G3321" s="3" t="s">
        <v>32</v>
      </c>
      <c r="H3321" s="53" t="s">
        <v>15</v>
      </c>
      <c r="I3321" s="17">
        <v>4777271</v>
      </c>
      <c r="J3321" s="17">
        <f>IF(Gastos[[#This Row],[Divisa]]="$", I3321*1, IF(Gastos[[#This Row],[Divisa]]="U$D", I3321*$N$1, IF(Gastos[[#This Row],[Divisa]]="EUR", I3321*$N$2, 0)))</f>
        <v>4777271</v>
      </c>
      <c r="K3321" s="61">
        <f>Gastos[[#This Row],[Importe AR$]]/$N$1</f>
        <v>3153.3141914191419</v>
      </c>
      <c r="M3321" s="76">
        <v>46213</v>
      </c>
      <c r="N3321" s="50">
        <f>IF(Gastos[[#This Row],[Fecha_Cheque]]&gt;0,WEEKNUM(Gastos[[#This Row],[Fecha_Cheque]]),MID(Gastos[[#This Row],[Semana]],6,2))</f>
        <v>28</v>
      </c>
      <c r="O3321" t="s">
        <v>3324</v>
      </c>
      <c r="P3321" t="s">
        <v>27</v>
      </c>
    </row>
    <row r="3322" spans="1:16" hidden="1" x14ac:dyDescent="0.25">
      <c r="A3322" s="3" t="s">
        <v>2841</v>
      </c>
      <c r="B3322" t="s">
        <v>2171</v>
      </c>
      <c r="C3322" t="s">
        <v>2181</v>
      </c>
      <c r="D3322" t="s">
        <v>61</v>
      </c>
      <c r="E3322" t="s">
        <v>62</v>
      </c>
      <c r="F3322">
        <v>1</v>
      </c>
      <c r="G3322" s="3" t="s">
        <v>32</v>
      </c>
      <c r="H3322" s="53" t="s">
        <v>15</v>
      </c>
      <c r="I3322" s="17">
        <v>91065.42</v>
      </c>
      <c r="J3322" s="17">
        <f>IF(Gastos[[#This Row],[Divisa]]="$", I3322*1, IF(Gastos[[#This Row],[Divisa]]="U$D", I3322*$N$1, IF(Gastos[[#This Row],[Divisa]]="EUR", I3322*$N$2, 0)))</f>
        <v>91065.42</v>
      </c>
      <c r="K3322" s="61">
        <f>Gastos[[#This Row],[Importe AR$]]/$N$1</f>
        <v>60.109188118811879</v>
      </c>
      <c r="L3322" t="s">
        <v>340</v>
      </c>
      <c r="M3322" s="76"/>
      <c r="N3322" s="50" t="str">
        <f>IF(Gastos[[#This Row],[Fecha_Cheque]]&gt;0,WEEKNUM(Gastos[[#This Row],[Fecha_Cheque]]),MID(Gastos[[#This Row],[Semana]],6,2))</f>
        <v>22</v>
      </c>
      <c r="O3322" t="s">
        <v>3324</v>
      </c>
      <c r="P3322" t="s">
        <v>27</v>
      </c>
    </row>
    <row r="3323" spans="1:16" hidden="1" x14ac:dyDescent="0.25">
      <c r="A3323" s="3" t="s">
        <v>2763</v>
      </c>
      <c r="B3323" t="s">
        <v>1462</v>
      </c>
      <c r="C3323" t="s">
        <v>2867</v>
      </c>
      <c r="D3323" t="s">
        <v>26</v>
      </c>
      <c r="E3323" t="s">
        <v>91</v>
      </c>
      <c r="F3323">
        <v>1</v>
      </c>
      <c r="G3323" s="3" t="s">
        <v>5</v>
      </c>
      <c r="H3323" s="51" t="s">
        <v>15</v>
      </c>
      <c r="I3323" s="17">
        <v>715343.4</v>
      </c>
      <c r="J3323" s="17">
        <f>IF(Gastos[[#This Row],[Divisa]]="$", I3323*1, IF(Gastos[[#This Row],[Divisa]]="U$D", I3323*$N$1, IF(Gastos[[#This Row],[Divisa]]="EUR", I3323*$N$2, 0)))</f>
        <v>715343.4</v>
      </c>
      <c r="K3323" s="61">
        <f>Gastos[[#This Row],[Importe AR$]]/$N$1</f>
        <v>472.17386138613864</v>
      </c>
      <c r="M3323" s="76"/>
      <c r="N3323" s="50" t="str">
        <f>IF(Gastos[[#This Row],[Fecha_Cheque]]&gt;0,WEEKNUM(Gastos[[#This Row],[Fecha_Cheque]]),MID(Gastos[[#This Row],[Semana]],6,2))</f>
        <v>23</v>
      </c>
      <c r="O3323" t="s">
        <v>3325</v>
      </c>
      <c r="P3323" t="s">
        <v>27</v>
      </c>
    </row>
    <row r="3324" spans="1:16" hidden="1" x14ac:dyDescent="0.25">
      <c r="A3324" s="3" t="s">
        <v>2763</v>
      </c>
      <c r="B3324" t="s">
        <v>1462</v>
      </c>
      <c r="C3324" t="s">
        <v>2867</v>
      </c>
      <c r="D3324" t="s">
        <v>26</v>
      </c>
      <c r="E3324" t="s">
        <v>91</v>
      </c>
      <c r="F3324">
        <v>1</v>
      </c>
      <c r="G3324" s="3" t="s">
        <v>5</v>
      </c>
      <c r="H3324" s="51" t="s">
        <v>15</v>
      </c>
      <c r="I3324" s="17">
        <v>10656.6</v>
      </c>
      <c r="J3324" s="17">
        <f>IF(Gastos[[#This Row],[Divisa]]="$", I3324*1, IF(Gastos[[#This Row],[Divisa]]="U$D", I3324*$N$1, IF(Gastos[[#This Row],[Divisa]]="EUR", I3324*$N$2, 0)))</f>
        <v>10656.6</v>
      </c>
      <c r="K3324" s="61">
        <f>Gastos[[#This Row],[Importe AR$]]/$N$1</f>
        <v>7.0340594059405941</v>
      </c>
      <c r="L3324" t="s">
        <v>340</v>
      </c>
      <c r="M3324" s="76"/>
      <c r="N3324" s="50" t="str">
        <f>IF(Gastos[[#This Row],[Fecha_Cheque]]&gt;0,WEEKNUM(Gastos[[#This Row],[Fecha_Cheque]]),MID(Gastos[[#This Row],[Semana]],6,2))</f>
        <v>23</v>
      </c>
      <c r="O3324" t="s">
        <v>3325</v>
      </c>
      <c r="P3324" t="s">
        <v>27</v>
      </c>
    </row>
    <row r="3325" spans="1:16" hidden="1" x14ac:dyDescent="0.25">
      <c r="A3325" s="3" t="s">
        <v>3718</v>
      </c>
      <c r="B3325" t="s">
        <v>344</v>
      </c>
      <c r="C3325" t="s">
        <v>3707</v>
      </c>
      <c r="D3325" t="s">
        <v>26</v>
      </c>
      <c r="E3325" t="s">
        <v>31</v>
      </c>
      <c r="F3325">
        <v>1</v>
      </c>
      <c r="G3325" s="3" t="s">
        <v>32</v>
      </c>
      <c r="H3325" s="51" t="s">
        <v>15</v>
      </c>
      <c r="I3325" s="17">
        <v>3228.26</v>
      </c>
      <c r="J3325" s="17">
        <f>IF(Gastos[[#This Row],[Divisa]]="$", I3325*1, IF(Gastos[[#This Row],[Divisa]]="U$D", I3325*$N$1, IF(Gastos[[#This Row],[Divisa]]="EUR", I3325*$N$2, 0)))</f>
        <v>3228.26</v>
      </c>
      <c r="K3325" s="61">
        <f>Gastos[[#This Row],[Importe AR$]]/$N$1</f>
        <v>2.1308646864686471</v>
      </c>
      <c r="L3325" t="s">
        <v>340</v>
      </c>
      <c r="M3325" s="76"/>
      <c r="N3325" s="50" t="str">
        <f>IF(Gastos[[#This Row],[Fecha_Cheque]]&gt;0,WEEKNUM(Gastos[[#This Row],[Fecha_Cheque]]),MID(Gastos[[#This Row],[Semana]],6,2))</f>
        <v>28</v>
      </c>
      <c r="O3325" t="s">
        <v>3708</v>
      </c>
      <c r="P3325" t="s">
        <v>27</v>
      </c>
    </row>
    <row r="3326" spans="1:16" hidden="1" x14ac:dyDescent="0.25">
      <c r="A3326" s="3" t="s">
        <v>2763</v>
      </c>
      <c r="B3326" t="s">
        <v>3326</v>
      </c>
      <c r="C3326" t="s">
        <v>3281</v>
      </c>
      <c r="D3326" t="s">
        <v>26</v>
      </c>
      <c r="E3326" t="s">
        <v>42</v>
      </c>
      <c r="F3326">
        <v>1</v>
      </c>
      <c r="G3326" s="3" t="s">
        <v>4</v>
      </c>
      <c r="H3326" s="51" t="s">
        <v>15</v>
      </c>
      <c r="I3326" s="17">
        <v>188821.25</v>
      </c>
      <c r="J3326" s="17">
        <f>IF(Gastos[[#This Row],[Divisa]]="$", I3326*1, IF(Gastos[[#This Row],[Divisa]]="U$D", I3326*$N$1, IF(Gastos[[#This Row],[Divisa]]="EUR", I3326*$N$2, 0)))</f>
        <v>188821.25</v>
      </c>
      <c r="K3326" s="61">
        <f>Gastos[[#This Row],[Importe AR$]]/$N$1</f>
        <v>124.63448844884489</v>
      </c>
      <c r="M3326" s="76"/>
      <c r="N3326" s="50" t="str">
        <f>IF(Gastos[[#This Row],[Fecha_Cheque]]&gt;0,WEEKNUM(Gastos[[#This Row],[Fecha_Cheque]]),MID(Gastos[[#This Row],[Semana]],6,2))</f>
        <v>23</v>
      </c>
      <c r="O3326" t="s">
        <v>3327</v>
      </c>
      <c r="P3326" t="s">
        <v>27</v>
      </c>
    </row>
    <row r="3327" spans="1:16" hidden="1" x14ac:dyDescent="0.25">
      <c r="A3327" s="3" t="s">
        <v>2763</v>
      </c>
      <c r="B3327" t="s">
        <v>3326</v>
      </c>
      <c r="C3327" t="s">
        <v>3281</v>
      </c>
      <c r="D3327" t="s">
        <v>26</v>
      </c>
      <c r="E3327" t="s">
        <v>42</v>
      </c>
      <c r="F3327">
        <v>1</v>
      </c>
      <c r="G3327" s="3" t="s">
        <v>4</v>
      </c>
      <c r="H3327" s="51" t="s">
        <v>15</v>
      </c>
      <c r="I3327" s="17">
        <v>174599</v>
      </c>
      <c r="J3327" s="17">
        <f>IF(Gastos[[#This Row],[Divisa]]="$", I3327*1, IF(Gastos[[#This Row],[Divisa]]="U$D", I3327*$N$1, IF(Gastos[[#This Row],[Divisa]]="EUR", I3327*$N$2, 0)))</f>
        <v>174599</v>
      </c>
      <c r="K3327" s="61">
        <f>Gastos[[#This Row],[Importe AR$]]/$N$1</f>
        <v>115.24686468646864</v>
      </c>
      <c r="M3327" s="76"/>
      <c r="N3327" s="50" t="str">
        <f>IF(Gastos[[#This Row],[Fecha_Cheque]]&gt;0,WEEKNUM(Gastos[[#This Row],[Fecha_Cheque]]),MID(Gastos[[#This Row],[Semana]],6,2))</f>
        <v>23</v>
      </c>
      <c r="O3327" t="s">
        <v>3328</v>
      </c>
      <c r="P3327" t="s">
        <v>27</v>
      </c>
    </row>
    <row r="3328" spans="1:16" hidden="1" x14ac:dyDescent="0.25">
      <c r="A3328" s="3" t="s">
        <v>2792</v>
      </c>
      <c r="B3328" t="s">
        <v>2860</v>
      </c>
      <c r="C3328" t="s">
        <v>3329</v>
      </c>
      <c r="D3328" t="s">
        <v>26</v>
      </c>
      <c r="E3328" t="s">
        <v>31</v>
      </c>
      <c r="F3328">
        <v>1</v>
      </c>
      <c r="G3328" s="3" t="s">
        <v>4</v>
      </c>
      <c r="H3328" s="51" t="s">
        <v>15</v>
      </c>
      <c r="I3328" s="17">
        <v>301980</v>
      </c>
      <c r="J3328" s="17">
        <f>IF(Gastos[[#This Row],[Divisa]]="$", I3328*1, IF(Gastos[[#This Row],[Divisa]]="U$D", I3328*$N$1, IF(Gastos[[#This Row],[Divisa]]="EUR", I3328*$N$2, 0)))</f>
        <v>301980</v>
      </c>
      <c r="K3328" s="61">
        <f>Gastos[[#This Row],[Importe AR$]]/$N$1</f>
        <v>199.32673267326732</v>
      </c>
      <c r="M3328" s="76"/>
      <c r="N3328" s="50" t="str">
        <f>IF(Gastos[[#This Row],[Fecha_Cheque]]&gt;0,WEEKNUM(Gastos[[#This Row],[Fecha_Cheque]]),MID(Gastos[[#This Row],[Semana]],6,2))</f>
        <v>21</v>
      </c>
      <c r="O3328" t="s">
        <v>2862</v>
      </c>
      <c r="P3328" t="s">
        <v>27</v>
      </c>
    </row>
    <row r="3329" spans="1:16" hidden="1" x14ac:dyDescent="0.25">
      <c r="A3329" s="3" t="s">
        <v>2792</v>
      </c>
      <c r="B3329" t="s">
        <v>2860</v>
      </c>
      <c r="C3329" t="s">
        <v>3329</v>
      </c>
      <c r="D3329" t="s">
        <v>26</v>
      </c>
      <c r="E3329" t="s">
        <v>31</v>
      </c>
      <c r="F3329">
        <v>1</v>
      </c>
      <c r="G3329" s="3" t="s">
        <v>4</v>
      </c>
      <c r="H3329" s="51" t="s">
        <v>15</v>
      </c>
      <c r="I3329" s="17">
        <v>520</v>
      </c>
      <c r="J3329" s="17">
        <f>IF(Gastos[[#This Row],[Divisa]]="$", I3329*1, IF(Gastos[[#This Row],[Divisa]]="U$D", I3329*$N$1, IF(Gastos[[#This Row],[Divisa]]="EUR", I3329*$N$2, 0)))</f>
        <v>520</v>
      </c>
      <c r="K3329" s="61">
        <f>Gastos[[#This Row],[Importe AR$]]/$N$1</f>
        <v>0.34323432343234322</v>
      </c>
      <c r="L3329" t="s">
        <v>340</v>
      </c>
      <c r="M3329" s="76"/>
      <c r="N3329" s="50" t="str">
        <f>IF(Gastos[[#This Row],[Fecha_Cheque]]&gt;0,WEEKNUM(Gastos[[#This Row],[Fecha_Cheque]]),MID(Gastos[[#This Row],[Semana]],6,2))</f>
        <v>21</v>
      </c>
      <c r="O3329" t="s">
        <v>2862</v>
      </c>
      <c r="P3329" t="s">
        <v>27</v>
      </c>
    </row>
    <row r="3330" spans="1:16" hidden="1" x14ac:dyDescent="0.25">
      <c r="A3330" s="3" t="s">
        <v>2841</v>
      </c>
      <c r="B3330" t="s">
        <v>2245</v>
      </c>
      <c r="C3330" t="s">
        <v>2248</v>
      </c>
      <c r="D3330" t="s">
        <v>26</v>
      </c>
      <c r="E3330" t="s">
        <v>62</v>
      </c>
      <c r="F3330">
        <v>1</v>
      </c>
      <c r="G3330" s="3" t="s">
        <v>32</v>
      </c>
      <c r="H3330" s="53" t="s">
        <v>15</v>
      </c>
      <c r="I3330" s="17">
        <v>2407700</v>
      </c>
      <c r="J3330" s="17">
        <f>IF(Gastos[[#This Row],[Divisa]]="$", I3330*1, IF(Gastos[[#This Row],[Divisa]]="U$D", I3330*$N$1, IF(Gastos[[#This Row],[Divisa]]="EUR", I3330*$N$2, 0)))</f>
        <v>2407700</v>
      </c>
      <c r="K3330" s="61">
        <f>Gastos[[#This Row],[Importe AR$]]/$N$1</f>
        <v>1589.2409240924092</v>
      </c>
      <c r="M3330" s="76">
        <v>46214</v>
      </c>
      <c r="N3330" s="50">
        <f>IF(Gastos[[#This Row],[Fecha_Cheque]]&gt;0,WEEKNUM(Gastos[[#This Row],[Fecha_Cheque]]),MID(Gastos[[#This Row],[Semana]],6,2))</f>
        <v>28</v>
      </c>
      <c r="O3330" t="s">
        <v>3330</v>
      </c>
      <c r="P3330" t="s">
        <v>27</v>
      </c>
    </row>
    <row r="3331" spans="1:16" hidden="1" x14ac:dyDescent="0.25">
      <c r="A3331" s="3" t="s">
        <v>2841</v>
      </c>
      <c r="B3331" t="s">
        <v>2245</v>
      </c>
      <c r="C3331" t="s">
        <v>2248</v>
      </c>
      <c r="D3331" t="s">
        <v>26</v>
      </c>
      <c r="E3331" t="s">
        <v>62</v>
      </c>
      <c r="F3331">
        <v>1</v>
      </c>
      <c r="G3331" s="3" t="s">
        <v>32</v>
      </c>
      <c r="H3331" s="53" t="s">
        <v>15</v>
      </c>
      <c r="I3331" s="17">
        <v>20474.900000000001</v>
      </c>
      <c r="J3331" s="17">
        <f>IF(Gastos[[#This Row],[Divisa]]="$", I3331*1, IF(Gastos[[#This Row],[Divisa]]="U$D", I3331*$N$1, IF(Gastos[[#This Row],[Divisa]]="EUR", I3331*$N$2, 0)))</f>
        <v>20474.900000000001</v>
      </c>
      <c r="K3331" s="61">
        <f>Gastos[[#This Row],[Importe AR$]]/$N$1</f>
        <v>13.514785478547855</v>
      </c>
      <c r="L3331" t="s">
        <v>340</v>
      </c>
      <c r="M3331" s="76"/>
      <c r="N3331" s="50" t="str">
        <f>IF(Gastos[[#This Row],[Fecha_Cheque]]&gt;0,WEEKNUM(Gastos[[#This Row],[Fecha_Cheque]]),MID(Gastos[[#This Row],[Semana]],6,2))</f>
        <v>22</v>
      </c>
      <c r="O3331" t="s">
        <v>3330</v>
      </c>
      <c r="P3331" t="s">
        <v>27</v>
      </c>
    </row>
    <row r="3332" spans="1:16" hidden="1" x14ac:dyDescent="0.25">
      <c r="A3332" s="3" t="s">
        <v>3641</v>
      </c>
      <c r="B3332" t="s">
        <v>478</v>
      </c>
      <c r="C3332" t="s">
        <v>3693</v>
      </c>
      <c r="D3332" t="s">
        <v>26</v>
      </c>
      <c r="E3332" t="s">
        <v>31</v>
      </c>
      <c r="F3332">
        <v>1</v>
      </c>
      <c r="G3332" s="3" t="s">
        <v>32</v>
      </c>
      <c r="H3332" s="51" t="s">
        <v>15</v>
      </c>
      <c r="I3332" s="17">
        <v>3443614.02</v>
      </c>
      <c r="J3332" s="17">
        <f>IF(Gastos[[#This Row],[Divisa]]="$", I3332*1, IF(Gastos[[#This Row],[Divisa]]="U$D", I3332*$N$1, IF(Gastos[[#This Row],[Divisa]]="EUR", I3332*$N$2, 0)))</f>
        <v>3443614.02</v>
      </c>
      <c r="K3332" s="61">
        <f>Gastos[[#This Row],[Importe AR$]]/$N$1</f>
        <v>2273.0125544554458</v>
      </c>
      <c r="M3332" s="76">
        <v>46236</v>
      </c>
      <c r="N3332" s="50">
        <f>IF(Gastos[[#This Row],[Fecha_Cheque]]&gt;0,WEEKNUM(Gastos[[#This Row],[Fecha_Cheque]]),MID(Gastos[[#This Row],[Semana]],6,2))</f>
        <v>32</v>
      </c>
      <c r="O3332" t="s">
        <v>3694</v>
      </c>
      <c r="P3332" t="s">
        <v>27</v>
      </c>
    </row>
    <row r="3333" spans="1:16" hidden="1" x14ac:dyDescent="0.25">
      <c r="A3333" s="3" t="s">
        <v>2763</v>
      </c>
      <c r="B3333" t="s">
        <v>1525</v>
      </c>
      <c r="C3333" t="s">
        <v>693</v>
      </c>
      <c r="D3333" t="s">
        <v>26</v>
      </c>
      <c r="E3333" t="s">
        <v>91</v>
      </c>
      <c r="F3333">
        <v>1</v>
      </c>
      <c r="G3333" s="3" t="s">
        <v>5</v>
      </c>
      <c r="H3333" s="51" t="s">
        <v>15</v>
      </c>
      <c r="I3333" s="17">
        <v>490000</v>
      </c>
      <c r="J3333" s="17">
        <f>IF(Gastos[[#This Row],[Divisa]]="$", I3333*1, IF(Gastos[[#This Row],[Divisa]]="U$D", I3333*$N$1, IF(Gastos[[#This Row],[Divisa]]="EUR", I3333*$N$2, 0)))</f>
        <v>490000</v>
      </c>
      <c r="K3333" s="61">
        <f>Gastos[[#This Row],[Importe AR$]]/$N$1</f>
        <v>323.43234323432341</v>
      </c>
      <c r="M3333" s="76"/>
      <c r="N3333" s="50" t="str">
        <f>IF(Gastos[[#This Row],[Fecha_Cheque]]&gt;0,WEEKNUM(Gastos[[#This Row],[Fecha_Cheque]]),MID(Gastos[[#This Row],[Semana]],6,2))</f>
        <v>23</v>
      </c>
      <c r="O3333" t="s">
        <v>3331</v>
      </c>
      <c r="P3333" t="s">
        <v>27</v>
      </c>
    </row>
    <row r="3334" spans="1:16" hidden="1" x14ac:dyDescent="0.25">
      <c r="A3334" s="3" t="s">
        <v>2763</v>
      </c>
      <c r="B3334" t="s">
        <v>1571</v>
      </c>
      <c r="C3334" t="s">
        <v>155</v>
      </c>
      <c r="D3334" t="s">
        <v>26</v>
      </c>
      <c r="E3334" t="s">
        <v>42</v>
      </c>
      <c r="F3334">
        <v>1</v>
      </c>
      <c r="G3334" s="3" t="s">
        <v>4</v>
      </c>
      <c r="H3334" s="51" t="s">
        <v>15</v>
      </c>
      <c r="I3334" s="17">
        <v>190008.89</v>
      </c>
      <c r="J3334" s="17">
        <f>IF(Gastos[[#This Row],[Divisa]]="$", I3334*1, IF(Gastos[[#This Row],[Divisa]]="U$D", I3334*$N$1, IF(Gastos[[#This Row],[Divisa]]="EUR", I3334*$N$2, 0)))</f>
        <v>190008.89</v>
      </c>
      <c r="K3334" s="61">
        <f>Gastos[[#This Row],[Importe AR$]]/$N$1</f>
        <v>125.41840924092411</v>
      </c>
      <c r="M3334" s="76"/>
      <c r="N3334" s="50" t="str">
        <f>IF(Gastos[[#This Row],[Fecha_Cheque]]&gt;0,WEEKNUM(Gastos[[#This Row],[Fecha_Cheque]]),MID(Gastos[[#This Row],[Semana]],6,2))</f>
        <v>23</v>
      </c>
      <c r="O3334" t="s">
        <v>3332</v>
      </c>
      <c r="P3334" t="s">
        <v>27</v>
      </c>
    </row>
    <row r="3335" spans="1:16" hidden="1" x14ac:dyDescent="0.25">
      <c r="A3335" s="3" t="s">
        <v>3641</v>
      </c>
      <c r="B3335" t="s">
        <v>478</v>
      </c>
      <c r="C3335" t="s">
        <v>3693</v>
      </c>
      <c r="D3335" t="s">
        <v>26</v>
      </c>
      <c r="E3335" t="s">
        <v>31</v>
      </c>
      <c r="F3335">
        <v>1</v>
      </c>
      <c r="G3335" s="3" t="s">
        <v>32</v>
      </c>
      <c r="H3335" s="51" t="s">
        <v>15</v>
      </c>
      <c r="I3335" s="17">
        <v>3443614.02</v>
      </c>
      <c r="J3335" s="17">
        <f>IF(Gastos[[#This Row],[Divisa]]="$", I3335*1, IF(Gastos[[#This Row],[Divisa]]="U$D", I3335*$N$1, IF(Gastos[[#This Row],[Divisa]]="EUR", I3335*$N$2, 0)))</f>
        <v>3443614.02</v>
      </c>
      <c r="K3335" s="61">
        <f>Gastos[[#This Row],[Importe AR$]]/$N$1</f>
        <v>2273.0125544554458</v>
      </c>
      <c r="M3335" s="76">
        <v>46249</v>
      </c>
      <c r="N3335" s="50">
        <f>IF(Gastos[[#This Row],[Fecha_Cheque]]&gt;0,WEEKNUM(Gastos[[#This Row],[Fecha_Cheque]]),MID(Gastos[[#This Row],[Semana]],6,2))</f>
        <v>33</v>
      </c>
      <c r="O3335" t="s">
        <v>3694</v>
      </c>
      <c r="P3335" t="s">
        <v>27</v>
      </c>
    </row>
    <row r="3336" spans="1:16" hidden="1" x14ac:dyDescent="0.25">
      <c r="A3336" s="3" t="s">
        <v>3591</v>
      </c>
      <c r="B3336" t="s">
        <v>2875</v>
      </c>
      <c r="C3336" t="s">
        <v>3561</v>
      </c>
      <c r="D3336" t="s">
        <v>26</v>
      </c>
      <c r="E3336" t="s">
        <v>42</v>
      </c>
      <c r="F3336">
        <v>1</v>
      </c>
      <c r="G3336" s="3" t="s">
        <v>4</v>
      </c>
      <c r="H3336" s="51" t="s">
        <v>15</v>
      </c>
      <c r="I3336" s="17">
        <v>4796</v>
      </c>
      <c r="J3336" s="17">
        <f>IF(Gastos[[#This Row],[Divisa]]="$", I3336*1, IF(Gastos[[#This Row],[Divisa]]="U$D", I3336*$N$1, IF(Gastos[[#This Row],[Divisa]]="EUR", I3336*$N$2, 0)))</f>
        <v>4796</v>
      </c>
      <c r="K3336" s="61">
        <f>Gastos[[#This Row],[Importe AR$]]/$N$1</f>
        <v>3.1656765676567655</v>
      </c>
      <c r="M3336" s="76"/>
      <c r="N3336" s="50" t="str">
        <f>IF(Gastos[[#This Row],[Fecha_Cheque]]&gt;0,WEEKNUM(Gastos[[#This Row],[Fecha_Cheque]]),MID(Gastos[[#This Row],[Semana]],6,2))</f>
        <v>26</v>
      </c>
      <c r="O3336" t="s">
        <v>3598</v>
      </c>
      <c r="P3336" t="s">
        <v>27</v>
      </c>
    </row>
    <row r="3337" spans="1:16" hidden="1" x14ac:dyDescent="0.25">
      <c r="A3337" s="3" t="s">
        <v>2726</v>
      </c>
      <c r="B3337" t="s">
        <v>3333</v>
      </c>
      <c r="C3337" t="s">
        <v>3334</v>
      </c>
      <c r="D3337" t="s">
        <v>26</v>
      </c>
      <c r="E3337" t="s">
        <v>31</v>
      </c>
      <c r="F3337">
        <v>1</v>
      </c>
      <c r="G3337" s="3" t="s">
        <v>32</v>
      </c>
      <c r="H3337" s="51" t="s">
        <v>15</v>
      </c>
      <c r="I3337" s="17">
        <v>968566.16</v>
      </c>
      <c r="J3337" s="17">
        <f>IF(Gastos[[#This Row],[Divisa]]="$", I3337*1, IF(Gastos[[#This Row],[Divisa]]="U$D", I3337*$N$1, IF(Gastos[[#This Row],[Divisa]]="EUR", I3337*$N$2, 0)))</f>
        <v>968566.16</v>
      </c>
      <c r="K3337" s="61">
        <f>Gastos[[#This Row],[Importe AR$]]/$N$1</f>
        <v>639.31759735973594</v>
      </c>
      <c r="M3337" s="76">
        <v>46212</v>
      </c>
      <c r="N3337" s="50">
        <f>IF(Gastos[[#This Row],[Fecha_Cheque]]&gt;0,WEEKNUM(Gastos[[#This Row],[Fecha_Cheque]]),MID(Gastos[[#This Row],[Semana]],6,2))</f>
        <v>28</v>
      </c>
      <c r="O3337" t="s">
        <v>3335</v>
      </c>
      <c r="P3337" t="s">
        <v>27</v>
      </c>
    </row>
    <row r="3338" spans="1:16" hidden="1" x14ac:dyDescent="0.25">
      <c r="A3338" s="3" t="s">
        <v>2841</v>
      </c>
      <c r="B3338" t="s">
        <v>2377</v>
      </c>
      <c r="C3338" t="s">
        <v>3336</v>
      </c>
      <c r="D3338" t="s">
        <v>61</v>
      </c>
      <c r="E3338" t="s">
        <v>62</v>
      </c>
      <c r="F3338">
        <v>1</v>
      </c>
      <c r="G3338" s="3" t="s">
        <v>32</v>
      </c>
      <c r="H3338" s="53" t="s">
        <v>15</v>
      </c>
      <c r="I3338" s="17">
        <v>355985</v>
      </c>
      <c r="J3338" s="17">
        <f>IF(Gastos[[#This Row],[Divisa]]="$", I3338*1, IF(Gastos[[#This Row],[Divisa]]="U$D", I3338*$N$1, IF(Gastos[[#This Row],[Divisa]]="EUR", I3338*$N$2, 0)))</f>
        <v>355985</v>
      </c>
      <c r="K3338" s="61">
        <f>Gastos[[#This Row],[Importe AR$]]/$N$1</f>
        <v>234.97359735973598</v>
      </c>
      <c r="M3338" s="76">
        <v>46192</v>
      </c>
      <c r="N3338" s="50">
        <f>IF(Gastos[[#This Row],[Fecha_Cheque]]&gt;0,WEEKNUM(Gastos[[#This Row],[Fecha_Cheque]]),MID(Gastos[[#This Row],[Semana]],6,2))</f>
        <v>25</v>
      </c>
      <c r="O3338" t="s">
        <v>3337</v>
      </c>
      <c r="P3338" t="s">
        <v>27</v>
      </c>
    </row>
    <row r="3339" spans="1:16" hidden="1" x14ac:dyDescent="0.25">
      <c r="A3339" s="3" t="s">
        <v>2841</v>
      </c>
      <c r="B3339" t="s">
        <v>2377</v>
      </c>
      <c r="C3339" t="s">
        <v>3336</v>
      </c>
      <c r="D3339" t="s">
        <v>61</v>
      </c>
      <c r="E3339" t="s">
        <v>62</v>
      </c>
      <c r="F3339">
        <v>1</v>
      </c>
      <c r="G3339" s="3" t="s">
        <v>32</v>
      </c>
      <c r="H3339" s="53" t="s">
        <v>15</v>
      </c>
      <c r="I3339" s="17">
        <v>1524000</v>
      </c>
      <c r="J3339" s="17">
        <f>IF(Gastos[[#This Row],[Divisa]]="$", I3339*1, IF(Gastos[[#This Row],[Divisa]]="U$D", I3339*$N$1, IF(Gastos[[#This Row],[Divisa]]="EUR", I3339*$N$2, 0)))</f>
        <v>1524000</v>
      </c>
      <c r="K3339" s="61">
        <f>Gastos[[#This Row],[Importe AR$]]/$N$1</f>
        <v>1005.940594059406</v>
      </c>
      <c r="M3339" s="76">
        <v>46193</v>
      </c>
      <c r="N3339" s="50">
        <f>IF(Gastos[[#This Row],[Fecha_Cheque]]&gt;0,WEEKNUM(Gastos[[#This Row],[Fecha_Cheque]]),MID(Gastos[[#This Row],[Semana]],6,2))</f>
        <v>25</v>
      </c>
      <c r="O3339" t="s">
        <v>3337</v>
      </c>
      <c r="P3339" t="s">
        <v>27</v>
      </c>
    </row>
    <row r="3340" spans="1:16" hidden="1" x14ac:dyDescent="0.25">
      <c r="A3340" s="3" t="s">
        <v>2841</v>
      </c>
      <c r="B3340" t="s">
        <v>2377</v>
      </c>
      <c r="C3340" t="s">
        <v>3336</v>
      </c>
      <c r="D3340" t="s">
        <v>61</v>
      </c>
      <c r="E3340" t="s">
        <v>62</v>
      </c>
      <c r="F3340">
        <v>1</v>
      </c>
      <c r="G3340" s="3" t="s">
        <v>32</v>
      </c>
      <c r="H3340" s="53" t="s">
        <v>15</v>
      </c>
      <c r="I3340" s="17">
        <v>26594.13</v>
      </c>
      <c r="J3340" s="17">
        <f>IF(Gastos[[#This Row],[Divisa]]="$", I3340*1, IF(Gastos[[#This Row],[Divisa]]="U$D", I3340*$N$1, IF(Gastos[[#This Row],[Divisa]]="EUR", I3340*$N$2, 0)))</f>
        <v>26594.13</v>
      </c>
      <c r="K3340" s="61">
        <f>Gastos[[#This Row],[Importe AR$]]/$N$1</f>
        <v>17.553881188118812</v>
      </c>
      <c r="L3340" t="s">
        <v>340</v>
      </c>
      <c r="M3340" s="76"/>
      <c r="N3340" s="50" t="str">
        <f>IF(Gastos[[#This Row],[Fecha_Cheque]]&gt;0,WEEKNUM(Gastos[[#This Row],[Fecha_Cheque]]),MID(Gastos[[#This Row],[Semana]],6,2))</f>
        <v>22</v>
      </c>
      <c r="O3340" t="s">
        <v>3337</v>
      </c>
      <c r="P3340" t="s">
        <v>27</v>
      </c>
    </row>
    <row r="3341" spans="1:16" hidden="1" x14ac:dyDescent="0.25">
      <c r="A3341" s="3" t="s">
        <v>2726</v>
      </c>
      <c r="B3341" t="s">
        <v>3333</v>
      </c>
      <c r="C3341" t="s">
        <v>3334</v>
      </c>
      <c r="D3341" t="s">
        <v>26</v>
      </c>
      <c r="E3341" t="s">
        <v>31</v>
      </c>
      <c r="F3341">
        <v>1</v>
      </c>
      <c r="G3341" s="3" t="s">
        <v>32</v>
      </c>
      <c r="H3341" s="51" t="s">
        <v>15</v>
      </c>
      <c r="I3341" s="17">
        <v>11723.13</v>
      </c>
      <c r="J3341" s="17">
        <f>IF(Gastos[[#This Row],[Divisa]]="$", I3341*1, IF(Gastos[[#This Row],[Divisa]]="U$D", I3341*$N$1, IF(Gastos[[#This Row],[Divisa]]="EUR", I3341*$N$2, 0)))</f>
        <v>11723.13</v>
      </c>
      <c r="K3341" s="61">
        <f>Gastos[[#This Row],[Importe AR$]]/$N$1</f>
        <v>7.7380396039603951</v>
      </c>
      <c r="L3341" t="s">
        <v>340</v>
      </c>
      <c r="M3341" s="76"/>
      <c r="N3341" s="50" t="str">
        <f>IF(Gastos[[#This Row],[Fecha_Cheque]]&gt;0,WEEKNUM(Gastos[[#This Row],[Fecha_Cheque]]),MID(Gastos[[#This Row],[Semana]],6,2))</f>
        <v>24</v>
      </c>
      <c r="O3341" t="s">
        <v>3335</v>
      </c>
      <c r="P3341" t="s">
        <v>27</v>
      </c>
    </row>
    <row r="3342" spans="1:16" hidden="1" x14ac:dyDescent="0.25">
      <c r="A3342" s="3" t="s">
        <v>2726</v>
      </c>
      <c r="B3342" t="s">
        <v>3338</v>
      </c>
      <c r="C3342" t="s">
        <v>3339</v>
      </c>
      <c r="D3342" t="s">
        <v>26</v>
      </c>
      <c r="E3342" t="s">
        <v>31</v>
      </c>
      <c r="F3342">
        <v>1</v>
      </c>
      <c r="G3342" s="3" t="s">
        <v>32</v>
      </c>
      <c r="H3342" s="51" t="s">
        <v>15</v>
      </c>
      <c r="I3342" s="17">
        <v>1779434.82</v>
      </c>
      <c r="J3342" s="17">
        <f>IF(Gastos[[#This Row],[Divisa]]="$", I3342*1, IF(Gastos[[#This Row],[Divisa]]="U$D", I3342*$N$1, IF(Gastos[[#This Row],[Divisa]]="EUR", I3342*$N$2, 0)))</f>
        <v>1779434.82</v>
      </c>
      <c r="K3342" s="61">
        <f>Gastos[[#This Row],[Importe AR$]]/$N$1</f>
        <v>1174.5444356435644</v>
      </c>
      <c r="M3342" s="76">
        <v>46233</v>
      </c>
      <c r="N3342" s="50">
        <f>IF(Gastos[[#This Row],[Fecha_Cheque]]&gt;0,WEEKNUM(Gastos[[#This Row],[Fecha_Cheque]]),MID(Gastos[[#This Row],[Semana]],6,2))</f>
        <v>31</v>
      </c>
      <c r="O3342" t="s">
        <v>3340</v>
      </c>
      <c r="P3342" t="s">
        <v>27</v>
      </c>
    </row>
    <row r="3343" spans="1:16" hidden="1" x14ac:dyDescent="0.25">
      <c r="A3343" s="3" t="s">
        <v>2726</v>
      </c>
      <c r="B3343" t="s">
        <v>3338</v>
      </c>
      <c r="C3343" t="s">
        <v>3339</v>
      </c>
      <c r="D3343" t="s">
        <v>26</v>
      </c>
      <c r="E3343" t="s">
        <v>31</v>
      </c>
      <c r="F3343">
        <v>1</v>
      </c>
      <c r="G3343" s="3" t="s">
        <v>32</v>
      </c>
      <c r="H3343" s="51" t="s">
        <v>15</v>
      </c>
      <c r="I3343" s="17">
        <v>556969.18000000005</v>
      </c>
      <c r="J3343" s="17">
        <f>IF(Gastos[[#This Row],[Divisa]]="$", I3343*1, IF(Gastos[[#This Row],[Divisa]]="U$D", I3343*$N$1, IF(Gastos[[#This Row],[Divisa]]="EUR", I3343*$N$2, 0)))</f>
        <v>556969.18000000005</v>
      </c>
      <c r="K3343" s="61">
        <f>Gastos[[#This Row],[Importe AR$]]/$N$1</f>
        <v>367.63642244224428</v>
      </c>
      <c r="M3343" s="76">
        <v>46228</v>
      </c>
      <c r="N3343" s="50">
        <f>IF(Gastos[[#This Row],[Fecha_Cheque]]&gt;0,WEEKNUM(Gastos[[#This Row],[Fecha_Cheque]]),MID(Gastos[[#This Row],[Semana]],6,2))</f>
        <v>30</v>
      </c>
      <c r="O3343" t="s">
        <v>3340</v>
      </c>
      <c r="P3343" t="s">
        <v>27</v>
      </c>
    </row>
    <row r="3344" spans="1:16" hidden="1" x14ac:dyDescent="0.25">
      <c r="A3344" s="3" t="s">
        <v>2726</v>
      </c>
      <c r="B3344" t="s">
        <v>3338</v>
      </c>
      <c r="C3344" t="s">
        <v>3339</v>
      </c>
      <c r="D3344" t="s">
        <v>26</v>
      </c>
      <c r="E3344" t="s">
        <v>31</v>
      </c>
      <c r="F3344">
        <v>1</v>
      </c>
      <c r="G3344" s="3" t="s">
        <v>32</v>
      </c>
      <c r="H3344" s="51" t="s">
        <v>15</v>
      </c>
      <c r="I3344" s="17">
        <v>34712</v>
      </c>
      <c r="J3344" s="17">
        <f>IF(Gastos[[#This Row],[Divisa]]="$", I3344*1, IF(Gastos[[#This Row],[Divisa]]="U$D", I3344*$N$1, IF(Gastos[[#This Row],[Divisa]]="EUR", I3344*$N$2, 0)))</f>
        <v>34712</v>
      </c>
      <c r="K3344" s="61">
        <f>Gastos[[#This Row],[Importe AR$]]/$N$1</f>
        <v>22.912211221122114</v>
      </c>
      <c r="L3344" t="s">
        <v>340</v>
      </c>
      <c r="M3344" s="76"/>
      <c r="N3344" s="50" t="str">
        <f>IF(Gastos[[#This Row],[Fecha_Cheque]]&gt;0,WEEKNUM(Gastos[[#This Row],[Fecha_Cheque]]),MID(Gastos[[#This Row],[Semana]],6,2))</f>
        <v>24</v>
      </c>
      <c r="O3344" t="s">
        <v>3340</v>
      </c>
      <c r="P3344" t="s">
        <v>27</v>
      </c>
    </row>
    <row r="3345" spans="1:16" hidden="1" x14ac:dyDescent="0.25">
      <c r="A3345" s="3" t="s">
        <v>3591</v>
      </c>
      <c r="B3345" t="s">
        <v>2875</v>
      </c>
      <c r="C3345" t="s">
        <v>3621</v>
      </c>
      <c r="D3345" t="s">
        <v>26</v>
      </c>
      <c r="E3345" t="s">
        <v>42</v>
      </c>
      <c r="F3345">
        <v>1</v>
      </c>
      <c r="G3345" s="3" t="s">
        <v>4</v>
      </c>
      <c r="H3345" s="51" t="s">
        <v>15</v>
      </c>
      <c r="I3345" s="17">
        <v>1620</v>
      </c>
      <c r="J3345" s="17">
        <f>IF(Gastos[[#This Row],[Divisa]]="$", I3345*1, IF(Gastos[[#This Row],[Divisa]]="U$D", I3345*$N$1, IF(Gastos[[#This Row],[Divisa]]="EUR", I3345*$N$2, 0)))</f>
        <v>1620</v>
      </c>
      <c r="K3345" s="61">
        <f>Gastos[[#This Row],[Importe AR$]]/$N$1</f>
        <v>1.0693069306930694</v>
      </c>
      <c r="M3345" s="76"/>
      <c r="N3345" s="50" t="str">
        <f>IF(Gastos[[#This Row],[Fecha_Cheque]]&gt;0,WEEKNUM(Gastos[[#This Row],[Fecha_Cheque]]),MID(Gastos[[#This Row],[Semana]],6,2))</f>
        <v>26</v>
      </c>
      <c r="O3345" t="s">
        <v>3622</v>
      </c>
      <c r="P3345" t="s">
        <v>27</v>
      </c>
    </row>
    <row r="3346" spans="1:16" hidden="1" x14ac:dyDescent="0.25">
      <c r="A3346" s="3" t="s">
        <v>2841</v>
      </c>
      <c r="B3346" t="s">
        <v>3289</v>
      </c>
      <c r="C3346" t="s">
        <v>3290</v>
      </c>
      <c r="D3346" t="s">
        <v>26</v>
      </c>
      <c r="E3346" t="s">
        <v>31</v>
      </c>
      <c r="F3346">
        <v>1</v>
      </c>
      <c r="G3346" s="3" t="s">
        <v>32</v>
      </c>
      <c r="H3346" s="51" t="s">
        <v>15</v>
      </c>
      <c r="I3346" s="17">
        <v>4031846.59</v>
      </c>
      <c r="J3346" s="17">
        <f>IF(Gastos[[#This Row],[Divisa]]="$", I3346*1, IF(Gastos[[#This Row],[Divisa]]="U$D", I3346*$N$1, IF(Gastos[[#This Row],[Divisa]]="EUR", I3346*$N$2, 0)))</f>
        <v>4031846.59</v>
      </c>
      <c r="K3346" s="61">
        <f>Gastos[[#This Row],[Importe AR$]]/$N$1</f>
        <v>2661.2848778877888</v>
      </c>
      <c r="M3346" s="76">
        <v>46200</v>
      </c>
      <c r="N3346" s="50">
        <f>IF(Gastos[[#This Row],[Fecha_Cheque]]&gt;0,WEEKNUM(Gastos[[#This Row],[Fecha_Cheque]]),MID(Gastos[[#This Row],[Semana]],6,2))</f>
        <v>26</v>
      </c>
      <c r="O3346" t="s">
        <v>3341</v>
      </c>
      <c r="P3346" t="s">
        <v>27</v>
      </c>
    </row>
    <row r="3347" spans="1:16" hidden="1" x14ac:dyDescent="0.25">
      <c r="A3347" s="3" t="s">
        <v>2841</v>
      </c>
      <c r="B3347" t="s">
        <v>3289</v>
      </c>
      <c r="C3347" t="s">
        <v>3290</v>
      </c>
      <c r="D3347" t="s">
        <v>26</v>
      </c>
      <c r="E3347" t="s">
        <v>31</v>
      </c>
      <c r="F3347">
        <v>1</v>
      </c>
      <c r="G3347" s="3" t="s">
        <v>32</v>
      </c>
      <c r="H3347" s="51" t="s">
        <v>15</v>
      </c>
      <c r="I3347" s="17">
        <v>68153.41</v>
      </c>
      <c r="J3347" s="17">
        <f>IF(Gastos[[#This Row],[Divisa]]="$", I3347*1, IF(Gastos[[#This Row],[Divisa]]="U$D", I3347*$N$1, IF(Gastos[[#This Row],[Divisa]]="EUR", I3347*$N$2, 0)))</f>
        <v>68153.41</v>
      </c>
      <c r="K3347" s="61">
        <f>Gastos[[#This Row],[Importe AR$]]/$N$1</f>
        <v>44.985749174917494</v>
      </c>
      <c r="L3347" t="s">
        <v>340</v>
      </c>
      <c r="M3347" s="76"/>
      <c r="N3347" s="50" t="str">
        <f>IF(Gastos[[#This Row],[Fecha_Cheque]]&gt;0,WEEKNUM(Gastos[[#This Row],[Fecha_Cheque]]),MID(Gastos[[#This Row],[Semana]],6,2))</f>
        <v>22</v>
      </c>
      <c r="O3347" t="s">
        <v>3341</v>
      </c>
      <c r="P3347" t="s">
        <v>27</v>
      </c>
    </row>
    <row r="3348" spans="1:16" x14ac:dyDescent="0.25">
      <c r="A3348" s="3" t="s">
        <v>3990</v>
      </c>
      <c r="B3348" t="s">
        <v>214</v>
      </c>
      <c r="C3348" t="s">
        <v>224</v>
      </c>
      <c r="D3348" t="s">
        <v>26</v>
      </c>
      <c r="E3348" t="s">
        <v>62</v>
      </c>
      <c r="F3348">
        <v>1</v>
      </c>
      <c r="G3348" s="3" t="s">
        <v>32</v>
      </c>
      <c r="H3348" s="53" t="s">
        <v>15</v>
      </c>
      <c r="I3348" s="17">
        <v>4190355.8700000006</v>
      </c>
      <c r="J3348" s="17">
        <f>IF(Gastos[[#This Row],[Divisa]]="$", I3348*1, IF(Gastos[[#This Row],[Divisa]]="U$D", I3348*$N$1, IF(Gastos[[#This Row],[Divisa]]="EUR", I3348*$N$2, 0)))</f>
        <v>4190355.8700000006</v>
      </c>
      <c r="K3348" s="61">
        <f>Gastos[[#This Row],[Importe AR$]]/$N$1</f>
        <v>2765.9114653465349</v>
      </c>
      <c r="M3348" s="76"/>
      <c r="N3348" s="50" t="str">
        <f>IF(Gastos[[#This Row],[Fecha_Cheque]]&gt;0,WEEKNUM(Gastos[[#This Row],[Fecha_Cheque]]),MID(Gastos[[#This Row],[Semana]],6,2))</f>
        <v>32</v>
      </c>
    </row>
    <row r="3349" spans="1:16" hidden="1" x14ac:dyDescent="0.25">
      <c r="A3349" s="3" t="s">
        <v>2726</v>
      </c>
      <c r="B3349" t="s">
        <v>1347</v>
      </c>
      <c r="C3349" t="s">
        <v>2096</v>
      </c>
      <c r="D3349" t="s">
        <v>26</v>
      </c>
      <c r="E3349" t="s">
        <v>62</v>
      </c>
      <c r="F3349">
        <v>1</v>
      </c>
      <c r="G3349" s="3" t="s">
        <v>32</v>
      </c>
      <c r="H3349" s="51" t="s">
        <v>15</v>
      </c>
      <c r="I3349" s="17">
        <v>7228369</v>
      </c>
      <c r="J3349" s="17">
        <f>IF(Gastos[[#This Row],[Divisa]]="$", I3349*1, IF(Gastos[[#This Row],[Divisa]]="U$D", I3349*$N$1, IF(Gastos[[#This Row],[Divisa]]="EUR", I3349*$N$2, 0)))</f>
        <v>7228369</v>
      </c>
      <c r="K3349" s="61">
        <f>Gastos[[#This Row],[Importe AR$]]/$N$1</f>
        <v>4771.200660066007</v>
      </c>
      <c r="M3349" s="76">
        <v>46214</v>
      </c>
      <c r="N3349" s="50">
        <f>IF(Gastos[[#This Row],[Fecha_Cheque]]&gt;0,WEEKNUM(Gastos[[#This Row],[Fecha_Cheque]]),MID(Gastos[[#This Row],[Semana]],6,2))</f>
        <v>28</v>
      </c>
      <c r="O3349" t="s">
        <v>3342</v>
      </c>
      <c r="P3349" t="s">
        <v>27</v>
      </c>
    </row>
    <row r="3350" spans="1:16" hidden="1" x14ac:dyDescent="0.25">
      <c r="A3350" s="3" t="s">
        <v>2763</v>
      </c>
      <c r="B3350" t="s">
        <v>3343</v>
      </c>
      <c r="C3350" t="s">
        <v>3344</v>
      </c>
      <c r="D3350" t="s">
        <v>26</v>
      </c>
      <c r="E3350" t="s">
        <v>31</v>
      </c>
      <c r="F3350">
        <v>1</v>
      </c>
      <c r="G3350" s="3" t="s">
        <v>5</v>
      </c>
      <c r="H3350" s="51" t="s">
        <v>15</v>
      </c>
      <c r="I3350" s="17">
        <v>332000</v>
      </c>
      <c r="J3350" s="17">
        <f>IF(Gastos[[#This Row],[Divisa]]="$", I3350*1, IF(Gastos[[#This Row],[Divisa]]="U$D", I3350*$N$1, IF(Gastos[[#This Row],[Divisa]]="EUR", I3350*$N$2, 0)))</f>
        <v>332000</v>
      </c>
      <c r="K3350" s="61">
        <f>Gastos[[#This Row],[Importe AR$]]/$N$1</f>
        <v>219.14191419141915</v>
      </c>
      <c r="M3350" s="76"/>
      <c r="N3350" s="50" t="str">
        <f>IF(Gastos[[#This Row],[Fecha_Cheque]]&gt;0,WEEKNUM(Gastos[[#This Row],[Fecha_Cheque]]),MID(Gastos[[#This Row],[Semana]],6,2))</f>
        <v>23</v>
      </c>
      <c r="O3350" t="s">
        <v>3345</v>
      </c>
      <c r="P3350" t="s">
        <v>27</v>
      </c>
    </row>
    <row r="3351" spans="1:16" hidden="1" x14ac:dyDescent="0.25">
      <c r="A3351" s="3" t="s">
        <v>2726</v>
      </c>
      <c r="B3351" t="s">
        <v>1347</v>
      </c>
      <c r="C3351" t="s">
        <v>2096</v>
      </c>
      <c r="D3351" t="s">
        <v>26</v>
      </c>
      <c r="E3351" t="s">
        <v>62</v>
      </c>
      <c r="F3351">
        <v>1</v>
      </c>
      <c r="G3351" s="3" t="s">
        <v>32</v>
      </c>
      <c r="H3351" s="51" t="s">
        <v>15</v>
      </c>
      <c r="I3351" s="17">
        <v>114997.17</v>
      </c>
      <c r="J3351" s="17">
        <f>IF(Gastos[[#This Row],[Divisa]]="$", I3351*1, IF(Gastos[[#This Row],[Divisa]]="U$D", I3351*$N$1, IF(Gastos[[#This Row],[Divisa]]="EUR", I3351*$N$2, 0)))</f>
        <v>114997.17</v>
      </c>
      <c r="K3351" s="61">
        <f>Gastos[[#This Row],[Importe AR$]]/$N$1</f>
        <v>75.90572277227723</v>
      </c>
      <c r="M3351" s="76"/>
      <c r="N3351" s="50" t="str">
        <f>IF(Gastos[[#This Row],[Fecha_Cheque]]&gt;0,WEEKNUM(Gastos[[#This Row],[Fecha_Cheque]]),MID(Gastos[[#This Row],[Semana]],6,2))</f>
        <v>24</v>
      </c>
      <c r="O3351" t="s">
        <v>3342</v>
      </c>
      <c r="P3351" t="s">
        <v>27</v>
      </c>
    </row>
    <row r="3352" spans="1:16" x14ac:dyDescent="0.25">
      <c r="A3352" s="3" t="s">
        <v>3990</v>
      </c>
      <c r="B3352" t="s">
        <v>829</v>
      </c>
      <c r="C3352" t="s">
        <v>137</v>
      </c>
      <c r="D3352" t="s">
        <v>26</v>
      </c>
      <c r="E3352" t="s">
        <v>91</v>
      </c>
      <c r="F3352">
        <v>1</v>
      </c>
      <c r="G3352" s="3" t="s">
        <v>5</v>
      </c>
      <c r="H3352" s="51" t="s">
        <v>15</v>
      </c>
      <c r="I3352" s="17">
        <v>1242115.3999999999</v>
      </c>
      <c r="J3352" s="17">
        <f>IF(Gastos[[#This Row],[Divisa]]="$", I3352*1, IF(Gastos[[#This Row],[Divisa]]="U$D", I3352*$N$1, IF(Gastos[[#This Row],[Divisa]]="EUR", I3352*$N$2, 0)))</f>
        <v>1242115.3999999999</v>
      </c>
      <c r="K3352" s="61">
        <f>Gastos[[#This Row],[Importe AR$]]/$N$1</f>
        <v>819.87815181518147</v>
      </c>
      <c r="M3352" s="76"/>
      <c r="N3352" s="50" t="str">
        <f>IF(Gastos[[#This Row],[Fecha_Cheque]]&gt;0,WEEKNUM(Gastos[[#This Row],[Fecha_Cheque]]),MID(Gastos[[#This Row],[Semana]],6,2))</f>
        <v>32</v>
      </c>
      <c r="O3352" t="s">
        <v>3992</v>
      </c>
      <c r="P3352" t="s">
        <v>3991</v>
      </c>
    </row>
    <row r="3353" spans="1:16" hidden="1" x14ac:dyDescent="0.25">
      <c r="A3353" s="3" t="s">
        <v>2841</v>
      </c>
      <c r="B3353" t="s">
        <v>2704</v>
      </c>
      <c r="C3353" t="s">
        <v>3347</v>
      </c>
      <c r="D3353" t="s">
        <v>26</v>
      </c>
      <c r="E3353" t="s">
        <v>31</v>
      </c>
      <c r="F3353">
        <v>1</v>
      </c>
      <c r="G3353" s="3" t="s">
        <v>32</v>
      </c>
      <c r="H3353" s="51" t="s">
        <v>15</v>
      </c>
      <c r="I3353" s="17">
        <v>622566.77</v>
      </c>
      <c r="J3353" s="17">
        <f>IF(Gastos[[#This Row],[Divisa]]="$", I3353*1, IF(Gastos[[#This Row],[Divisa]]="U$D", I3353*$N$1, IF(Gastos[[#This Row],[Divisa]]="EUR", I3353*$N$2, 0)))</f>
        <v>622566.77</v>
      </c>
      <c r="K3353" s="61">
        <f>Gastos[[#This Row],[Importe AR$]]/$N$1</f>
        <v>410.93516171617165</v>
      </c>
      <c r="M3353" s="76">
        <v>46199</v>
      </c>
      <c r="N3353" s="50">
        <f>IF(Gastos[[#This Row],[Fecha_Cheque]]&gt;0,WEEKNUM(Gastos[[#This Row],[Fecha_Cheque]]),MID(Gastos[[#This Row],[Semana]],6,2))</f>
        <v>26</v>
      </c>
      <c r="O3353" t="s">
        <v>3348</v>
      </c>
      <c r="P3353" t="s">
        <v>27</v>
      </c>
    </row>
    <row r="3354" spans="1:16" hidden="1" x14ac:dyDescent="0.25">
      <c r="A3354" s="3" t="s">
        <v>2841</v>
      </c>
      <c r="B3354" t="s">
        <v>2704</v>
      </c>
      <c r="C3354" t="s">
        <v>3347</v>
      </c>
      <c r="D3354" t="s">
        <v>26</v>
      </c>
      <c r="E3354" t="s">
        <v>31</v>
      </c>
      <c r="F3354">
        <v>1</v>
      </c>
      <c r="G3354" s="3" t="s">
        <v>32</v>
      </c>
      <c r="H3354" s="51" t="s">
        <v>15</v>
      </c>
      <c r="I3354" s="17">
        <v>622566.77</v>
      </c>
      <c r="J3354" s="17">
        <f>IF(Gastos[[#This Row],[Divisa]]="$", I3354*1, IF(Gastos[[#This Row],[Divisa]]="U$D", I3354*$N$1, IF(Gastos[[#This Row],[Divisa]]="EUR", I3354*$N$2, 0)))</f>
        <v>622566.77</v>
      </c>
      <c r="K3354" s="61">
        <f>Gastos[[#This Row],[Importe AR$]]/$N$1</f>
        <v>410.93516171617165</v>
      </c>
      <c r="M3354" s="76">
        <v>46205</v>
      </c>
      <c r="N3354" s="50">
        <f>IF(Gastos[[#This Row],[Fecha_Cheque]]&gt;0,WEEKNUM(Gastos[[#This Row],[Fecha_Cheque]]),MID(Gastos[[#This Row],[Semana]],6,2))</f>
        <v>27</v>
      </c>
      <c r="O3354" t="s">
        <v>3348</v>
      </c>
      <c r="P3354" t="s">
        <v>27</v>
      </c>
    </row>
    <row r="3355" spans="1:16" hidden="1" x14ac:dyDescent="0.25">
      <c r="A3355" s="3" t="s">
        <v>2841</v>
      </c>
      <c r="B3355" t="s">
        <v>2704</v>
      </c>
      <c r="C3355" t="s">
        <v>3347</v>
      </c>
      <c r="D3355" t="s">
        <v>26</v>
      </c>
      <c r="E3355" t="s">
        <v>31</v>
      </c>
      <c r="F3355">
        <v>1</v>
      </c>
      <c r="G3355" s="3" t="s">
        <v>32</v>
      </c>
      <c r="H3355" s="51" t="s">
        <v>15</v>
      </c>
      <c r="I3355" s="17">
        <v>16371.32</v>
      </c>
      <c r="J3355" s="17">
        <f>IF(Gastos[[#This Row],[Divisa]]="$", I3355*1, IF(Gastos[[#This Row],[Divisa]]="U$D", I3355*$N$1, IF(Gastos[[#This Row],[Divisa]]="EUR", I3355*$N$2, 0)))</f>
        <v>16371.32</v>
      </c>
      <c r="K3355" s="61">
        <f>Gastos[[#This Row],[Importe AR$]]/$N$1</f>
        <v>10.806151815181519</v>
      </c>
      <c r="L3355" t="s">
        <v>340</v>
      </c>
      <c r="M3355" s="76"/>
      <c r="N3355" s="50" t="str">
        <f>IF(Gastos[[#This Row],[Fecha_Cheque]]&gt;0,WEEKNUM(Gastos[[#This Row],[Fecha_Cheque]]),MID(Gastos[[#This Row],[Semana]],6,2))</f>
        <v>22</v>
      </c>
      <c r="O3355" t="s">
        <v>3348</v>
      </c>
      <c r="P3355" t="s">
        <v>27</v>
      </c>
    </row>
    <row r="3356" spans="1:16" hidden="1" x14ac:dyDescent="0.25">
      <c r="A3356" s="3" t="s">
        <v>3641</v>
      </c>
      <c r="B3356" t="s">
        <v>564</v>
      </c>
      <c r="C3356" t="s">
        <v>2976</v>
      </c>
      <c r="D3356" t="s">
        <v>26</v>
      </c>
      <c r="E3356" t="s">
        <v>31</v>
      </c>
      <c r="F3356">
        <v>1</v>
      </c>
      <c r="G3356" s="3" t="s">
        <v>32</v>
      </c>
      <c r="H3356" s="51" t="s">
        <v>15</v>
      </c>
      <c r="I3356" s="17">
        <v>1044920.8</v>
      </c>
      <c r="J3356" s="17">
        <f>IF(Gastos[[#This Row],[Divisa]]="$", I3356*1, IF(Gastos[[#This Row],[Divisa]]="U$D", I3356*$N$1, IF(Gastos[[#This Row],[Divisa]]="EUR", I3356*$N$2, 0)))</f>
        <v>1044920.8</v>
      </c>
      <c r="K3356" s="61">
        <f>Gastos[[#This Row],[Importe AR$]]/$N$1</f>
        <v>689.71669966996706</v>
      </c>
      <c r="M3356" s="76">
        <v>46233</v>
      </c>
      <c r="N3356" s="50">
        <f>IF(Gastos[[#This Row],[Fecha_Cheque]]&gt;0,WEEKNUM(Gastos[[#This Row],[Fecha_Cheque]]),MID(Gastos[[#This Row],[Semana]],6,2))</f>
        <v>31</v>
      </c>
      <c r="O3356" t="s">
        <v>3657</v>
      </c>
      <c r="P3356" t="s">
        <v>27</v>
      </c>
    </row>
    <row r="3357" spans="1:16" hidden="1" x14ac:dyDescent="0.25">
      <c r="A3357" s="3" t="s">
        <v>2841</v>
      </c>
      <c r="B3357" t="s">
        <v>2560</v>
      </c>
      <c r="C3357" t="s">
        <v>3349</v>
      </c>
      <c r="D3357" t="s">
        <v>26</v>
      </c>
      <c r="E3357" t="s">
        <v>31</v>
      </c>
      <c r="F3357">
        <v>1</v>
      </c>
      <c r="G3357" s="3" t="s">
        <v>32</v>
      </c>
      <c r="H3357" s="51" t="s">
        <v>15</v>
      </c>
      <c r="I3357" s="17">
        <v>568023.04000000004</v>
      </c>
      <c r="J3357" s="17">
        <f>IF(Gastos[[#This Row],[Divisa]]="$", I3357*1, IF(Gastos[[#This Row],[Divisa]]="U$D", I3357*$N$1, IF(Gastos[[#This Row],[Divisa]]="EUR", I3357*$N$2, 0)))</f>
        <v>568023.04000000004</v>
      </c>
      <c r="K3357" s="61">
        <f>Gastos[[#This Row],[Importe AR$]]/$N$1</f>
        <v>374.93269966996701</v>
      </c>
      <c r="M3357" s="76">
        <v>46200</v>
      </c>
      <c r="N3357" s="50">
        <f>IF(Gastos[[#This Row],[Fecha_Cheque]]&gt;0,WEEKNUM(Gastos[[#This Row],[Fecha_Cheque]]),MID(Gastos[[#This Row],[Semana]],6,2))</f>
        <v>26</v>
      </c>
      <c r="O3357" t="s">
        <v>3350</v>
      </c>
      <c r="P3357" t="s">
        <v>27</v>
      </c>
    </row>
    <row r="3358" spans="1:16" hidden="1" x14ac:dyDescent="0.25">
      <c r="A3358" s="3" t="s">
        <v>2841</v>
      </c>
      <c r="B3358" t="s">
        <v>2560</v>
      </c>
      <c r="C3358" t="s">
        <v>3349</v>
      </c>
      <c r="D3358" t="s">
        <v>26</v>
      </c>
      <c r="E3358" t="s">
        <v>31</v>
      </c>
      <c r="F3358">
        <v>1</v>
      </c>
      <c r="G3358" s="3" t="s">
        <v>32</v>
      </c>
      <c r="H3358" s="51" t="s">
        <v>15</v>
      </c>
      <c r="I3358" s="17">
        <v>568023.04000000004</v>
      </c>
      <c r="J3358" s="17">
        <f>IF(Gastos[[#This Row],[Divisa]]="$", I3358*1, IF(Gastos[[#This Row],[Divisa]]="U$D", I3358*$N$1, IF(Gastos[[#This Row],[Divisa]]="EUR", I3358*$N$2, 0)))</f>
        <v>568023.04000000004</v>
      </c>
      <c r="K3358" s="61">
        <f>Gastos[[#This Row],[Importe AR$]]/$N$1</f>
        <v>374.93269966996701</v>
      </c>
      <c r="M3358" s="76">
        <v>46205</v>
      </c>
      <c r="N3358" s="50">
        <f>IF(Gastos[[#This Row],[Fecha_Cheque]]&gt;0,WEEKNUM(Gastos[[#This Row],[Fecha_Cheque]]),MID(Gastos[[#This Row],[Semana]],6,2))</f>
        <v>27</v>
      </c>
      <c r="O3358" t="s">
        <v>3350</v>
      </c>
      <c r="P3358" t="s">
        <v>27</v>
      </c>
    </row>
    <row r="3359" spans="1:16" hidden="1" x14ac:dyDescent="0.25">
      <c r="A3359" s="3" t="s">
        <v>2841</v>
      </c>
      <c r="B3359" t="s">
        <v>2560</v>
      </c>
      <c r="C3359" t="s">
        <v>3349</v>
      </c>
      <c r="D3359" t="s">
        <v>26</v>
      </c>
      <c r="E3359" t="s">
        <v>31</v>
      </c>
      <c r="F3359">
        <v>1</v>
      </c>
      <c r="G3359" s="3" t="s">
        <v>32</v>
      </c>
      <c r="H3359" s="51" t="s">
        <v>15</v>
      </c>
      <c r="I3359" s="17">
        <v>14537.92</v>
      </c>
      <c r="J3359" s="17">
        <f>IF(Gastos[[#This Row],[Divisa]]="$", I3359*1, IF(Gastos[[#This Row],[Divisa]]="U$D", I3359*$N$1, IF(Gastos[[#This Row],[Divisa]]="EUR", I3359*$N$2, 0)))</f>
        <v>14537.92</v>
      </c>
      <c r="K3359" s="61">
        <f>Gastos[[#This Row],[Importe AR$]]/$N$1</f>
        <v>9.5959867986798688</v>
      </c>
      <c r="L3359" t="s">
        <v>340</v>
      </c>
      <c r="M3359" s="76"/>
      <c r="N3359" s="50" t="str">
        <f>IF(Gastos[[#This Row],[Fecha_Cheque]]&gt;0,WEEKNUM(Gastos[[#This Row],[Fecha_Cheque]]),MID(Gastos[[#This Row],[Semana]],6,2))</f>
        <v>22</v>
      </c>
      <c r="O3359" t="s">
        <v>3350</v>
      </c>
      <c r="P3359" t="s">
        <v>27</v>
      </c>
    </row>
    <row r="3360" spans="1:16" hidden="1" x14ac:dyDescent="0.25">
      <c r="A3360" s="3" t="s">
        <v>3440</v>
      </c>
      <c r="B3360" t="s">
        <v>3563</v>
      </c>
      <c r="C3360" t="s">
        <v>3564</v>
      </c>
      <c r="D3360" t="s">
        <v>26</v>
      </c>
      <c r="E3360" t="s">
        <v>31</v>
      </c>
      <c r="F3360">
        <v>1</v>
      </c>
      <c r="G3360" s="3" t="s">
        <v>5</v>
      </c>
      <c r="H3360" s="51" t="s">
        <v>15</v>
      </c>
      <c r="I3360" s="17">
        <v>1926998.81</v>
      </c>
      <c r="J3360" s="17">
        <f>IF(Gastos[[#This Row],[Divisa]]="$", I3360*1, IF(Gastos[[#This Row],[Divisa]]="U$D", I3360*$N$1, IF(Gastos[[#This Row],[Divisa]]="EUR", I3360*$N$2, 0)))</f>
        <v>1926998.81</v>
      </c>
      <c r="K3360" s="61">
        <f>Gastos[[#This Row],[Importe AR$]]/$N$1</f>
        <v>1271.9464092409241</v>
      </c>
      <c r="M3360" s="76"/>
      <c r="N3360" s="50" t="str">
        <f>IF(Gastos[[#This Row],[Fecha_Cheque]]&gt;0,WEEKNUM(Gastos[[#This Row],[Fecha_Cheque]]),MID(Gastos[[#This Row],[Semana]],6,2))</f>
        <v>25</v>
      </c>
      <c r="O3360" t="s">
        <v>3565</v>
      </c>
      <c r="P3360" t="s">
        <v>27</v>
      </c>
    </row>
    <row r="3361" spans="1:16" hidden="1" x14ac:dyDescent="0.25">
      <c r="A3361" s="3" t="s">
        <v>2841</v>
      </c>
      <c r="B3361" t="s">
        <v>2587</v>
      </c>
      <c r="C3361" t="s">
        <v>1948</v>
      </c>
      <c r="D3361" t="s">
        <v>26</v>
      </c>
      <c r="E3361" t="s">
        <v>42</v>
      </c>
      <c r="F3361">
        <v>1</v>
      </c>
      <c r="G3361" s="3" t="s">
        <v>4</v>
      </c>
      <c r="H3361" s="51" t="s">
        <v>15</v>
      </c>
      <c r="I3361" s="17">
        <v>58400</v>
      </c>
      <c r="J3361" s="17">
        <f>IF(Gastos[[#This Row],[Divisa]]="$", I3361*1, IF(Gastos[[#This Row],[Divisa]]="U$D", I3361*$N$1, IF(Gastos[[#This Row],[Divisa]]="EUR", I3361*$N$2, 0)))</f>
        <v>58400</v>
      </c>
      <c r="K3361" s="61">
        <f>Gastos[[#This Row],[Importe AR$]]/$N$1</f>
        <v>38.547854785478549</v>
      </c>
      <c r="M3361" s="76"/>
      <c r="N3361" s="50" t="str">
        <f>IF(Gastos[[#This Row],[Fecha_Cheque]]&gt;0,WEEKNUM(Gastos[[#This Row],[Fecha_Cheque]]),MID(Gastos[[#This Row],[Semana]],6,2))</f>
        <v>22</v>
      </c>
      <c r="O3361" t="s">
        <v>3352</v>
      </c>
      <c r="P3361" t="s">
        <v>27</v>
      </c>
    </row>
    <row r="3362" spans="1:16" hidden="1" x14ac:dyDescent="0.25">
      <c r="A3362" s="3" t="s">
        <v>2841</v>
      </c>
      <c r="B3362" t="s">
        <v>2587</v>
      </c>
      <c r="C3362" t="s">
        <v>1948</v>
      </c>
      <c r="D3362" t="s">
        <v>26</v>
      </c>
      <c r="E3362" t="s">
        <v>42</v>
      </c>
      <c r="F3362">
        <v>1</v>
      </c>
      <c r="G3362" s="3" t="s">
        <v>4</v>
      </c>
      <c r="H3362" s="51" t="s">
        <v>15</v>
      </c>
      <c r="I3362" s="17">
        <v>36700</v>
      </c>
      <c r="J3362" s="17">
        <f>IF(Gastos[[#This Row],[Divisa]]="$", I3362*1, IF(Gastos[[#This Row],[Divisa]]="U$D", I3362*$N$1, IF(Gastos[[#This Row],[Divisa]]="EUR", I3362*$N$2, 0)))</f>
        <v>36700</v>
      </c>
      <c r="K3362" s="61">
        <f>Gastos[[#This Row],[Importe AR$]]/$N$1</f>
        <v>24.224422442244226</v>
      </c>
      <c r="M3362" s="76"/>
      <c r="N3362" s="50" t="str">
        <f>IF(Gastos[[#This Row],[Fecha_Cheque]]&gt;0,WEEKNUM(Gastos[[#This Row],[Fecha_Cheque]]),MID(Gastos[[#This Row],[Semana]],6,2))</f>
        <v>22</v>
      </c>
      <c r="O3362" t="s">
        <v>3353</v>
      </c>
      <c r="P3362" t="s">
        <v>27</v>
      </c>
    </row>
    <row r="3363" spans="1:16" hidden="1" x14ac:dyDescent="0.25">
      <c r="A3363" s="3" t="s">
        <v>2841</v>
      </c>
      <c r="B3363" t="s">
        <v>3354</v>
      </c>
      <c r="C3363" t="s">
        <v>3355</v>
      </c>
      <c r="D3363" t="s">
        <v>26</v>
      </c>
      <c r="E3363" t="s">
        <v>31</v>
      </c>
      <c r="F3363">
        <v>1</v>
      </c>
      <c r="G3363" s="3" t="s">
        <v>32</v>
      </c>
      <c r="H3363" s="51" t="s">
        <v>15</v>
      </c>
      <c r="I3363" s="17">
        <v>2994685.84</v>
      </c>
      <c r="J3363" s="17">
        <f>IF(Gastos[[#This Row],[Divisa]]="$", I3363*1, IF(Gastos[[#This Row],[Divisa]]="U$D", I3363*$N$1, IF(Gastos[[#This Row],[Divisa]]="EUR", I3363*$N$2, 0)))</f>
        <v>2994685.84</v>
      </c>
      <c r="K3363" s="61">
        <f>Gastos[[#This Row],[Importe AR$]]/$N$1</f>
        <v>1976.6903234323431</v>
      </c>
      <c r="M3363" s="76">
        <v>46202</v>
      </c>
      <c r="N3363" s="50">
        <f>IF(Gastos[[#This Row],[Fecha_Cheque]]&gt;0,WEEKNUM(Gastos[[#This Row],[Fecha_Cheque]]),MID(Gastos[[#This Row],[Semana]],6,2))</f>
        <v>27</v>
      </c>
      <c r="O3363" t="s">
        <v>3356</v>
      </c>
      <c r="P3363" t="s">
        <v>27</v>
      </c>
    </row>
    <row r="3364" spans="1:16" hidden="1" x14ac:dyDescent="0.25">
      <c r="A3364" s="3" t="s">
        <v>2841</v>
      </c>
      <c r="B3364" t="s">
        <v>3354</v>
      </c>
      <c r="C3364" t="s">
        <v>3355</v>
      </c>
      <c r="D3364" t="s">
        <v>26</v>
      </c>
      <c r="E3364" t="s">
        <v>31</v>
      </c>
      <c r="F3364">
        <v>1</v>
      </c>
      <c r="G3364" s="3" t="s">
        <v>32</v>
      </c>
      <c r="H3364" s="51" t="s">
        <v>15</v>
      </c>
      <c r="I3364" s="17">
        <v>68714.16</v>
      </c>
      <c r="J3364" s="17">
        <f>IF(Gastos[[#This Row],[Divisa]]="$", I3364*1, IF(Gastos[[#This Row],[Divisa]]="U$D", I3364*$N$1, IF(Gastos[[#This Row],[Divisa]]="EUR", I3364*$N$2, 0)))</f>
        <v>68714.16</v>
      </c>
      <c r="K3364" s="61">
        <f>Gastos[[#This Row],[Importe AR$]]/$N$1</f>
        <v>45.355881188118815</v>
      </c>
      <c r="L3364" t="s">
        <v>340</v>
      </c>
      <c r="M3364" s="76"/>
      <c r="N3364" s="50" t="str">
        <f>IF(Gastos[[#This Row],[Fecha_Cheque]]&gt;0,WEEKNUM(Gastos[[#This Row],[Fecha_Cheque]]),MID(Gastos[[#This Row],[Semana]],6,2))</f>
        <v>22</v>
      </c>
      <c r="O3364" t="s">
        <v>3356</v>
      </c>
      <c r="P3364" t="s">
        <v>27</v>
      </c>
    </row>
    <row r="3365" spans="1:16" hidden="1" x14ac:dyDescent="0.25">
      <c r="A3365" s="3" t="s">
        <v>2726</v>
      </c>
      <c r="B3365" t="s">
        <v>3024</v>
      </c>
      <c r="C3365" t="s">
        <v>3357</v>
      </c>
      <c r="D3365" t="s">
        <v>26</v>
      </c>
      <c r="E3365" t="s">
        <v>42</v>
      </c>
      <c r="F3365">
        <v>1</v>
      </c>
      <c r="G3365" s="3" t="s">
        <v>4</v>
      </c>
      <c r="H3365" s="51" t="s">
        <v>15</v>
      </c>
      <c r="I3365" s="17">
        <v>14500.01</v>
      </c>
      <c r="J3365" s="17">
        <f>IF(Gastos[[#This Row],[Divisa]]="$", I3365*1, IF(Gastos[[#This Row],[Divisa]]="U$D", I3365*$N$1, IF(Gastos[[#This Row],[Divisa]]="EUR", I3365*$N$2, 0)))</f>
        <v>14500.01</v>
      </c>
      <c r="K3365" s="61">
        <f>Gastos[[#This Row],[Importe AR$]]/$N$1</f>
        <v>9.5709636963696365</v>
      </c>
      <c r="M3365" s="76"/>
      <c r="N3365" s="50" t="str">
        <f>IF(Gastos[[#This Row],[Fecha_Cheque]]&gt;0,WEEKNUM(Gastos[[#This Row],[Fecha_Cheque]]),MID(Gastos[[#This Row],[Semana]],6,2))</f>
        <v>24</v>
      </c>
      <c r="O3365" t="s">
        <v>3358</v>
      </c>
      <c r="P3365" t="s">
        <v>27</v>
      </c>
    </row>
    <row r="3366" spans="1:16" hidden="1" x14ac:dyDescent="0.25">
      <c r="A3366" s="3" t="s">
        <v>2726</v>
      </c>
      <c r="B3366" t="s">
        <v>3359</v>
      </c>
      <c r="C3366" t="s">
        <v>3360</v>
      </c>
      <c r="D3366" t="s">
        <v>26</v>
      </c>
      <c r="E3366" t="s">
        <v>31</v>
      </c>
      <c r="F3366">
        <v>1</v>
      </c>
      <c r="G3366" s="3" t="s">
        <v>32</v>
      </c>
      <c r="H3366" s="51" t="s">
        <v>15</v>
      </c>
      <c r="I3366" s="17">
        <v>4651640</v>
      </c>
      <c r="J3366" s="17">
        <f>IF(Gastos[[#This Row],[Divisa]]="$", I3366*1, IF(Gastos[[#This Row],[Divisa]]="U$D", I3366*$N$1, IF(Gastos[[#This Row],[Divisa]]="EUR", I3366*$N$2, 0)))</f>
        <v>4651640</v>
      </c>
      <c r="K3366" s="61">
        <f>Gastos[[#This Row],[Importe AR$]]/$N$1</f>
        <v>3070.3894389438942</v>
      </c>
      <c r="M3366" s="76">
        <v>46202</v>
      </c>
      <c r="N3366" s="50">
        <f>IF(Gastos[[#This Row],[Fecha_Cheque]]&gt;0,WEEKNUM(Gastos[[#This Row],[Fecha_Cheque]]),MID(Gastos[[#This Row],[Semana]],6,2))</f>
        <v>27</v>
      </c>
      <c r="O3366" t="s">
        <v>3361</v>
      </c>
      <c r="P3366" t="s">
        <v>27</v>
      </c>
    </row>
    <row r="3367" spans="1:16" hidden="1" x14ac:dyDescent="0.25">
      <c r="A3367" s="3" t="s">
        <v>2841</v>
      </c>
      <c r="B3367" t="s">
        <v>954</v>
      </c>
      <c r="C3367" t="s">
        <v>422</v>
      </c>
      <c r="D3367" t="s">
        <v>26</v>
      </c>
      <c r="E3367" t="s">
        <v>91</v>
      </c>
      <c r="F3367">
        <v>1</v>
      </c>
      <c r="G3367" s="3" t="s">
        <v>5</v>
      </c>
      <c r="H3367" s="51" t="s">
        <v>15</v>
      </c>
      <c r="I3367" s="17">
        <v>170000</v>
      </c>
      <c r="J3367" s="17">
        <f>IF(Gastos[[#This Row],[Divisa]]="$", I3367*1, IF(Gastos[[#This Row],[Divisa]]="U$D", I3367*$N$1, IF(Gastos[[#This Row],[Divisa]]="EUR", I3367*$N$2, 0)))</f>
        <v>170000</v>
      </c>
      <c r="K3367" s="61">
        <f>Gastos[[#This Row],[Importe AR$]]/$N$1</f>
        <v>112.21122112211221</v>
      </c>
      <c r="M3367" s="76"/>
      <c r="N3367" s="50" t="str">
        <f>IF(Gastos[[#This Row],[Fecha_Cheque]]&gt;0,WEEKNUM(Gastos[[#This Row],[Fecha_Cheque]]),MID(Gastos[[#This Row],[Semana]],6,2))</f>
        <v>22</v>
      </c>
      <c r="O3367" t="s">
        <v>3362</v>
      </c>
      <c r="P3367" t="s">
        <v>27</v>
      </c>
    </row>
    <row r="3368" spans="1:16" hidden="1" x14ac:dyDescent="0.25">
      <c r="A3368" s="3" t="s">
        <v>2841</v>
      </c>
      <c r="B3368" t="s">
        <v>1026</v>
      </c>
      <c r="C3368" t="s">
        <v>3363</v>
      </c>
      <c r="D3368" t="s">
        <v>26</v>
      </c>
      <c r="E3368" t="s">
        <v>31</v>
      </c>
      <c r="F3368">
        <v>1</v>
      </c>
      <c r="G3368" s="3" t="s">
        <v>32</v>
      </c>
      <c r="H3368" s="51" t="s">
        <v>15</v>
      </c>
      <c r="I3368" s="17">
        <v>444829.19</v>
      </c>
      <c r="J3368" s="17">
        <f>IF(Gastos[[#This Row],[Divisa]]="$", I3368*1, IF(Gastos[[#This Row],[Divisa]]="U$D", I3368*$N$1, IF(Gastos[[#This Row],[Divisa]]="EUR", I3368*$N$2, 0)))</f>
        <v>444829.19</v>
      </c>
      <c r="K3368" s="61">
        <f>Gastos[[#This Row],[Importe AR$]]/$N$1</f>
        <v>293.6166270627063</v>
      </c>
      <c r="M3368" s="76"/>
      <c r="N3368" s="50" t="str">
        <f>IF(Gastos[[#This Row],[Fecha_Cheque]]&gt;0,WEEKNUM(Gastos[[#This Row],[Fecha_Cheque]]),MID(Gastos[[#This Row],[Semana]],6,2))</f>
        <v>22</v>
      </c>
      <c r="O3368" t="s">
        <v>3364</v>
      </c>
      <c r="P3368" t="s">
        <v>27</v>
      </c>
    </row>
    <row r="3369" spans="1:16" hidden="1" x14ac:dyDescent="0.25">
      <c r="A3369" s="3" t="s">
        <v>2841</v>
      </c>
      <c r="B3369" t="s">
        <v>1026</v>
      </c>
      <c r="C3369" t="s">
        <v>3363</v>
      </c>
      <c r="D3369" t="s">
        <v>26</v>
      </c>
      <c r="E3369" t="s">
        <v>31</v>
      </c>
      <c r="F3369">
        <v>1</v>
      </c>
      <c r="G3369" s="3" t="s">
        <v>32</v>
      </c>
      <c r="H3369" s="51" t="s">
        <v>15</v>
      </c>
      <c r="I3369" s="17">
        <v>2920.83</v>
      </c>
      <c r="J3369" s="17">
        <f>IF(Gastos[[#This Row],[Divisa]]="$", I3369*1, IF(Gastos[[#This Row],[Divisa]]="U$D", I3369*$N$1, IF(Gastos[[#This Row],[Divisa]]="EUR", I3369*$N$2, 0)))</f>
        <v>2920.83</v>
      </c>
      <c r="K3369" s="61">
        <f>Gastos[[#This Row],[Importe AR$]]/$N$1</f>
        <v>1.9279405940594059</v>
      </c>
      <c r="L3369" t="s">
        <v>340</v>
      </c>
      <c r="M3369" s="76"/>
      <c r="N3369" s="50" t="str">
        <f>IF(Gastos[[#This Row],[Fecha_Cheque]]&gt;0,WEEKNUM(Gastos[[#This Row],[Fecha_Cheque]]),MID(Gastos[[#This Row],[Semana]],6,2))</f>
        <v>22</v>
      </c>
      <c r="O3369" t="s">
        <v>3364</v>
      </c>
      <c r="P3369" t="s">
        <v>27</v>
      </c>
    </row>
    <row r="3370" spans="1:16" hidden="1" x14ac:dyDescent="0.25">
      <c r="A3370" s="3" t="s">
        <v>2763</v>
      </c>
      <c r="B3370" t="s">
        <v>1807</v>
      </c>
      <c r="C3370" t="s">
        <v>2809</v>
      </c>
      <c r="D3370" t="s">
        <v>26</v>
      </c>
      <c r="E3370" t="s">
        <v>91</v>
      </c>
      <c r="F3370">
        <v>1</v>
      </c>
      <c r="G3370" s="3" t="s">
        <v>5</v>
      </c>
      <c r="H3370" s="51" t="s">
        <v>15</v>
      </c>
      <c r="I3370" s="17">
        <v>250000</v>
      </c>
      <c r="J3370" s="17">
        <f>IF(Gastos[[#This Row],[Divisa]]="$", I3370*1, IF(Gastos[[#This Row],[Divisa]]="U$D", I3370*$N$1, IF(Gastos[[#This Row],[Divisa]]="EUR", I3370*$N$2, 0)))</f>
        <v>250000</v>
      </c>
      <c r="K3370" s="61">
        <f>Gastos[[#This Row],[Importe AR$]]/$N$1</f>
        <v>165.01650165016503</v>
      </c>
      <c r="M3370" s="76"/>
      <c r="N3370" s="50" t="str">
        <f>IF(Gastos[[#This Row],[Fecha_Cheque]]&gt;0,WEEKNUM(Gastos[[#This Row],[Fecha_Cheque]]),MID(Gastos[[#This Row],[Semana]],6,2))</f>
        <v>23</v>
      </c>
      <c r="O3370" t="s">
        <v>3365</v>
      </c>
      <c r="P3370" t="s">
        <v>27</v>
      </c>
    </row>
    <row r="3371" spans="1:16" hidden="1" x14ac:dyDescent="0.25">
      <c r="A3371" s="3" t="s">
        <v>2763</v>
      </c>
      <c r="B3371" t="s">
        <v>1738</v>
      </c>
      <c r="C3371" t="s">
        <v>383</v>
      </c>
      <c r="D3371" t="s">
        <v>26</v>
      </c>
      <c r="E3371" t="s">
        <v>91</v>
      </c>
      <c r="F3371">
        <v>1</v>
      </c>
      <c r="G3371" s="3" t="s">
        <v>5</v>
      </c>
      <c r="H3371" s="51" t="s">
        <v>15</v>
      </c>
      <c r="I3371" s="17">
        <v>241200</v>
      </c>
      <c r="J3371" s="17">
        <f>IF(Gastos[[#This Row],[Divisa]]="$", I3371*1, IF(Gastos[[#This Row],[Divisa]]="U$D", I3371*$N$1, IF(Gastos[[#This Row],[Divisa]]="EUR", I3371*$N$2, 0)))</f>
        <v>241200</v>
      </c>
      <c r="K3371" s="61">
        <f>Gastos[[#This Row],[Importe AR$]]/$N$1</f>
        <v>159.20792079207922</v>
      </c>
      <c r="M3371" s="76"/>
      <c r="N3371" s="50" t="str">
        <f>IF(Gastos[[#This Row],[Fecha_Cheque]]&gt;0,WEEKNUM(Gastos[[#This Row],[Fecha_Cheque]]),MID(Gastos[[#This Row],[Semana]],6,2))</f>
        <v>23</v>
      </c>
      <c r="O3371" t="s">
        <v>3366</v>
      </c>
      <c r="P3371" t="s">
        <v>27</v>
      </c>
    </row>
    <row r="3372" spans="1:16" hidden="1" x14ac:dyDescent="0.25">
      <c r="A3372" s="3" t="s">
        <v>2763</v>
      </c>
      <c r="B3372" t="s">
        <v>1841</v>
      </c>
      <c r="C3372" t="s">
        <v>1842</v>
      </c>
      <c r="D3372" t="s">
        <v>26</v>
      </c>
      <c r="E3372" t="s">
        <v>42</v>
      </c>
      <c r="F3372">
        <v>2</v>
      </c>
      <c r="G3372" s="3" t="s">
        <v>4</v>
      </c>
      <c r="H3372" s="51" t="s">
        <v>15</v>
      </c>
      <c r="I3372" s="17">
        <v>200000</v>
      </c>
      <c r="J3372" s="17">
        <f>IF(Gastos[[#This Row],[Divisa]]="$", I3372*1, IF(Gastos[[#This Row],[Divisa]]="U$D", I3372*$N$1, IF(Gastos[[#This Row],[Divisa]]="EUR", I3372*$N$2, 0)))</f>
        <v>200000</v>
      </c>
      <c r="K3372" s="61">
        <f>Gastos[[#This Row],[Importe AR$]]/$N$1</f>
        <v>132.01320132013203</v>
      </c>
      <c r="M3372" s="76"/>
      <c r="N3372" s="50" t="str">
        <f>IF(Gastos[[#This Row],[Fecha_Cheque]]&gt;0,WEEKNUM(Gastos[[#This Row],[Fecha_Cheque]]),MID(Gastos[[#This Row],[Semana]],6,2))</f>
        <v>23</v>
      </c>
      <c r="O3372" t="s">
        <v>3367</v>
      </c>
      <c r="P3372" t="s">
        <v>27</v>
      </c>
    </row>
    <row r="3373" spans="1:16" hidden="1" x14ac:dyDescent="0.25">
      <c r="A3373" s="3" t="s">
        <v>2763</v>
      </c>
      <c r="B3373" t="s">
        <v>3368</v>
      </c>
      <c r="C3373" t="s">
        <v>3369</v>
      </c>
      <c r="D3373" t="s">
        <v>26</v>
      </c>
      <c r="E3373" t="s">
        <v>42</v>
      </c>
      <c r="F3373">
        <v>1</v>
      </c>
      <c r="G3373" s="3" t="s">
        <v>5</v>
      </c>
      <c r="H3373" s="51" t="s">
        <v>15</v>
      </c>
      <c r="I3373" s="17">
        <v>99000</v>
      </c>
      <c r="J3373" s="17">
        <f>IF(Gastos[[#This Row],[Divisa]]="$", I3373*1, IF(Gastos[[#This Row],[Divisa]]="U$D", I3373*$N$1, IF(Gastos[[#This Row],[Divisa]]="EUR", I3373*$N$2, 0)))</f>
        <v>99000</v>
      </c>
      <c r="K3373" s="61">
        <f>Gastos[[#This Row],[Importe AR$]]/$N$1</f>
        <v>65.346534653465341</v>
      </c>
      <c r="M3373" s="76"/>
      <c r="N3373" s="50" t="str">
        <f>IF(Gastos[[#This Row],[Fecha_Cheque]]&gt;0,WEEKNUM(Gastos[[#This Row],[Fecha_Cheque]]),MID(Gastos[[#This Row],[Semana]],6,2))</f>
        <v>23</v>
      </c>
      <c r="O3373" t="s">
        <v>3370</v>
      </c>
      <c r="P3373" t="s">
        <v>27</v>
      </c>
    </row>
    <row r="3374" spans="1:16" hidden="1" x14ac:dyDescent="0.25">
      <c r="A3374" s="3" t="s">
        <v>2726</v>
      </c>
      <c r="B3374" t="s">
        <v>3359</v>
      </c>
      <c r="C3374" t="s">
        <v>3360</v>
      </c>
      <c r="D3374" t="s">
        <v>26</v>
      </c>
      <c r="E3374" t="s">
        <v>31</v>
      </c>
      <c r="F3374">
        <v>1</v>
      </c>
      <c r="G3374" s="3" t="s">
        <v>32</v>
      </c>
      <c r="H3374" s="51" t="s">
        <v>15</v>
      </c>
      <c r="I3374" s="17">
        <v>90360</v>
      </c>
      <c r="J3374" s="17">
        <f>IF(Gastos[[#This Row],[Divisa]]="$", I3374*1, IF(Gastos[[#This Row],[Divisa]]="U$D", I3374*$N$1, IF(Gastos[[#This Row],[Divisa]]="EUR", I3374*$N$2, 0)))</f>
        <v>90360</v>
      </c>
      <c r="K3374" s="61">
        <f>Gastos[[#This Row],[Importe AR$]]/$N$1</f>
        <v>59.643564356435647</v>
      </c>
      <c r="M3374" s="76"/>
      <c r="N3374" s="50" t="s">
        <v>3371</v>
      </c>
      <c r="O3374" t="s">
        <v>3361</v>
      </c>
      <c r="P3374" t="s">
        <v>27</v>
      </c>
    </row>
    <row r="3375" spans="1:16" hidden="1" x14ac:dyDescent="0.25">
      <c r="A3375" s="3" t="s">
        <v>3440</v>
      </c>
      <c r="B3375" t="s">
        <v>3563</v>
      </c>
      <c r="C3375" t="s">
        <v>3564</v>
      </c>
      <c r="D3375" t="s">
        <v>26</v>
      </c>
      <c r="E3375" t="s">
        <v>31</v>
      </c>
      <c r="F3375">
        <v>1</v>
      </c>
      <c r="G3375" s="3" t="s">
        <v>5</v>
      </c>
      <c r="H3375" s="51" t="s">
        <v>15</v>
      </c>
      <c r="I3375" s="17">
        <v>1926998.81</v>
      </c>
      <c r="J3375" s="17">
        <f>IF(Gastos[[#This Row],[Divisa]]="$", I3375*1, IF(Gastos[[#This Row],[Divisa]]="U$D", I3375*$N$1, IF(Gastos[[#This Row],[Divisa]]="EUR", I3375*$N$2, 0)))</f>
        <v>1926998.81</v>
      </c>
      <c r="K3375" s="61">
        <f>Gastos[[#This Row],[Importe AR$]]/$N$1</f>
        <v>1271.9464092409241</v>
      </c>
      <c r="M3375" s="76"/>
      <c r="N3375" s="50" t="str">
        <f>IF(Gastos[[#This Row],[Fecha_Cheque]]&gt;0,WEEKNUM(Gastos[[#This Row],[Fecha_Cheque]]),MID(Gastos[[#This Row],[Semana]],6,2))</f>
        <v>25</v>
      </c>
      <c r="O3375" t="s">
        <v>3565</v>
      </c>
      <c r="P3375" t="s">
        <v>27</v>
      </c>
    </row>
    <row r="3376" spans="1:16" hidden="1" x14ac:dyDescent="0.25">
      <c r="A3376" s="3" t="s">
        <v>2763</v>
      </c>
      <c r="B3376" t="s">
        <v>1854</v>
      </c>
      <c r="C3376" t="s">
        <v>2667</v>
      </c>
      <c r="D3376" t="s">
        <v>26</v>
      </c>
      <c r="E3376" t="s">
        <v>42</v>
      </c>
      <c r="F3376">
        <v>2</v>
      </c>
      <c r="G3376" s="3" t="s">
        <v>4</v>
      </c>
      <c r="H3376" s="51" t="s">
        <v>15</v>
      </c>
      <c r="I3376" s="17">
        <v>700000</v>
      </c>
      <c r="J3376" s="17">
        <f>IF(Gastos[[#This Row],[Divisa]]="$", I3376*1, IF(Gastos[[#This Row],[Divisa]]="U$D", I3376*$N$1, IF(Gastos[[#This Row],[Divisa]]="EUR", I3376*$N$2, 0)))</f>
        <v>700000</v>
      </c>
      <c r="K3376" s="61">
        <f>Gastos[[#This Row],[Importe AR$]]/$N$1</f>
        <v>462.04620462046205</v>
      </c>
      <c r="M3376" s="76"/>
      <c r="N3376" s="50" t="str">
        <f>IF(Gastos[[#This Row],[Fecha_Cheque]]&gt;0,WEEKNUM(Gastos[[#This Row],[Fecha_Cheque]]),MID(Gastos[[#This Row],[Semana]],6,2))</f>
        <v>23</v>
      </c>
      <c r="O3376" t="s">
        <v>3372</v>
      </c>
      <c r="P3376" t="s">
        <v>27</v>
      </c>
    </row>
    <row r="3377" spans="1:16" hidden="1" x14ac:dyDescent="0.25">
      <c r="A3377" s="3" t="s">
        <v>2763</v>
      </c>
      <c r="B3377" t="s">
        <v>1854</v>
      </c>
      <c r="C3377" t="s">
        <v>2667</v>
      </c>
      <c r="D3377" t="s">
        <v>26</v>
      </c>
      <c r="E3377" t="s">
        <v>42</v>
      </c>
      <c r="F3377">
        <v>2</v>
      </c>
      <c r="G3377" s="3" t="s">
        <v>32</v>
      </c>
      <c r="H3377" s="51" t="s">
        <v>15</v>
      </c>
      <c r="I3377" s="17">
        <v>3638240</v>
      </c>
      <c r="J3377" s="17">
        <f>IF(Gastos[[#This Row],[Divisa]]="$", I3377*1, IF(Gastos[[#This Row],[Divisa]]="U$D", I3377*$N$1, IF(Gastos[[#This Row],[Divisa]]="EUR", I3377*$N$2, 0)))</f>
        <v>3638240</v>
      </c>
      <c r="K3377" s="61">
        <f>Gastos[[#This Row],[Importe AR$]]/$N$1</f>
        <v>2401.4785478547856</v>
      </c>
      <c r="M3377" s="76">
        <v>46187</v>
      </c>
      <c r="N3377" s="50">
        <f>IF(Gastos[[#This Row],[Fecha_Cheque]]&gt;0,WEEKNUM(Gastos[[#This Row],[Fecha_Cheque]]),MID(Gastos[[#This Row],[Semana]],6,2))</f>
        <v>25</v>
      </c>
      <c r="O3377" t="s">
        <v>3373</v>
      </c>
      <c r="P3377" t="s">
        <v>27</v>
      </c>
    </row>
    <row r="3378" spans="1:16" hidden="1" x14ac:dyDescent="0.25">
      <c r="A3378" s="3" t="s">
        <v>3440</v>
      </c>
      <c r="B3378" t="s">
        <v>3563</v>
      </c>
      <c r="C3378" t="s">
        <v>3564</v>
      </c>
      <c r="D3378" t="s">
        <v>26</v>
      </c>
      <c r="E3378" t="s">
        <v>31</v>
      </c>
      <c r="F3378">
        <v>1</v>
      </c>
      <c r="G3378" s="3" t="s">
        <v>5</v>
      </c>
      <c r="H3378" s="51" t="s">
        <v>15</v>
      </c>
      <c r="I3378" s="17">
        <v>74081.58</v>
      </c>
      <c r="J3378" s="17">
        <f>IF(Gastos[[#This Row],[Divisa]]="$", I3378*1, IF(Gastos[[#This Row],[Divisa]]="U$D", I3378*$N$1, IF(Gastos[[#This Row],[Divisa]]="EUR", I3378*$N$2, 0)))</f>
        <v>74081.58</v>
      </c>
      <c r="K3378" s="61">
        <f>Gastos[[#This Row],[Importe AR$]]/$N$1</f>
        <v>48.898732673267325</v>
      </c>
      <c r="L3378" t="s">
        <v>340</v>
      </c>
      <c r="M3378" s="76"/>
      <c r="N3378" s="50" t="str">
        <f>IF(Gastos[[#This Row],[Fecha_Cheque]]&gt;0,WEEKNUM(Gastos[[#This Row],[Fecha_Cheque]]),MID(Gastos[[#This Row],[Semana]],6,2))</f>
        <v>25</v>
      </c>
      <c r="O3378" t="s">
        <v>3565</v>
      </c>
      <c r="P3378" t="s">
        <v>27</v>
      </c>
    </row>
    <row r="3379" spans="1:16" hidden="1" x14ac:dyDescent="0.25">
      <c r="A3379" s="3" t="s">
        <v>3591</v>
      </c>
      <c r="B3379" t="s">
        <v>3602</v>
      </c>
      <c r="C3379" t="s">
        <v>1096</v>
      </c>
      <c r="D3379" t="s">
        <v>26</v>
      </c>
      <c r="E3379" t="s">
        <v>31</v>
      </c>
      <c r="F3379">
        <v>1</v>
      </c>
      <c r="G3379" s="3" t="s">
        <v>32</v>
      </c>
      <c r="H3379" s="51" t="s">
        <v>15</v>
      </c>
      <c r="I3379" s="17">
        <v>2584492.8199999998</v>
      </c>
      <c r="J3379" s="17">
        <f>IF(Gastos[[#This Row],[Divisa]]="$", I3379*1, IF(Gastos[[#This Row],[Divisa]]="U$D", I3379*$N$1, IF(Gastos[[#This Row],[Divisa]]="EUR", I3379*$N$2, 0)))</f>
        <v>2584492.8199999998</v>
      </c>
      <c r="K3379" s="61">
        <f>Gastos[[#This Row],[Importe AR$]]/$N$1</f>
        <v>1705.9358547854783</v>
      </c>
      <c r="M3379" s="76">
        <v>46222</v>
      </c>
      <c r="N3379" s="50">
        <f>IF(Gastos[[#This Row],[Fecha_Cheque]]&gt;0,WEEKNUM(Gastos[[#This Row],[Fecha_Cheque]]),MID(Gastos[[#This Row],[Semana]],6,2))</f>
        <v>30</v>
      </c>
      <c r="O3379" t="s">
        <v>3603</v>
      </c>
      <c r="P3379" t="s">
        <v>27</v>
      </c>
    </row>
    <row r="3380" spans="1:16" hidden="1" x14ac:dyDescent="0.25">
      <c r="A3380" s="3" t="s">
        <v>2763</v>
      </c>
      <c r="B3380" t="s">
        <v>3037</v>
      </c>
      <c r="C3380" t="s">
        <v>3376</v>
      </c>
      <c r="D3380" t="s">
        <v>26</v>
      </c>
      <c r="E3380" t="s">
        <v>42</v>
      </c>
      <c r="F3380">
        <v>1</v>
      </c>
      <c r="G3380" s="3" t="s">
        <v>4</v>
      </c>
      <c r="H3380" s="51" t="s">
        <v>15</v>
      </c>
      <c r="I3380" s="17">
        <v>30000</v>
      </c>
      <c r="J3380" s="17">
        <f>IF(Gastos[[#This Row],[Divisa]]="$", I3380*1, IF(Gastos[[#This Row],[Divisa]]="U$D", I3380*$N$1, IF(Gastos[[#This Row],[Divisa]]="EUR", I3380*$N$2, 0)))</f>
        <v>30000</v>
      </c>
      <c r="K3380" s="61">
        <f>Gastos[[#This Row],[Importe AR$]]/$N$1</f>
        <v>19.801980198019802</v>
      </c>
      <c r="M3380" s="76"/>
      <c r="N3380" s="50" t="str">
        <f>IF(Gastos[[#This Row],[Fecha_Cheque]]&gt;0,WEEKNUM(Gastos[[#This Row],[Fecha_Cheque]]),MID(Gastos[[#This Row],[Semana]],6,2))</f>
        <v>23</v>
      </c>
      <c r="O3380" t="s">
        <v>3377</v>
      </c>
      <c r="P3380" t="s">
        <v>27</v>
      </c>
    </row>
    <row r="3381" spans="1:16" hidden="1" x14ac:dyDescent="0.25">
      <c r="A3381" s="3" t="s">
        <v>3378</v>
      </c>
      <c r="B3381" t="s">
        <v>3326</v>
      </c>
      <c r="C3381" t="s">
        <v>1948</v>
      </c>
      <c r="D3381" t="s">
        <v>26</v>
      </c>
      <c r="E3381" t="s">
        <v>42</v>
      </c>
      <c r="F3381">
        <v>1</v>
      </c>
      <c r="G3381" s="3" t="s">
        <v>4</v>
      </c>
      <c r="H3381" s="51" t="s">
        <v>15</v>
      </c>
      <c r="I3381" s="17">
        <v>159041</v>
      </c>
      <c r="J3381" s="17">
        <f>IF(Gastos[[#This Row],[Divisa]]="$", I3381*1, IF(Gastos[[#This Row],[Divisa]]="U$D", I3381*$N$1, IF(Gastos[[#This Row],[Divisa]]="EUR", I3381*$N$2, 0)))</f>
        <v>159041</v>
      </c>
      <c r="K3381" s="61">
        <f>Gastos[[#This Row],[Importe AR$]]/$N$1</f>
        <v>104.97755775577558</v>
      </c>
      <c r="M3381" s="76"/>
      <c r="N3381" s="50" t="str">
        <f>IF(Gastos[[#This Row],[Fecha_Cheque]]&gt;0,WEEKNUM(Gastos[[#This Row],[Fecha_Cheque]]),MID(Gastos[[#This Row],[Semana]],6,2))</f>
        <v>24</v>
      </c>
      <c r="O3381" t="s">
        <v>3379</v>
      </c>
      <c r="P3381" t="s">
        <v>27</v>
      </c>
    </row>
    <row r="3382" spans="1:16" hidden="1" x14ac:dyDescent="0.25">
      <c r="A3382" s="3" t="s">
        <v>2726</v>
      </c>
      <c r="B3382" t="s">
        <v>3380</v>
      </c>
      <c r="C3382" t="s">
        <v>3381</v>
      </c>
      <c r="D3382" t="s">
        <v>26</v>
      </c>
      <c r="E3382" t="s">
        <v>31</v>
      </c>
      <c r="F3382">
        <v>1</v>
      </c>
      <c r="G3382" s="3" t="s">
        <v>32</v>
      </c>
      <c r="H3382" s="51" t="s">
        <v>15</v>
      </c>
      <c r="I3382" s="17">
        <v>465010</v>
      </c>
      <c r="J3382" s="17">
        <f>IF(Gastos[[#This Row],[Divisa]]="$", I3382*1, IF(Gastos[[#This Row],[Divisa]]="U$D", I3382*$N$1, IF(Gastos[[#This Row],[Divisa]]="EUR", I3382*$N$2, 0)))</f>
        <v>465010</v>
      </c>
      <c r="K3382" s="61">
        <f>Gastos[[#This Row],[Importe AR$]]/$N$1</f>
        <v>306.93729372937293</v>
      </c>
      <c r="M3382" s="76"/>
      <c r="N3382" s="50" t="str">
        <f>IF(Gastos[[#This Row],[Fecha_Cheque]]&gt;0,WEEKNUM(Gastos[[#This Row],[Fecha_Cheque]]),MID(Gastos[[#This Row],[Semana]],6,2))</f>
        <v>24</v>
      </c>
      <c r="O3382" t="s">
        <v>3382</v>
      </c>
      <c r="P3382" t="s">
        <v>27</v>
      </c>
    </row>
    <row r="3383" spans="1:16" hidden="1" x14ac:dyDescent="0.25">
      <c r="A3383" s="3" t="s">
        <v>2763</v>
      </c>
      <c r="B3383" t="s">
        <v>1914</v>
      </c>
      <c r="C3383" t="s">
        <v>1915</v>
      </c>
      <c r="D3383" t="s">
        <v>61</v>
      </c>
      <c r="E3383" t="s">
        <v>62</v>
      </c>
      <c r="F3383">
        <v>1</v>
      </c>
      <c r="G3383" s="3" t="s">
        <v>32</v>
      </c>
      <c r="H3383" s="51" t="s">
        <v>15</v>
      </c>
      <c r="I3383" s="17">
        <v>7052568.8300000001</v>
      </c>
      <c r="J3383" s="17">
        <f>IF(Gastos[[#This Row],[Divisa]]="$", I3383*1, IF(Gastos[[#This Row],[Divisa]]="U$D", I3383*$N$1, IF(Gastos[[#This Row],[Divisa]]="EUR", I3383*$N$2, 0)))</f>
        <v>7052568.8300000001</v>
      </c>
      <c r="K3383" s="61">
        <f>Gastos[[#This Row],[Importe AR$]]/$N$1</f>
        <v>4655.1609438943897</v>
      </c>
      <c r="M3383" s="76">
        <v>46216</v>
      </c>
      <c r="N3383" s="50">
        <f>IF(Gastos[[#This Row],[Fecha_Cheque]]&gt;0,WEEKNUM(Gastos[[#This Row],[Fecha_Cheque]]),MID(Gastos[[#This Row],[Semana]],6,2))</f>
        <v>29</v>
      </c>
      <c r="O3383" t="s">
        <v>3383</v>
      </c>
      <c r="P3383" t="s">
        <v>27</v>
      </c>
    </row>
    <row r="3384" spans="1:16" hidden="1" x14ac:dyDescent="0.25">
      <c r="A3384" s="3" t="s">
        <v>2763</v>
      </c>
      <c r="B3384" t="s">
        <v>1914</v>
      </c>
      <c r="C3384" t="s">
        <v>1915</v>
      </c>
      <c r="D3384" t="s">
        <v>61</v>
      </c>
      <c r="E3384" t="s">
        <v>62</v>
      </c>
      <c r="F3384">
        <v>1</v>
      </c>
      <c r="G3384" s="3" t="s">
        <v>32</v>
      </c>
      <c r="H3384" s="51" t="s">
        <v>15</v>
      </c>
      <c r="I3384" s="17">
        <v>7052568.8300000001</v>
      </c>
      <c r="J3384" s="17">
        <f>IF(Gastos[[#This Row],[Divisa]]="$", I3384*1, IF(Gastos[[#This Row],[Divisa]]="U$D", I3384*$N$1, IF(Gastos[[#This Row],[Divisa]]="EUR", I3384*$N$2, 0)))</f>
        <v>7052568.8300000001</v>
      </c>
      <c r="K3384" s="61">
        <f>Gastos[[#This Row],[Importe AR$]]/$N$1</f>
        <v>4655.1609438943897</v>
      </c>
      <c r="M3384" s="76">
        <v>46223</v>
      </c>
      <c r="N3384" s="50">
        <f>IF(Gastos[[#This Row],[Fecha_Cheque]]&gt;0,WEEKNUM(Gastos[[#This Row],[Fecha_Cheque]]),MID(Gastos[[#This Row],[Semana]],6,2))</f>
        <v>30</v>
      </c>
      <c r="O3384" t="s">
        <v>3383</v>
      </c>
      <c r="P3384" t="s">
        <v>27</v>
      </c>
    </row>
    <row r="3385" spans="1:16" hidden="1" x14ac:dyDescent="0.25">
      <c r="A3385" s="3" t="s">
        <v>2841</v>
      </c>
      <c r="B3385" t="s">
        <v>2355</v>
      </c>
      <c r="C3385" t="s">
        <v>2357</v>
      </c>
      <c r="D3385" t="s">
        <v>26</v>
      </c>
      <c r="E3385" t="s">
        <v>91</v>
      </c>
      <c r="F3385">
        <v>1</v>
      </c>
      <c r="G3385" s="3" t="s">
        <v>32</v>
      </c>
      <c r="H3385" s="51" t="s">
        <v>15</v>
      </c>
      <c r="I3385" s="17">
        <v>1072272</v>
      </c>
      <c r="J3385" s="17">
        <f>IF(Gastos[[#This Row],[Divisa]]="$", I3385*1, IF(Gastos[[#This Row],[Divisa]]="U$D", I3385*$N$1, IF(Gastos[[#This Row],[Divisa]]="EUR", I3385*$N$2, 0)))</f>
        <v>1072272</v>
      </c>
      <c r="K3385" s="61">
        <f>Gastos[[#This Row],[Importe AR$]]/$N$1</f>
        <v>707.77029702970299</v>
      </c>
      <c r="M3385" s="76"/>
      <c r="N3385" s="50" t="str">
        <f>IF(Gastos[[#This Row],[Fecha_Cheque]]&gt;0,WEEKNUM(Gastos[[#This Row],[Fecha_Cheque]]),MID(Gastos[[#This Row],[Semana]],6,2))</f>
        <v>22</v>
      </c>
      <c r="O3385" t="s">
        <v>3384</v>
      </c>
      <c r="P3385" t="s">
        <v>27</v>
      </c>
    </row>
    <row r="3386" spans="1:16" hidden="1" x14ac:dyDescent="0.25">
      <c r="A3386" s="3" t="s">
        <v>2841</v>
      </c>
      <c r="B3386" t="s">
        <v>2355</v>
      </c>
      <c r="C3386" t="s">
        <v>2357</v>
      </c>
      <c r="D3386" t="s">
        <v>26</v>
      </c>
      <c r="E3386" t="s">
        <v>91</v>
      </c>
      <c r="F3386">
        <v>1</v>
      </c>
      <c r="G3386" s="3" t="s">
        <v>32</v>
      </c>
      <c r="H3386" s="51" t="s">
        <v>15</v>
      </c>
      <c r="I3386" s="17">
        <v>16655.400000000001</v>
      </c>
      <c r="J3386" s="17">
        <f>IF(Gastos[[#This Row],[Divisa]]="$", I3386*1, IF(Gastos[[#This Row],[Divisa]]="U$D", I3386*$N$1, IF(Gastos[[#This Row],[Divisa]]="EUR", I3386*$N$2, 0)))</f>
        <v>16655.400000000001</v>
      </c>
      <c r="K3386" s="61">
        <f>Gastos[[#This Row],[Importe AR$]]/$N$1</f>
        <v>10.993663366336635</v>
      </c>
      <c r="L3386" t="s">
        <v>340</v>
      </c>
      <c r="M3386" s="76"/>
      <c r="N3386" s="50" t="str">
        <f>IF(Gastos[[#This Row],[Fecha_Cheque]]&gt;0,WEEKNUM(Gastos[[#This Row],[Fecha_Cheque]]),MID(Gastos[[#This Row],[Semana]],6,2))</f>
        <v>22</v>
      </c>
      <c r="O3386" t="s">
        <v>3384</v>
      </c>
      <c r="P3386" t="s">
        <v>27</v>
      </c>
    </row>
    <row r="3387" spans="1:16" hidden="1" x14ac:dyDescent="0.25">
      <c r="A3387" s="3" t="s">
        <v>2763</v>
      </c>
      <c r="B3387" t="s">
        <v>1914</v>
      </c>
      <c r="C3387" t="s">
        <v>1915</v>
      </c>
      <c r="D3387" t="s">
        <v>61</v>
      </c>
      <c r="E3387" t="s">
        <v>62</v>
      </c>
      <c r="F3387">
        <v>1</v>
      </c>
      <c r="G3387" s="3" t="s">
        <v>32</v>
      </c>
      <c r="H3387" s="51" t="s">
        <v>15</v>
      </c>
      <c r="I3387" s="17">
        <v>7052568.8300000001</v>
      </c>
      <c r="J3387" s="17">
        <f>IF(Gastos[[#This Row],[Divisa]]="$", I3387*1, IF(Gastos[[#This Row],[Divisa]]="U$D", I3387*$N$1, IF(Gastos[[#This Row],[Divisa]]="EUR", I3387*$N$2, 0)))</f>
        <v>7052568.8300000001</v>
      </c>
      <c r="K3387" s="61">
        <f>Gastos[[#This Row],[Importe AR$]]/$N$1</f>
        <v>4655.1609438943897</v>
      </c>
      <c r="M3387" s="76">
        <v>46232</v>
      </c>
      <c r="N3387" s="50">
        <f>IF(Gastos[[#This Row],[Fecha_Cheque]]&gt;0,WEEKNUM(Gastos[[#This Row],[Fecha_Cheque]]),MID(Gastos[[#This Row],[Semana]],6,2))</f>
        <v>31</v>
      </c>
      <c r="O3387" t="s">
        <v>3383</v>
      </c>
      <c r="P3387" t="s">
        <v>27</v>
      </c>
    </row>
    <row r="3388" spans="1:16" hidden="1" x14ac:dyDescent="0.25">
      <c r="A3388" s="3" t="s">
        <v>2763</v>
      </c>
      <c r="B3388" t="s">
        <v>1914</v>
      </c>
      <c r="C3388" t="s">
        <v>1915</v>
      </c>
      <c r="D3388" t="s">
        <v>61</v>
      </c>
      <c r="E3388" t="s">
        <v>62</v>
      </c>
      <c r="F3388">
        <v>1</v>
      </c>
      <c r="G3388" s="3" t="s">
        <v>32</v>
      </c>
      <c r="H3388" s="51" t="s">
        <v>15</v>
      </c>
      <c r="I3388" s="17">
        <v>7052568.8200000003</v>
      </c>
      <c r="J3388" s="17">
        <f>IF(Gastos[[#This Row],[Divisa]]="$", I3388*1, IF(Gastos[[#This Row],[Divisa]]="U$D", I3388*$N$1, IF(Gastos[[#This Row],[Divisa]]="EUR", I3388*$N$2, 0)))</f>
        <v>7052568.8200000003</v>
      </c>
      <c r="K3388" s="61">
        <f>Gastos[[#This Row],[Importe AR$]]/$N$1</f>
        <v>4655.1609372937291</v>
      </c>
      <c r="M3388" s="76">
        <v>46244</v>
      </c>
      <c r="N3388" s="50">
        <f>IF(Gastos[[#This Row],[Fecha_Cheque]]&gt;0,WEEKNUM(Gastos[[#This Row],[Fecha_Cheque]]),MID(Gastos[[#This Row],[Semana]],6,2))</f>
        <v>33</v>
      </c>
      <c r="O3388" t="s">
        <v>3383</v>
      </c>
      <c r="P3388" t="s">
        <v>27</v>
      </c>
    </row>
    <row r="3389" spans="1:16" hidden="1" x14ac:dyDescent="0.25">
      <c r="A3389" s="3" t="s">
        <v>2763</v>
      </c>
      <c r="B3389" t="s">
        <v>1914</v>
      </c>
      <c r="C3389" t="s">
        <v>1915</v>
      </c>
      <c r="D3389" t="s">
        <v>61</v>
      </c>
      <c r="E3389" t="s">
        <v>62</v>
      </c>
      <c r="F3389">
        <v>1</v>
      </c>
      <c r="G3389" s="3" t="s">
        <v>32</v>
      </c>
      <c r="H3389" s="51" t="s">
        <v>15</v>
      </c>
      <c r="I3389" s="17">
        <v>469566.98</v>
      </c>
      <c r="J3389" s="17">
        <f>IF(Gastos[[#This Row],[Divisa]]="$", I3389*1, IF(Gastos[[#This Row],[Divisa]]="U$D", I3389*$N$1, IF(Gastos[[#This Row],[Divisa]]="EUR", I3389*$N$2, 0)))</f>
        <v>469566.98</v>
      </c>
      <c r="K3389" s="61">
        <f>Gastos[[#This Row],[Importe AR$]]/$N$1</f>
        <v>309.94520132013201</v>
      </c>
      <c r="L3389" t="s">
        <v>340</v>
      </c>
      <c r="M3389" s="76"/>
      <c r="N3389" s="50" t="str">
        <f>IF(Gastos[[#This Row],[Fecha_Cheque]]&gt;0,WEEKNUM(Gastos[[#This Row],[Fecha_Cheque]]),MID(Gastos[[#This Row],[Semana]],6,2))</f>
        <v>23</v>
      </c>
      <c r="O3389" t="s">
        <v>3383</v>
      </c>
      <c r="P3389" t="s">
        <v>27</v>
      </c>
    </row>
    <row r="3390" spans="1:16" hidden="1" x14ac:dyDescent="0.25">
      <c r="A3390" s="3" t="s">
        <v>2763</v>
      </c>
      <c r="B3390" t="s">
        <v>3385</v>
      </c>
      <c r="C3390" t="s">
        <v>3281</v>
      </c>
      <c r="D3390" t="s">
        <v>26</v>
      </c>
      <c r="E3390" t="s">
        <v>42</v>
      </c>
      <c r="F3390">
        <v>1</v>
      </c>
      <c r="G3390" s="3" t="s">
        <v>4</v>
      </c>
      <c r="H3390" s="51" t="s">
        <v>15</v>
      </c>
      <c r="I3390" s="17">
        <v>13960</v>
      </c>
      <c r="J3390" s="17">
        <f>IF(Gastos[[#This Row],[Divisa]]="$", I3390*1, IF(Gastos[[#This Row],[Divisa]]="U$D", I3390*$N$1, IF(Gastos[[#This Row],[Divisa]]="EUR", I3390*$N$2, 0)))</f>
        <v>13960</v>
      </c>
      <c r="K3390" s="61">
        <f>Gastos[[#This Row],[Importe AR$]]/$N$1</f>
        <v>9.214521452145215</v>
      </c>
      <c r="M3390" s="76"/>
      <c r="N3390" s="50" t="str">
        <f>IF(Gastos[[#This Row],[Fecha_Cheque]]&gt;0,WEEKNUM(Gastos[[#This Row],[Fecha_Cheque]]),MID(Gastos[[#This Row],[Semana]],6,2))</f>
        <v>23</v>
      </c>
      <c r="O3390" t="s">
        <v>3194</v>
      </c>
      <c r="P3390" t="s">
        <v>27</v>
      </c>
    </row>
    <row r="3391" spans="1:16" hidden="1" x14ac:dyDescent="0.25">
      <c r="A3391" s="3" t="s">
        <v>2763</v>
      </c>
      <c r="B3391" t="s">
        <v>3385</v>
      </c>
      <c r="C3391" t="s">
        <v>3281</v>
      </c>
      <c r="D3391" t="s">
        <v>26</v>
      </c>
      <c r="E3391" t="s">
        <v>42</v>
      </c>
      <c r="F3391">
        <v>1</v>
      </c>
      <c r="G3391" s="3" t="s">
        <v>4</v>
      </c>
      <c r="H3391" s="51" t="s">
        <v>15</v>
      </c>
      <c r="I3391" s="17">
        <v>21940</v>
      </c>
      <c r="J3391" s="17">
        <f>IF(Gastos[[#This Row],[Divisa]]="$", I3391*1, IF(Gastos[[#This Row],[Divisa]]="U$D", I3391*$N$1, IF(Gastos[[#This Row],[Divisa]]="EUR", I3391*$N$2, 0)))</f>
        <v>21940</v>
      </c>
      <c r="K3391" s="61">
        <f>Gastos[[#This Row],[Importe AR$]]/$N$1</f>
        <v>14.481848184818482</v>
      </c>
      <c r="M3391" s="76"/>
      <c r="N3391" s="50" t="str">
        <f>IF(Gastos[[#This Row],[Fecha_Cheque]]&gt;0,WEEKNUM(Gastos[[#This Row],[Fecha_Cheque]]),MID(Gastos[[#This Row],[Semana]],6,2))</f>
        <v>23</v>
      </c>
      <c r="O3391" t="s">
        <v>3386</v>
      </c>
      <c r="P3391" t="s">
        <v>27</v>
      </c>
    </row>
    <row r="3392" spans="1:16" hidden="1" x14ac:dyDescent="0.25">
      <c r="A3392" s="3" t="s">
        <v>2726</v>
      </c>
      <c r="B3392" t="s">
        <v>3380</v>
      </c>
      <c r="C3392" t="s">
        <v>3381</v>
      </c>
      <c r="D3392" t="s">
        <v>26</v>
      </c>
      <c r="E3392" t="s">
        <v>31</v>
      </c>
      <c r="F3392">
        <v>1</v>
      </c>
      <c r="G3392" s="3" t="s">
        <v>32</v>
      </c>
      <c r="H3392" s="51" t="s">
        <v>15</v>
      </c>
      <c r="I3392" s="17">
        <v>3260</v>
      </c>
      <c r="J3392" s="17">
        <f>IF(Gastos[[#This Row],[Divisa]]="$", I3392*1, IF(Gastos[[#This Row],[Divisa]]="U$D", I3392*$N$1, IF(Gastos[[#This Row],[Divisa]]="EUR", I3392*$N$2, 0)))</f>
        <v>3260</v>
      </c>
      <c r="K3392" s="61">
        <f>Gastos[[#This Row],[Importe AR$]]/$N$1</f>
        <v>2.1518151815181517</v>
      </c>
      <c r="L3392" t="s">
        <v>340</v>
      </c>
      <c r="M3392" s="76"/>
      <c r="N3392" s="50" t="str">
        <f>IF(Gastos[[#This Row],[Fecha_Cheque]]&gt;0,WEEKNUM(Gastos[[#This Row],[Fecha_Cheque]]),MID(Gastos[[#This Row],[Semana]],6,2))</f>
        <v>24</v>
      </c>
      <c r="O3392" t="s">
        <v>3382</v>
      </c>
      <c r="P3392" t="s">
        <v>27</v>
      </c>
    </row>
    <row r="3393" spans="1:16" hidden="1" x14ac:dyDescent="0.25">
      <c r="A3393" s="3" t="s">
        <v>3591</v>
      </c>
      <c r="B3393" t="s">
        <v>3602</v>
      </c>
      <c r="C3393" t="s">
        <v>1096</v>
      </c>
      <c r="D3393" t="s">
        <v>26</v>
      </c>
      <c r="E3393" t="s">
        <v>31</v>
      </c>
      <c r="F3393">
        <v>1</v>
      </c>
      <c r="G3393" s="3" t="s">
        <v>32</v>
      </c>
      <c r="H3393" s="51" t="s">
        <v>15</v>
      </c>
      <c r="I3393" s="17">
        <v>38881.56</v>
      </c>
      <c r="J3393" s="17">
        <f>IF(Gastos[[#This Row],[Divisa]]="$", I3393*1, IF(Gastos[[#This Row],[Divisa]]="U$D", I3393*$N$1, IF(Gastos[[#This Row],[Divisa]]="EUR", I3393*$N$2, 0)))</f>
        <v>38881.56</v>
      </c>
      <c r="K3393" s="61">
        <f>Gastos[[#This Row],[Importe AR$]]/$N$1</f>
        <v>25.664396039603957</v>
      </c>
      <c r="L3393" t="s">
        <v>340</v>
      </c>
      <c r="M3393" s="76"/>
      <c r="N3393" s="50" t="str">
        <f>IF(Gastos[[#This Row],[Fecha_Cheque]]&gt;0,WEEKNUM(Gastos[[#This Row],[Fecha_Cheque]]),MID(Gastos[[#This Row],[Semana]],6,2))</f>
        <v>26</v>
      </c>
      <c r="O3393" t="s">
        <v>3603</v>
      </c>
      <c r="P3393" t="s">
        <v>27</v>
      </c>
    </row>
    <row r="3394" spans="1:16" hidden="1" x14ac:dyDescent="0.25">
      <c r="A3394" s="3" t="s">
        <v>2726</v>
      </c>
      <c r="B3394" t="s">
        <v>3387</v>
      </c>
      <c r="C3394" t="s">
        <v>3388</v>
      </c>
      <c r="D3394" t="s">
        <v>26</v>
      </c>
      <c r="E3394" t="s">
        <v>31</v>
      </c>
      <c r="F3394">
        <v>1</v>
      </c>
      <c r="G3394" s="3" t="s">
        <v>5</v>
      </c>
      <c r="H3394" s="51" t="s">
        <v>15</v>
      </c>
      <c r="I3394" s="17">
        <v>505803.3</v>
      </c>
      <c r="J3394" s="17">
        <f>IF(Gastos[[#This Row],[Divisa]]="$", I3394*1, IF(Gastos[[#This Row],[Divisa]]="U$D", I3394*$N$1, IF(Gastos[[#This Row],[Divisa]]="EUR", I3394*$N$2, 0)))</f>
        <v>505803.3</v>
      </c>
      <c r="K3394" s="61">
        <f>Gastos[[#This Row],[Importe AR$]]/$N$1</f>
        <v>333.86356435643563</v>
      </c>
      <c r="M3394" s="76"/>
      <c r="N3394" s="50" t="str">
        <f>IF(Gastos[[#This Row],[Fecha_Cheque]]&gt;0,WEEKNUM(Gastos[[#This Row],[Fecha_Cheque]]),MID(Gastos[[#This Row],[Semana]],6,2))</f>
        <v>24</v>
      </c>
      <c r="O3394" t="s">
        <v>3389</v>
      </c>
      <c r="P3394" t="s">
        <v>27</v>
      </c>
    </row>
    <row r="3395" spans="1:16" hidden="1" x14ac:dyDescent="0.25">
      <c r="A3395" s="3" t="s">
        <v>2763</v>
      </c>
      <c r="B3395" t="s">
        <v>3390</v>
      </c>
      <c r="C3395" t="s">
        <v>2838</v>
      </c>
      <c r="D3395" t="s">
        <v>26</v>
      </c>
      <c r="E3395" t="s">
        <v>91</v>
      </c>
      <c r="F3395">
        <v>1</v>
      </c>
      <c r="G3395" s="3" t="s">
        <v>5</v>
      </c>
      <c r="H3395" s="51" t="s">
        <v>15</v>
      </c>
      <c r="I3395" s="17">
        <v>463500</v>
      </c>
      <c r="J3395" s="17">
        <f>IF(Gastos[[#This Row],[Divisa]]="$", I3395*1, IF(Gastos[[#This Row],[Divisa]]="U$D", I3395*$N$1, IF(Gastos[[#This Row],[Divisa]]="EUR", I3395*$N$2, 0)))</f>
        <v>463500</v>
      </c>
      <c r="K3395" s="61">
        <f>Gastos[[#This Row],[Importe AR$]]/$N$1</f>
        <v>305.94059405940595</v>
      </c>
      <c r="M3395" s="76"/>
      <c r="N3395" s="50" t="str">
        <f>IF(Gastos[[#This Row],[Fecha_Cheque]]&gt;0,WEEKNUM(Gastos[[#This Row],[Fecha_Cheque]]),MID(Gastos[[#This Row],[Semana]],6,2))</f>
        <v>23</v>
      </c>
      <c r="O3395" t="s">
        <v>3391</v>
      </c>
      <c r="P3395" t="s">
        <v>27</v>
      </c>
    </row>
    <row r="3396" spans="1:16" hidden="1" x14ac:dyDescent="0.25">
      <c r="A3396" s="3" t="s">
        <v>2726</v>
      </c>
      <c r="B3396" t="s">
        <v>3387</v>
      </c>
      <c r="C3396" t="s">
        <v>3388</v>
      </c>
      <c r="D3396" t="s">
        <v>26</v>
      </c>
      <c r="E3396" t="s">
        <v>31</v>
      </c>
      <c r="F3396">
        <v>1</v>
      </c>
      <c r="G3396" s="3" t="s">
        <v>5</v>
      </c>
      <c r="H3396" s="51" t="s">
        <v>15</v>
      </c>
      <c r="I3396" s="17">
        <v>8951.7000000000007</v>
      </c>
      <c r="J3396" s="17">
        <f>IF(Gastos[[#This Row],[Divisa]]="$", I3396*1, IF(Gastos[[#This Row],[Divisa]]="U$D", I3396*$N$1, IF(Gastos[[#This Row],[Divisa]]="EUR", I3396*$N$2, 0)))</f>
        <v>8951.7000000000007</v>
      </c>
      <c r="K3396" s="61">
        <f>Gastos[[#This Row],[Importe AR$]]/$N$1</f>
        <v>5.9087128712871291</v>
      </c>
      <c r="L3396" t="s">
        <v>340</v>
      </c>
      <c r="M3396" s="76"/>
      <c r="N3396" s="50" t="str">
        <f>IF(Gastos[[#This Row],[Fecha_Cheque]]&gt;0,WEEKNUM(Gastos[[#This Row],[Fecha_Cheque]]),MID(Gastos[[#This Row],[Semana]],6,2))</f>
        <v>24</v>
      </c>
      <c r="O3396" t="s">
        <v>3389</v>
      </c>
      <c r="P3396" t="s">
        <v>27</v>
      </c>
    </row>
    <row r="3397" spans="1:16" hidden="1" x14ac:dyDescent="0.25">
      <c r="A3397" s="3" t="s">
        <v>2763</v>
      </c>
      <c r="B3397" t="s">
        <v>2134</v>
      </c>
      <c r="C3397" t="s">
        <v>3392</v>
      </c>
      <c r="D3397" t="s">
        <v>26</v>
      </c>
      <c r="E3397" t="s">
        <v>31</v>
      </c>
      <c r="F3397">
        <v>1</v>
      </c>
      <c r="G3397" s="3" t="s">
        <v>32</v>
      </c>
      <c r="H3397" s="51" t="s">
        <v>15</v>
      </c>
      <c r="I3397" s="17">
        <v>1522410.96</v>
      </c>
      <c r="J3397" s="17">
        <f>IF(Gastos[[#This Row],[Divisa]]="$", I3397*1, IF(Gastos[[#This Row],[Divisa]]="U$D", I3397*$N$1, IF(Gastos[[#This Row],[Divisa]]="EUR", I3397*$N$2, 0)))</f>
        <v>1522410.96</v>
      </c>
      <c r="K3397" s="61">
        <f>Gastos[[#This Row],[Importe AR$]]/$N$1</f>
        <v>1004.8917227722771</v>
      </c>
      <c r="M3397" s="76">
        <v>46205</v>
      </c>
      <c r="N3397" s="50">
        <f>IF(Gastos[[#This Row],[Fecha_Cheque]]&gt;0,WEEKNUM(Gastos[[#This Row],[Fecha_Cheque]]),MID(Gastos[[#This Row],[Semana]],6,2))</f>
        <v>27</v>
      </c>
      <c r="O3397" t="s">
        <v>3393</v>
      </c>
      <c r="P3397" t="s">
        <v>27</v>
      </c>
    </row>
    <row r="3398" spans="1:16" hidden="1" x14ac:dyDescent="0.25">
      <c r="A3398" s="3" t="s">
        <v>2763</v>
      </c>
      <c r="B3398" t="s">
        <v>2134</v>
      </c>
      <c r="C3398" t="s">
        <v>3392</v>
      </c>
      <c r="D3398" t="s">
        <v>26</v>
      </c>
      <c r="E3398" t="s">
        <v>31</v>
      </c>
      <c r="F3398">
        <v>1</v>
      </c>
      <c r="G3398" s="3" t="s">
        <v>32</v>
      </c>
      <c r="H3398" s="51" t="s">
        <v>15</v>
      </c>
      <c r="I3398" s="17">
        <v>21031.439999999999</v>
      </c>
      <c r="J3398" s="17">
        <f>IF(Gastos[[#This Row],[Divisa]]="$", I3398*1, IF(Gastos[[#This Row],[Divisa]]="U$D", I3398*$N$1, IF(Gastos[[#This Row],[Divisa]]="EUR", I3398*$N$2, 0)))</f>
        <v>21031.439999999999</v>
      </c>
      <c r="K3398" s="61">
        <f>Gastos[[#This Row],[Importe AR$]]/$N$1</f>
        <v>13.882138613861386</v>
      </c>
      <c r="L3398" t="s">
        <v>340</v>
      </c>
      <c r="M3398" s="76"/>
      <c r="N3398" s="50" t="str">
        <f>IF(Gastos[[#This Row],[Fecha_Cheque]]&gt;0,WEEKNUM(Gastos[[#This Row],[Fecha_Cheque]]),MID(Gastos[[#This Row],[Semana]],6,2))</f>
        <v>23</v>
      </c>
      <c r="O3398" t="s">
        <v>3393</v>
      </c>
      <c r="P3398" t="s">
        <v>27</v>
      </c>
    </row>
    <row r="3399" spans="1:16" hidden="1" x14ac:dyDescent="0.25">
      <c r="A3399" s="3" t="s">
        <v>2763</v>
      </c>
      <c r="B3399" t="s">
        <v>2144</v>
      </c>
      <c r="C3399" t="s">
        <v>3394</v>
      </c>
      <c r="D3399" t="s">
        <v>26</v>
      </c>
      <c r="E3399" t="s">
        <v>31</v>
      </c>
      <c r="F3399">
        <v>1</v>
      </c>
      <c r="G3399" s="3" t="s">
        <v>32</v>
      </c>
      <c r="H3399" s="51" t="s">
        <v>15</v>
      </c>
      <c r="I3399" s="17">
        <v>242242</v>
      </c>
      <c r="J3399" s="17">
        <f>IF(Gastos[[#This Row],[Divisa]]="$", I3399*1, IF(Gastos[[#This Row],[Divisa]]="U$D", I3399*$N$1, IF(Gastos[[#This Row],[Divisa]]="EUR", I3399*$N$2, 0)))</f>
        <v>242242</v>
      </c>
      <c r="K3399" s="61">
        <f>Gastos[[#This Row],[Importe AR$]]/$N$1</f>
        <v>159.89570957095711</v>
      </c>
      <c r="M3399" s="76">
        <v>46208</v>
      </c>
      <c r="N3399" s="50">
        <f>IF(Gastos[[#This Row],[Fecha_Cheque]]&gt;0,WEEKNUM(Gastos[[#This Row],[Fecha_Cheque]]),MID(Gastos[[#This Row],[Semana]],6,2))</f>
        <v>28</v>
      </c>
      <c r="O3399" t="s">
        <v>3395</v>
      </c>
      <c r="P3399" t="s">
        <v>27</v>
      </c>
    </row>
    <row r="3400" spans="1:16" hidden="1" x14ac:dyDescent="0.25">
      <c r="A3400" s="3" t="s">
        <v>2763</v>
      </c>
      <c r="B3400" t="s">
        <v>2153</v>
      </c>
      <c r="C3400" t="s">
        <v>155</v>
      </c>
      <c r="D3400" t="s">
        <v>26</v>
      </c>
      <c r="E3400" t="s">
        <v>42</v>
      </c>
      <c r="F3400">
        <v>1</v>
      </c>
      <c r="G3400" s="3" t="s">
        <v>4</v>
      </c>
      <c r="H3400" s="51" t="s">
        <v>15</v>
      </c>
      <c r="I3400" s="17">
        <v>198007</v>
      </c>
      <c r="J3400" s="17">
        <f>IF(Gastos[[#This Row],[Divisa]]="$", I3400*1, IF(Gastos[[#This Row],[Divisa]]="U$D", I3400*$N$1, IF(Gastos[[#This Row],[Divisa]]="EUR", I3400*$N$2, 0)))</f>
        <v>198007</v>
      </c>
      <c r="K3400" s="61">
        <f>Gastos[[#This Row],[Importe AR$]]/$N$1</f>
        <v>130.69768976897689</v>
      </c>
      <c r="M3400" s="76"/>
      <c r="N3400" s="50" t="str">
        <f>IF(Gastos[[#This Row],[Fecha_Cheque]]&gt;0,WEEKNUM(Gastos[[#This Row],[Fecha_Cheque]]),MID(Gastos[[#This Row],[Semana]],6,2))</f>
        <v>23</v>
      </c>
      <c r="O3400" t="s">
        <v>3396</v>
      </c>
      <c r="P3400" t="s">
        <v>27</v>
      </c>
    </row>
    <row r="3401" spans="1:16" hidden="1" x14ac:dyDescent="0.25">
      <c r="A3401" s="3" t="s">
        <v>2763</v>
      </c>
      <c r="B3401" t="s">
        <v>2153</v>
      </c>
      <c r="C3401" t="s">
        <v>3397</v>
      </c>
      <c r="D3401" t="s">
        <v>26</v>
      </c>
      <c r="E3401" t="s">
        <v>42</v>
      </c>
      <c r="F3401">
        <v>1</v>
      </c>
      <c r="G3401" s="3" t="s">
        <v>4</v>
      </c>
      <c r="H3401" s="51" t="s">
        <v>15</v>
      </c>
      <c r="I3401" s="17">
        <v>379982</v>
      </c>
      <c r="J3401" s="17">
        <f>IF(Gastos[[#This Row],[Divisa]]="$", I3401*1, IF(Gastos[[#This Row],[Divisa]]="U$D", I3401*$N$1, IF(Gastos[[#This Row],[Divisa]]="EUR", I3401*$N$2, 0)))</f>
        <v>379982</v>
      </c>
      <c r="K3401" s="61">
        <f>Gastos[[#This Row],[Importe AR$]]/$N$1</f>
        <v>250.81320132013201</v>
      </c>
      <c r="M3401" s="76"/>
      <c r="N3401" s="50" t="str">
        <f>IF(Gastos[[#This Row],[Fecha_Cheque]]&gt;0,WEEKNUM(Gastos[[#This Row],[Fecha_Cheque]]),MID(Gastos[[#This Row],[Semana]],6,2))</f>
        <v>23</v>
      </c>
      <c r="O3401" t="s">
        <v>3398</v>
      </c>
      <c r="P3401" t="s">
        <v>27</v>
      </c>
    </row>
    <row r="3402" spans="1:16" hidden="1" x14ac:dyDescent="0.25">
      <c r="A3402" s="3" t="s">
        <v>2726</v>
      </c>
      <c r="B3402" t="s">
        <v>1580</v>
      </c>
      <c r="C3402" t="s">
        <v>2640</v>
      </c>
      <c r="D3402" t="s">
        <v>26</v>
      </c>
      <c r="E3402" t="s">
        <v>42</v>
      </c>
      <c r="F3402">
        <v>2</v>
      </c>
      <c r="G3402" s="3" t="s">
        <v>4</v>
      </c>
      <c r="H3402" s="53" t="s">
        <v>15</v>
      </c>
      <c r="I3402" s="17">
        <v>800000</v>
      </c>
      <c r="J3402" s="17">
        <f>IF(Gastos[[#This Row],[Divisa]]="$", I3402*1, IF(Gastos[[#This Row],[Divisa]]="U$D", I3402*$N$1, IF(Gastos[[#This Row],[Divisa]]="EUR", I3402*$N$2, 0)))</f>
        <v>800000</v>
      </c>
      <c r="K3402" s="61">
        <f>Gastos[[#This Row],[Importe AR$]]/$N$1</f>
        <v>528.0528052805281</v>
      </c>
      <c r="M3402" s="76"/>
      <c r="N3402" s="50" t="str">
        <f>IF(Gastos[[#This Row],[Fecha_Cheque]]&gt;0,WEEKNUM(Gastos[[#This Row],[Fecha_Cheque]]),MID(Gastos[[#This Row],[Semana]],6,2))</f>
        <v>24</v>
      </c>
      <c r="O3402" t="s">
        <v>3399</v>
      </c>
      <c r="P3402" t="s">
        <v>27</v>
      </c>
    </row>
    <row r="3403" spans="1:16" hidden="1" x14ac:dyDescent="0.25">
      <c r="A3403" s="3" t="s">
        <v>3641</v>
      </c>
      <c r="B3403" t="s">
        <v>564</v>
      </c>
      <c r="C3403" t="s">
        <v>2976</v>
      </c>
      <c r="D3403" t="s">
        <v>26</v>
      </c>
      <c r="E3403" t="s">
        <v>31</v>
      </c>
      <c r="F3403">
        <v>1</v>
      </c>
      <c r="G3403" s="3" t="s">
        <v>32</v>
      </c>
      <c r="H3403" s="51" t="s">
        <v>15</v>
      </c>
      <c r="I3403" s="17">
        <v>13006.4</v>
      </c>
      <c r="J3403" s="17">
        <f>IF(Gastos[[#This Row],[Divisa]]="$", I3403*1, IF(Gastos[[#This Row],[Divisa]]="U$D", I3403*$N$1, IF(Gastos[[#This Row],[Divisa]]="EUR", I3403*$N$2, 0)))</f>
        <v>13006.4</v>
      </c>
      <c r="K3403" s="61">
        <f>Gastos[[#This Row],[Importe AR$]]/$N$1</f>
        <v>8.5850825082508244</v>
      </c>
      <c r="L3403" t="s">
        <v>340</v>
      </c>
      <c r="M3403" s="76"/>
      <c r="N3403" s="50" t="str">
        <f>IF(Gastos[[#This Row],[Fecha_Cheque]]&gt;0,WEEKNUM(Gastos[[#This Row],[Fecha_Cheque]]),MID(Gastos[[#This Row],[Semana]],6,2))</f>
        <v>27</v>
      </c>
      <c r="O3403" t="s">
        <v>3657</v>
      </c>
      <c r="P3403" t="s">
        <v>27</v>
      </c>
    </row>
    <row r="3404" spans="1:16" hidden="1" x14ac:dyDescent="0.25">
      <c r="A3404" s="3" t="s">
        <v>3718</v>
      </c>
      <c r="B3404" t="s">
        <v>434</v>
      </c>
      <c r="C3404" t="s">
        <v>91</v>
      </c>
      <c r="D3404" t="s">
        <v>26</v>
      </c>
      <c r="E3404" t="s">
        <v>91</v>
      </c>
      <c r="F3404">
        <v>1</v>
      </c>
      <c r="G3404" s="3" t="s">
        <v>32</v>
      </c>
      <c r="H3404" s="51" t="s">
        <v>15</v>
      </c>
      <c r="I3404" s="17">
        <v>982410</v>
      </c>
      <c r="J3404" s="17">
        <f>IF(Gastos[[#This Row],[Divisa]]="$", I3404*1, IF(Gastos[[#This Row],[Divisa]]="U$D", I3404*$N$1, IF(Gastos[[#This Row],[Divisa]]="EUR", I3404*$N$2, 0)))</f>
        <v>982410</v>
      </c>
      <c r="K3404" s="61">
        <f>Gastos[[#This Row],[Importe AR$]]/$N$1</f>
        <v>648.45544554455444</v>
      </c>
      <c r="M3404" s="76"/>
      <c r="N3404" s="50" t="str">
        <f>IF(Gastos[[#This Row],[Fecha_Cheque]]&gt;0,WEEKNUM(Gastos[[#This Row],[Fecha_Cheque]]),MID(Gastos[[#This Row],[Semana]],6,2))</f>
        <v>28</v>
      </c>
      <c r="O3404" t="s">
        <v>3744</v>
      </c>
      <c r="P3404" t="s">
        <v>27</v>
      </c>
    </row>
    <row r="3405" spans="1:16" hidden="1" x14ac:dyDescent="0.25">
      <c r="A3405" s="3" t="s">
        <v>3779</v>
      </c>
      <c r="B3405" t="s">
        <v>366</v>
      </c>
      <c r="C3405" t="s">
        <v>3806</v>
      </c>
      <c r="D3405" t="s">
        <v>26</v>
      </c>
      <c r="E3405" t="s">
        <v>42</v>
      </c>
      <c r="F3405">
        <v>1</v>
      </c>
      <c r="G3405" s="3" t="s">
        <v>4</v>
      </c>
      <c r="H3405" s="51" t="s">
        <v>15</v>
      </c>
      <c r="I3405" s="17">
        <v>80000</v>
      </c>
      <c r="J3405" s="17">
        <f>IF(Gastos[[#This Row],[Divisa]]="$", I3405*1, IF(Gastos[[#This Row],[Divisa]]="U$D", I3405*$N$1, IF(Gastos[[#This Row],[Divisa]]="EUR", I3405*$N$2, 0)))</f>
        <v>80000</v>
      </c>
      <c r="K3405" s="61">
        <f>Gastos[[#This Row],[Importe AR$]]/$N$1</f>
        <v>52.805280528052805</v>
      </c>
      <c r="M3405" s="76"/>
      <c r="N3405" s="50" t="str">
        <f>IF(Gastos[[#This Row],[Fecha_Cheque]]&gt;0,WEEKNUM(Gastos[[#This Row],[Fecha_Cheque]]),MID(Gastos[[#This Row],[Semana]],6,2))</f>
        <v>29</v>
      </c>
      <c r="O3405" t="s">
        <v>3807</v>
      </c>
      <c r="P3405" t="s">
        <v>27</v>
      </c>
    </row>
    <row r="3406" spans="1:16" hidden="1" x14ac:dyDescent="0.25">
      <c r="A3406" s="3" t="s">
        <v>3907</v>
      </c>
      <c r="B3406" t="s">
        <v>3916</v>
      </c>
      <c r="C3406" t="s">
        <v>3917</v>
      </c>
      <c r="D3406" t="s">
        <v>26</v>
      </c>
      <c r="E3406" t="s">
        <v>31</v>
      </c>
      <c r="F3406">
        <v>1</v>
      </c>
      <c r="G3406" s="3" t="s">
        <v>5</v>
      </c>
      <c r="H3406" s="51" t="s">
        <v>15</v>
      </c>
      <c r="I3406" s="17">
        <v>478310.42</v>
      </c>
      <c r="J3406" s="17">
        <f>IF(Gastos[[#This Row],[Divisa]]="$", I3406*1, IF(Gastos[[#This Row],[Divisa]]="U$D", I3406*$N$1, IF(Gastos[[#This Row],[Divisa]]="EUR", I3406*$N$2, 0)))</f>
        <v>478310.42</v>
      </c>
      <c r="K3406" s="61">
        <f>Gastos[[#This Row],[Importe AR$]]/$N$1</f>
        <v>315.7164488448845</v>
      </c>
      <c r="M3406" s="76"/>
      <c r="N3406" s="50" t="str">
        <f>IF(Gastos[[#This Row],[Fecha_Cheque]]&gt;0,WEEKNUM(Gastos[[#This Row],[Fecha_Cheque]]),MID(Gastos[[#This Row],[Semana]],6,2))</f>
        <v>31</v>
      </c>
      <c r="O3406" t="s">
        <v>3918</v>
      </c>
      <c r="P3406" t="s">
        <v>27</v>
      </c>
    </row>
    <row r="3407" spans="1:16" hidden="1" x14ac:dyDescent="0.25">
      <c r="A3407" s="3" t="s">
        <v>3907</v>
      </c>
      <c r="B3407" t="s">
        <v>3916</v>
      </c>
      <c r="C3407" t="s">
        <v>3917</v>
      </c>
      <c r="D3407" t="s">
        <v>26</v>
      </c>
      <c r="E3407" t="s">
        <v>31</v>
      </c>
      <c r="F3407">
        <v>1</v>
      </c>
      <c r="G3407" s="3" t="s">
        <v>5</v>
      </c>
      <c r="H3407" s="51" t="s">
        <v>15</v>
      </c>
      <c r="I3407" s="17">
        <v>5190.01</v>
      </c>
      <c r="J3407" s="17">
        <f>IF(Gastos[[#This Row],[Divisa]]="$", I3407*1, IF(Gastos[[#This Row],[Divisa]]="U$D", I3407*$N$1, IF(Gastos[[#This Row],[Divisa]]="EUR", I3407*$N$2, 0)))</f>
        <v>5190.01</v>
      </c>
      <c r="K3407" s="61">
        <f>Gastos[[#This Row],[Importe AR$]]/$N$1</f>
        <v>3.4257491749174918</v>
      </c>
      <c r="L3407" t="s">
        <v>340</v>
      </c>
      <c r="M3407" s="76"/>
      <c r="N3407" s="50" t="str">
        <f>IF(Gastos[[#This Row],[Fecha_Cheque]]&gt;0,WEEKNUM(Gastos[[#This Row],[Fecha_Cheque]]),MID(Gastos[[#This Row],[Semana]],6,2))</f>
        <v>31</v>
      </c>
      <c r="O3407" t="s">
        <v>3918</v>
      </c>
      <c r="P3407" t="s">
        <v>27</v>
      </c>
    </row>
    <row r="3408" spans="1:16" hidden="1" x14ac:dyDescent="0.25">
      <c r="A3408" s="3" t="s">
        <v>3718</v>
      </c>
      <c r="B3408" t="s">
        <v>568</v>
      </c>
      <c r="C3408" t="s">
        <v>569</v>
      </c>
      <c r="D3408" t="s">
        <v>26</v>
      </c>
      <c r="E3408" t="s">
        <v>62</v>
      </c>
      <c r="F3408">
        <v>1</v>
      </c>
      <c r="G3408" s="3" t="s">
        <v>32</v>
      </c>
      <c r="H3408" s="53" t="s">
        <v>15</v>
      </c>
      <c r="I3408" s="17">
        <v>5250000</v>
      </c>
      <c r="J3408" s="17">
        <f>IF(Gastos[[#This Row],[Divisa]]="$", I3408*1, IF(Gastos[[#This Row],[Divisa]]="U$D", I3408*$N$1, IF(Gastos[[#This Row],[Divisa]]="EUR", I3408*$N$2, 0)))</f>
        <v>5250000</v>
      </c>
      <c r="K3408" s="61">
        <f>Gastos[[#This Row],[Importe AR$]]/$N$1</f>
        <v>3465.3465346534654</v>
      </c>
      <c r="M3408" s="76">
        <v>46248</v>
      </c>
      <c r="N3408" s="50">
        <f>IF(Gastos[[#This Row],[Fecha_Cheque]]&gt;0,WEEKNUM(Gastos[[#This Row],[Fecha_Cheque]]),MID(Gastos[[#This Row],[Semana]],6,2))</f>
        <v>33</v>
      </c>
      <c r="O3408" t="s">
        <v>3735</v>
      </c>
      <c r="P3408" t="s">
        <v>27</v>
      </c>
    </row>
    <row r="3409" spans="1:16" hidden="1" x14ac:dyDescent="0.25">
      <c r="A3409" s="3" t="s">
        <v>3641</v>
      </c>
      <c r="B3409" t="s">
        <v>483</v>
      </c>
      <c r="C3409" t="s">
        <v>155</v>
      </c>
      <c r="D3409" t="s">
        <v>26</v>
      </c>
      <c r="E3409" t="s">
        <v>42</v>
      </c>
      <c r="F3409">
        <v>1</v>
      </c>
      <c r="G3409" s="3" t="s">
        <v>4</v>
      </c>
      <c r="H3409" s="53" t="s">
        <v>15</v>
      </c>
      <c r="I3409" s="17">
        <v>65006.15</v>
      </c>
      <c r="J3409" s="17">
        <f>IF(Gastos[[#This Row],[Divisa]]="$", I3409*1, IF(Gastos[[#This Row],[Divisa]]="U$D", I3409*$N$1, IF(Gastos[[#This Row],[Divisa]]="EUR", I3409*$N$2, 0)))</f>
        <v>65006.15</v>
      </c>
      <c r="K3409" s="61">
        <f>Gastos[[#This Row],[Importe AR$]]/$N$1</f>
        <v>42.908349834983497</v>
      </c>
      <c r="M3409" s="76"/>
      <c r="N3409" s="50" t="str">
        <f>IF(Gastos[[#This Row],[Fecha_Cheque]]&gt;0,WEEKNUM(Gastos[[#This Row],[Fecha_Cheque]]),MID(Gastos[[#This Row],[Semana]],6,2))</f>
        <v>27</v>
      </c>
      <c r="O3409" t="s">
        <v>3726</v>
      </c>
      <c r="P3409" t="s">
        <v>27</v>
      </c>
    </row>
    <row r="3410" spans="1:16" hidden="1" x14ac:dyDescent="0.25">
      <c r="A3410" s="3" t="s">
        <v>3641</v>
      </c>
      <c r="B3410" t="s">
        <v>483</v>
      </c>
      <c r="C3410" t="s">
        <v>155</v>
      </c>
      <c r="D3410" t="s">
        <v>26</v>
      </c>
      <c r="E3410" t="s">
        <v>42</v>
      </c>
      <c r="F3410">
        <v>1</v>
      </c>
      <c r="G3410" s="3" t="s">
        <v>4</v>
      </c>
      <c r="H3410" s="53" t="s">
        <v>15</v>
      </c>
      <c r="I3410" s="17">
        <v>49999.5</v>
      </c>
      <c r="J3410" s="17">
        <f>IF(Gastos[[#This Row],[Divisa]]="$", I3410*1, IF(Gastos[[#This Row],[Divisa]]="U$D", I3410*$N$1, IF(Gastos[[#This Row],[Divisa]]="EUR", I3410*$N$2, 0)))</f>
        <v>49999.5</v>
      </c>
      <c r="K3410" s="61">
        <f>Gastos[[#This Row],[Importe AR$]]/$N$1</f>
        <v>33.002970297029705</v>
      </c>
      <c r="M3410" s="76"/>
      <c r="N3410" s="50" t="str">
        <f>IF(Gastos[[#This Row],[Fecha_Cheque]]&gt;0,WEEKNUM(Gastos[[#This Row],[Fecha_Cheque]]),MID(Gastos[[#This Row],[Semana]],6,2))</f>
        <v>27</v>
      </c>
      <c r="O3410" t="s">
        <v>3726</v>
      </c>
      <c r="P3410" t="s">
        <v>27</v>
      </c>
    </row>
    <row r="3411" spans="1:16" hidden="1" x14ac:dyDescent="0.25">
      <c r="A3411" s="3" t="s">
        <v>3641</v>
      </c>
      <c r="B3411" t="s">
        <v>483</v>
      </c>
      <c r="C3411" t="s">
        <v>155</v>
      </c>
      <c r="D3411" t="s">
        <v>26</v>
      </c>
      <c r="E3411" t="s">
        <v>42</v>
      </c>
      <c r="F3411">
        <v>1</v>
      </c>
      <c r="G3411" s="3" t="s">
        <v>4</v>
      </c>
      <c r="H3411" s="53" t="s">
        <v>15</v>
      </c>
      <c r="I3411" s="17">
        <v>30000.19</v>
      </c>
      <c r="J3411" s="17">
        <f>IF(Gastos[[#This Row],[Divisa]]="$", I3411*1, IF(Gastos[[#This Row],[Divisa]]="U$D", I3411*$N$1, IF(Gastos[[#This Row],[Divisa]]="EUR", I3411*$N$2, 0)))</f>
        <v>30000.19</v>
      </c>
      <c r="K3411" s="61">
        <f>Gastos[[#This Row],[Importe AR$]]/$N$1</f>
        <v>19.802105610561057</v>
      </c>
      <c r="M3411" s="76"/>
      <c r="N3411" s="50" t="str">
        <f>IF(Gastos[[#This Row],[Fecha_Cheque]]&gt;0,WEEKNUM(Gastos[[#This Row],[Fecha_Cheque]]),MID(Gastos[[#This Row],[Semana]],6,2))</f>
        <v>27</v>
      </c>
      <c r="O3411" t="s">
        <v>3726</v>
      </c>
      <c r="P3411" t="s">
        <v>27</v>
      </c>
    </row>
    <row r="3412" spans="1:16" hidden="1" x14ac:dyDescent="0.25">
      <c r="A3412" s="3" t="s">
        <v>3641</v>
      </c>
      <c r="B3412" t="s">
        <v>483</v>
      </c>
      <c r="C3412" t="s">
        <v>155</v>
      </c>
      <c r="D3412" t="s">
        <v>26</v>
      </c>
      <c r="E3412" t="s">
        <v>42</v>
      </c>
      <c r="F3412">
        <v>1</v>
      </c>
      <c r="G3412" s="3" t="s">
        <v>4</v>
      </c>
      <c r="H3412" s="53" t="s">
        <v>15</v>
      </c>
      <c r="I3412" s="17">
        <v>40000.550000000003</v>
      </c>
      <c r="J3412" s="17">
        <f>IF(Gastos[[#This Row],[Divisa]]="$", I3412*1, IF(Gastos[[#This Row],[Divisa]]="U$D", I3412*$N$1, IF(Gastos[[#This Row],[Divisa]]="EUR", I3412*$N$2, 0)))</f>
        <v>40000.550000000003</v>
      </c>
      <c r="K3412" s="61">
        <f>Gastos[[#This Row],[Importe AR$]]/$N$1</f>
        <v>26.403003300330035</v>
      </c>
      <c r="M3412" s="76"/>
      <c r="N3412" s="50" t="str">
        <f>IF(Gastos[[#This Row],[Fecha_Cheque]]&gt;0,WEEKNUM(Gastos[[#This Row],[Fecha_Cheque]]),MID(Gastos[[#This Row],[Semana]],6,2))</f>
        <v>27</v>
      </c>
      <c r="O3412" t="s">
        <v>3726</v>
      </c>
      <c r="P3412" t="s">
        <v>27</v>
      </c>
    </row>
    <row r="3413" spans="1:16" hidden="1" x14ac:dyDescent="0.25">
      <c r="A3413" s="3" t="s">
        <v>3641</v>
      </c>
      <c r="B3413" t="s">
        <v>483</v>
      </c>
      <c r="C3413" t="s">
        <v>155</v>
      </c>
      <c r="D3413" t="s">
        <v>26</v>
      </c>
      <c r="E3413" t="s">
        <v>42</v>
      </c>
      <c r="F3413">
        <v>1</v>
      </c>
      <c r="G3413" s="3" t="s">
        <v>4</v>
      </c>
      <c r="H3413" s="53" t="s">
        <v>15</v>
      </c>
      <c r="I3413" s="17">
        <v>40000.99</v>
      </c>
      <c r="J3413" s="17">
        <f>IF(Gastos[[#This Row],[Divisa]]="$", I3413*1, IF(Gastos[[#This Row],[Divisa]]="U$D", I3413*$N$1, IF(Gastos[[#This Row],[Divisa]]="EUR", I3413*$N$2, 0)))</f>
        <v>40000.99</v>
      </c>
      <c r="K3413" s="61">
        <f>Gastos[[#This Row],[Importe AR$]]/$N$1</f>
        <v>26.403293729372937</v>
      </c>
      <c r="M3413" s="76"/>
      <c r="N3413" s="50" t="str">
        <f>IF(Gastos[[#This Row],[Fecha_Cheque]]&gt;0,WEEKNUM(Gastos[[#This Row],[Fecha_Cheque]]),MID(Gastos[[#This Row],[Semana]],6,2))</f>
        <v>27</v>
      </c>
      <c r="O3413" t="s">
        <v>3726</v>
      </c>
      <c r="P3413" t="s">
        <v>27</v>
      </c>
    </row>
    <row r="3414" spans="1:16" hidden="1" x14ac:dyDescent="0.25">
      <c r="A3414" s="3" t="s">
        <v>3641</v>
      </c>
      <c r="B3414" t="s">
        <v>483</v>
      </c>
      <c r="C3414" t="s">
        <v>155</v>
      </c>
      <c r="D3414" t="s">
        <v>26</v>
      </c>
      <c r="E3414" t="s">
        <v>42</v>
      </c>
      <c r="F3414">
        <v>1</v>
      </c>
      <c r="G3414" s="3" t="s">
        <v>4</v>
      </c>
      <c r="H3414" s="53" t="s">
        <v>15</v>
      </c>
      <c r="I3414" s="17">
        <v>49998.9</v>
      </c>
      <c r="J3414" s="17">
        <f>IF(Gastos[[#This Row],[Divisa]]="$", I3414*1, IF(Gastos[[#This Row],[Divisa]]="U$D", I3414*$N$1, IF(Gastos[[#This Row],[Divisa]]="EUR", I3414*$N$2, 0)))</f>
        <v>49998.9</v>
      </c>
      <c r="K3414" s="61">
        <f>Gastos[[#This Row],[Importe AR$]]/$N$1</f>
        <v>33.002574257425742</v>
      </c>
      <c r="M3414" s="76"/>
      <c r="N3414" s="50" t="str">
        <f>IF(Gastos[[#This Row],[Fecha_Cheque]]&gt;0,WEEKNUM(Gastos[[#This Row],[Fecha_Cheque]]),MID(Gastos[[#This Row],[Semana]],6,2))</f>
        <v>27</v>
      </c>
      <c r="O3414" t="s">
        <v>3726</v>
      </c>
      <c r="P3414" t="s">
        <v>27</v>
      </c>
    </row>
    <row r="3415" spans="1:16" hidden="1" x14ac:dyDescent="0.25">
      <c r="A3415" s="3" t="s">
        <v>3718</v>
      </c>
      <c r="B3415" t="s">
        <v>568</v>
      </c>
      <c r="C3415" t="s">
        <v>569</v>
      </c>
      <c r="D3415" t="s">
        <v>26</v>
      </c>
      <c r="E3415" t="s">
        <v>62</v>
      </c>
      <c r="F3415">
        <v>1</v>
      </c>
      <c r="G3415" s="3" t="s">
        <v>32</v>
      </c>
      <c r="H3415" s="53" t="s">
        <v>15</v>
      </c>
      <c r="I3415" s="17">
        <v>5250000</v>
      </c>
      <c r="J3415" s="17">
        <f>IF(Gastos[[#This Row],[Divisa]]="$", I3415*1, IF(Gastos[[#This Row],[Divisa]]="U$D", I3415*$N$1, IF(Gastos[[#This Row],[Divisa]]="EUR", I3415*$N$2, 0)))</f>
        <v>5250000</v>
      </c>
      <c r="K3415" s="61">
        <f>Gastos[[#This Row],[Importe AR$]]/$N$1</f>
        <v>3465.3465346534654</v>
      </c>
      <c r="M3415" s="76">
        <v>46255</v>
      </c>
      <c r="N3415" s="50">
        <f>IF(Gastos[[#This Row],[Fecha_Cheque]]&gt;0,WEEKNUM(Gastos[[#This Row],[Fecha_Cheque]]),MID(Gastos[[#This Row],[Semana]],6,2))</f>
        <v>34</v>
      </c>
      <c r="O3415" t="s">
        <v>3735</v>
      </c>
      <c r="P3415" t="s">
        <v>27</v>
      </c>
    </row>
    <row r="3416" spans="1:16" hidden="1" x14ac:dyDescent="0.25">
      <c r="A3416" s="3" t="s">
        <v>3641</v>
      </c>
      <c r="B3416" t="s">
        <v>483</v>
      </c>
      <c r="C3416" t="s">
        <v>3443</v>
      </c>
      <c r="D3416" t="s">
        <v>26</v>
      </c>
      <c r="E3416" t="s">
        <v>42</v>
      </c>
      <c r="F3416">
        <v>2</v>
      </c>
      <c r="G3416" s="3" t="s">
        <v>4</v>
      </c>
      <c r="H3416" s="51" t="s">
        <v>15</v>
      </c>
      <c r="I3416" s="17">
        <v>1000000</v>
      </c>
      <c r="J3416" s="17">
        <f>IF(Gastos[[#This Row],[Divisa]]="$", I3416*1, IF(Gastos[[#This Row],[Divisa]]="U$D", I3416*$N$1, IF(Gastos[[#This Row],[Divisa]]="EUR", I3416*$N$2, 0)))</f>
        <v>1000000</v>
      </c>
      <c r="K3416" s="61">
        <f>Gastos[[#This Row],[Importe AR$]]/$N$1</f>
        <v>660.0660066006601</v>
      </c>
      <c r="M3416" s="76"/>
      <c r="N3416" s="50" t="str">
        <f>IF(Gastos[[#This Row],[Fecha_Cheque]]&gt;0,WEEKNUM(Gastos[[#This Row],[Fecha_Cheque]]),MID(Gastos[[#This Row],[Semana]],6,2))</f>
        <v>27</v>
      </c>
      <c r="O3416" t="s">
        <v>3717</v>
      </c>
      <c r="P3416" t="s">
        <v>27</v>
      </c>
    </row>
    <row r="3417" spans="1:16" hidden="1" x14ac:dyDescent="0.25">
      <c r="A3417" s="3" t="s">
        <v>2763</v>
      </c>
      <c r="B3417" t="s">
        <v>2226</v>
      </c>
      <c r="C3417" t="s">
        <v>3402</v>
      </c>
      <c r="D3417" t="s">
        <v>26</v>
      </c>
      <c r="E3417" t="s">
        <v>42</v>
      </c>
      <c r="F3417">
        <v>2</v>
      </c>
      <c r="G3417" s="3" t="s">
        <v>4</v>
      </c>
      <c r="H3417" s="51" t="s">
        <v>15</v>
      </c>
      <c r="I3417" s="17">
        <f>95000*3</f>
        <v>285000</v>
      </c>
      <c r="J3417" s="17">
        <f>IF(Gastos[[#This Row],[Divisa]]="$", I3417*1, IF(Gastos[[#This Row],[Divisa]]="U$D", I3417*$N$1, IF(Gastos[[#This Row],[Divisa]]="EUR", I3417*$N$2, 0)))</f>
        <v>285000</v>
      </c>
      <c r="K3417" s="61">
        <f>Gastos[[#This Row],[Importe AR$]]/$N$1</f>
        <v>188.11881188118812</v>
      </c>
      <c r="M3417" s="76"/>
      <c r="N3417" s="50" t="str">
        <f>IF(Gastos[[#This Row],[Fecha_Cheque]]&gt;0,WEEKNUM(Gastos[[#This Row],[Fecha_Cheque]]),MID(Gastos[[#This Row],[Semana]],6,2))</f>
        <v>23</v>
      </c>
      <c r="O3417" t="s">
        <v>3403</v>
      </c>
      <c r="P3417" t="s">
        <v>27</v>
      </c>
    </row>
    <row r="3418" spans="1:16" hidden="1" x14ac:dyDescent="0.25">
      <c r="A3418" s="3" t="s">
        <v>2763</v>
      </c>
      <c r="B3418" t="s">
        <v>2288</v>
      </c>
      <c r="C3418" t="s">
        <v>2867</v>
      </c>
      <c r="D3418" t="s">
        <v>26</v>
      </c>
      <c r="E3418" t="s">
        <v>91</v>
      </c>
      <c r="F3418">
        <v>1</v>
      </c>
      <c r="G3418" s="3" t="s">
        <v>5</v>
      </c>
      <c r="H3418" s="51" t="s">
        <v>15</v>
      </c>
      <c r="I3418" s="17">
        <v>1890650</v>
      </c>
      <c r="J3418" s="17">
        <f>IF(Gastos[[#This Row],[Divisa]]="$", I3418*1, IF(Gastos[[#This Row],[Divisa]]="U$D", I3418*$N$1, IF(Gastos[[#This Row],[Divisa]]="EUR", I3418*$N$2, 0)))</f>
        <v>1890650</v>
      </c>
      <c r="K3418" s="61">
        <f>Gastos[[#This Row],[Importe AR$]]/$N$1</f>
        <v>1247.953795379538</v>
      </c>
      <c r="M3418" s="76"/>
      <c r="N3418" s="50" t="str">
        <f>IF(Gastos[[#This Row],[Fecha_Cheque]]&gt;0,WEEKNUM(Gastos[[#This Row],[Fecha_Cheque]]),MID(Gastos[[#This Row],[Semana]],6,2))</f>
        <v>23</v>
      </c>
      <c r="O3418" t="s">
        <v>3404</v>
      </c>
      <c r="P3418" t="s">
        <v>27</v>
      </c>
    </row>
    <row r="3419" spans="1:16" hidden="1" x14ac:dyDescent="0.25">
      <c r="A3419" s="3" t="s">
        <v>2763</v>
      </c>
      <c r="B3419" t="s">
        <v>3405</v>
      </c>
      <c r="C3419" t="s">
        <v>3281</v>
      </c>
      <c r="D3419" t="s">
        <v>26</v>
      </c>
      <c r="E3419" t="s">
        <v>42</v>
      </c>
      <c r="F3419">
        <v>1</v>
      </c>
      <c r="G3419" s="3" t="s">
        <v>4</v>
      </c>
      <c r="H3419" s="51" t="s">
        <v>15</v>
      </c>
      <c r="I3419" s="17">
        <v>9800</v>
      </c>
      <c r="J3419" s="17">
        <f>IF(Gastos[[#This Row],[Divisa]]="$", I3419*1, IF(Gastos[[#This Row],[Divisa]]="U$D", I3419*$N$1, IF(Gastos[[#This Row],[Divisa]]="EUR", I3419*$N$2, 0)))</f>
        <v>9800</v>
      </c>
      <c r="K3419" s="61">
        <f>Gastos[[#This Row],[Importe AR$]]/$N$1</f>
        <v>6.4686468646864688</v>
      </c>
      <c r="M3419" s="76"/>
      <c r="N3419" s="50" t="str">
        <f>IF(Gastos[[#This Row],[Fecha_Cheque]]&gt;0,WEEKNUM(Gastos[[#This Row],[Fecha_Cheque]]),MID(Gastos[[#This Row],[Semana]],6,2))</f>
        <v>23</v>
      </c>
      <c r="O3419" t="s">
        <v>3406</v>
      </c>
      <c r="P3419" t="s">
        <v>27</v>
      </c>
    </row>
    <row r="3420" spans="1:16" hidden="1" x14ac:dyDescent="0.25">
      <c r="A3420" s="3" t="s">
        <v>3718</v>
      </c>
      <c r="B3420" t="s">
        <v>568</v>
      </c>
      <c r="C3420" t="s">
        <v>569</v>
      </c>
      <c r="D3420" t="s">
        <v>26</v>
      </c>
      <c r="E3420" t="s">
        <v>62</v>
      </c>
      <c r="F3420">
        <v>1</v>
      </c>
      <c r="G3420" s="3" t="s">
        <v>32</v>
      </c>
      <c r="H3420" s="53" t="s">
        <v>15</v>
      </c>
      <c r="I3420" s="17">
        <v>5250000</v>
      </c>
      <c r="J3420" s="17">
        <f>IF(Gastos[[#This Row],[Divisa]]="$", I3420*1, IF(Gastos[[#This Row],[Divisa]]="U$D", I3420*$N$1, IF(Gastos[[#This Row],[Divisa]]="EUR", I3420*$N$2, 0)))</f>
        <v>5250000</v>
      </c>
      <c r="K3420" s="61">
        <f>Gastos[[#This Row],[Importe AR$]]/$N$1</f>
        <v>3465.3465346534654</v>
      </c>
      <c r="M3420" s="76">
        <v>46259</v>
      </c>
      <c r="N3420" s="50">
        <f>IF(Gastos[[#This Row],[Fecha_Cheque]]&gt;0,WEEKNUM(Gastos[[#This Row],[Fecha_Cheque]]),MID(Gastos[[#This Row],[Semana]],6,2))</f>
        <v>35</v>
      </c>
      <c r="O3420" t="s">
        <v>3735</v>
      </c>
      <c r="P3420" t="s">
        <v>27</v>
      </c>
    </row>
    <row r="3421" spans="1:16" hidden="1" x14ac:dyDescent="0.25">
      <c r="A3421" s="3" t="s">
        <v>2763</v>
      </c>
      <c r="B3421" t="s">
        <v>2305</v>
      </c>
      <c r="C3421" t="s">
        <v>2306</v>
      </c>
      <c r="D3421" t="s">
        <v>26</v>
      </c>
      <c r="E3421" t="s">
        <v>62</v>
      </c>
      <c r="F3421">
        <v>1</v>
      </c>
      <c r="G3421" s="3" t="s">
        <v>5</v>
      </c>
      <c r="H3421" s="53" t="s">
        <v>15</v>
      </c>
      <c r="I3421" s="17">
        <v>2002136.78</v>
      </c>
      <c r="J3421" s="17">
        <f>IF(Gastos[[#This Row],[Divisa]]="$", I3421*1, IF(Gastos[[#This Row],[Divisa]]="U$D", I3421*$N$1, IF(Gastos[[#This Row],[Divisa]]="EUR", I3421*$N$2, 0)))</f>
        <v>2002136.78</v>
      </c>
      <c r="K3421" s="61">
        <f>Gastos[[#This Row],[Importe AR$]]/$N$1</f>
        <v>1321.5424290429044</v>
      </c>
      <c r="M3421" s="76"/>
      <c r="N3421" s="50" t="str">
        <f>IF(Gastos[[#This Row],[Fecha_Cheque]]&gt;0,WEEKNUM(Gastos[[#This Row],[Fecha_Cheque]]),MID(Gastos[[#This Row],[Semana]],6,2))</f>
        <v>23</v>
      </c>
      <c r="O3421" t="s">
        <v>3409</v>
      </c>
      <c r="P3421" t="s">
        <v>27</v>
      </c>
    </row>
    <row r="3422" spans="1:16" hidden="1" x14ac:dyDescent="0.25">
      <c r="A3422" s="3" t="s">
        <v>2763</v>
      </c>
      <c r="B3422" t="s">
        <v>2305</v>
      </c>
      <c r="C3422" t="s">
        <v>2306</v>
      </c>
      <c r="D3422" t="s">
        <v>26</v>
      </c>
      <c r="E3422" t="s">
        <v>62</v>
      </c>
      <c r="F3422">
        <v>1</v>
      </c>
      <c r="G3422" s="3" t="s">
        <v>5</v>
      </c>
      <c r="H3422" s="53" t="s">
        <v>15</v>
      </c>
      <c r="I3422" s="17">
        <v>34147.589999999997</v>
      </c>
      <c r="J3422" s="17">
        <f>IF(Gastos[[#This Row],[Divisa]]="$", I3422*1, IF(Gastos[[#This Row],[Divisa]]="U$D", I3422*$N$1, IF(Gastos[[#This Row],[Divisa]]="EUR", I3422*$N$2, 0)))</f>
        <v>34147.589999999997</v>
      </c>
      <c r="K3422" s="61">
        <f>Gastos[[#This Row],[Importe AR$]]/$N$1</f>
        <v>22.539663366336633</v>
      </c>
      <c r="L3422" t="s">
        <v>340</v>
      </c>
      <c r="M3422" s="76"/>
      <c r="N3422" s="50" t="str">
        <f>IF(Gastos[[#This Row],[Fecha_Cheque]]&gt;0,WEEKNUM(Gastos[[#This Row],[Fecha_Cheque]]),MID(Gastos[[#This Row],[Semana]],6,2))</f>
        <v>23</v>
      </c>
      <c r="O3422" t="s">
        <v>3409</v>
      </c>
      <c r="P3422" t="s">
        <v>27</v>
      </c>
    </row>
    <row r="3423" spans="1:16" hidden="1" x14ac:dyDescent="0.25">
      <c r="A3423" s="3" t="s">
        <v>2763</v>
      </c>
      <c r="B3423" t="s">
        <v>2335</v>
      </c>
      <c r="C3423" t="s">
        <v>3410</v>
      </c>
      <c r="D3423" t="s">
        <v>26</v>
      </c>
      <c r="E3423" t="s">
        <v>91</v>
      </c>
      <c r="F3423">
        <v>1</v>
      </c>
      <c r="G3423" s="3" t="s">
        <v>5</v>
      </c>
      <c r="H3423" s="51" t="s">
        <v>15</v>
      </c>
      <c r="I3423" s="17">
        <v>80000</v>
      </c>
      <c r="J3423" s="17">
        <f>IF(Gastos[[#This Row],[Divisa]]="$", I3423*1, IF(Gastos[[#This Row],[Divisa]]="U$D", I3423*$N$1, IF(Gastos[[#This Row],[Divisa]]="EUR", I3423*$N$2, 0)))</f>
        <v>80000</v>
      </c>
      <c r="K3423" s="61">
        <f>Gastos[[#This Row],[Importe AR$]]/$N$1</f>
        <v>52.805280528052805</v>
      </c>
      <c r="M3423" s="76"/>
      <c r="N3423" s="50" t="str">
        <f>IF(Gastos[[#This Row],[Fecha_Cheque]]&gt;0,WEEKNUM(Gastos[[#This Row],[Fecha_Cheque]]),MID(Gastos[[#This Row],[Semana]],6,2))</f>
        <v>23</v>
      </c>
      <c r="O3423" t="s">
        <v>3411</v>
      </c>
      <c r="P3423" t="s">
        <v>27</v>
      </c>
    </row>
    <row r="3424" spans="1:16" hidden="1" x14ac:dyDescent="0.25">
      <c r="A3424" s="3" t="s">
        <v>2763</v>
      </c>
      <c r="B3424" t="s">
        <v>2335</v>
      </c>
      <c r="C3424" t="s">
        <v>3412</v>
      </c>
      <c r="D3424" t="s">
        <v>26</v>
      </c>
      <c r="E3424" t="s">
        <v>91</v>
      </c>
      <c r="F3424">
        <v>1</v>
      </c>
      <c r="G3424" s="3" t="s">
        <v>5</v>
      </c>
      <c r="H3424" s="51" t="s">
        <v>15</v>
      </c>
      <c r="I3424" s="17">
        <v>232459.1</v>
      </c>
      <c r="J3424" s="17">
        <f>IF(Gastos[[#This Row],[Divisa]]="$", I3424*1, IF(Gastos[[#This Row],[Divisa]]="U$D", I3424*$N$1, IF(Gastos[[#This Row],[Divisa]]="EUR", I3424*$N$2, 0)))</f>
        <v>232459.1</v>
      </c>
      <c r="K3424" s="61">
        <f>Gastos[[#This Row],[Importe AR$]]/$N$1</f>
        <v>153.43834983498351</v>
      </c>
      <c r="M3424" s="76"/>
      <c r="N3424" s="50" t="str">
        <f>IF(Gastos[[#This Row],[Fecha_Cheque]]&gt;0,WEEKNUM(Gastos[[#This Row],[Fecha_Cheque]]),MID(Gastos[[#This Row],[Semana]],6,2))</f>
        <v>23</v>
      </c>
      <c r="O3424" t="s">
        <v>3413</v>
      </c>
      <c r="P3424" t="s">
        <v>27</v>
      </c>
    </row>
    <row r="3425" spans="1:16" hidden="1" x14ac:dyDescent="0.25">
      <c r="A3425" s="3" t="s">
        <v>2763</v>
      </c>
      <c r="B3425" t="s">
        <v>2335</v>
      </c>
      <c r="C3425" t="s">
        <v>3412</v>
      </c>
      <c r="D3425" t="s">
        <v>26</v>
      </c>
      <c r="E3425" t="s">
        <v>91</v>
      </c>
      <c r="F3425">
        <v>1</v>
      </c>
      <c r="G3425" s="3" t="s">
        <v>5</v>
      </c>
      <c r="H3425" s="51" t="s">
        <v>15</v>
      </c>
      <c r="I3425" s="17">
        <v>2540.9</v>
      </c>
      <c r="J3425" s="17">
        <f>IF(Gastos[[#This Row],[Divisa]]="$", I3425*1, IF(Gastos[[#This Row],[Divisa]]="U$D", I3425*$N$1, IF(Gastos[[#This Row],[Divisa]]="EUR", I3425*$N$2, 0)))</f>
        <v>2540.9</v>
      </c>
      <c r="K3425" s="61">
        <f>Gastos[[#This Row],[Importe AR$]]/$N$1</f>
        <v>1.6771617161716172</v>
      </c>
      <c r="L3425" t="s">
        <v>340</v>
      </c>
      <c r="M3425" s="76"/>
      <c r="N3425" s="50" t="str">
        <f>IF(Gastos[[#This Row],[Fecha_Cheque]]&gt;0,WEEKNUM(Gastos[[#This Row],[Fecha_Cheque]]),MID(Gastos[[#This Row],[Semana]],6,2))</f>
        <v>23</v>
      </c>
      <c r="O3425" t="s">
        <v>3413</v>
      </c>
      <c r="P3425" t="s">
        <v>27</v>
      </c>
    </row>
    <row r="3426" spans="1:16" hidden="1" x14ac:dyDescent="0.25">
      <c r="A3426" s="3" t="s">
        <v>3440</v>
      </c>
      <c r="B3426" t="s">
        <v>2930</v>
      </c>
      <c r="C3426" t="s">
        <v>1948</v>
      </c>
      <c r="D3426" t="s">
        <v>26</v>
      </c>
      <c r="E3426" t="s">
        <v>42</v>
      </c>
      <c r="F3426">
        <v>1</v>
      </c>
      <c r="G3426" s="3" t="s">
        <v>4</v>
      </c>
      <c r="H3426" s="51" t="s">
        <v>15</v>
      </c>
      <c r="I3426" s="17">
        <v>9736.5</v>
      </c>
      <c r="J3426" s="17">
        <f>IF(Gastos[[#This Row],[Divisa]]="$", I3426*1, IF(Gastos[[#This Row],[Divisa]]="U$D", I3426*$N$1, IF(Gastos[[#This Row],[Divisa]]="EUR", I3426*$N$2, 0)))</f>
        <v>9736.5</v>
      </c>
      <c r="K3426" s="61">
        <f>Gastos[[#This Row],[Importe AR$]]/$N$1</f>
        <v>6.4267326732673267</v>
      </c>
      <c r="M3426" s="76"/>
      <c r="N3426" s="50" t="str">
        <f>IF(Gastos[[#This Row],[Fecha_Cheque]]&gt;0,WEEKNUM(Gastos[[#This Row],[Fecha_Cheque]]),MID(Gastos[[#This Row],[Semana]],6,2))</f>
        <v>25</v>
      </c>
      <c r="O3426" t="s">
        <v>3549</v>
      </c>
      <c r="P3426" t="s">
        <v>27</v>
      </c>
    </row>
    <row r="3427" spans="1:16" hidden="1" x14ac:dyDescent="0.25">
      <c r="A3427" s="3" t="s">
        <v>2726</v>
      </c>
      <c r="B3427" t="s">
        <v>3253</v>
      </c>
      <c r="C3427" t="s">
        <v>3414</v>
      </c>
      <c r="D3427" t="s">
        <v>26</v>
      </c>
      <c r="E3427" t="s">
        <v>31</v>
      </c>
      <c r="F3427">
        <v>1</v>
      </c>
      <c r="G3427" s="3" t="s">
        <v>32</v>
      </c>
      <c r="H3427" s="51" t="s">
        <v>15</v>
      </c>
      <c r="I3427" s="17">
        <v>425197.32</v>
      </c>
      <c r="J3427" s="17">
        <f>IF(Gastos[[#This Row],[Divisa]]="$", I3427*1, IF(Gastos[[#This Row],[Divisa]]="U$D", I3427*$N$1, IF(Gastos[[#This Row],[Divisa]]="EUR", I3427*$N$2, 0)))</f>
        <v>425197.32</v>
      </c>
      <c r="K3427" s="61">
        <f>Gastos[[#This Row],[Importe AR$]]/$N$1</f>
        <v>280.65829702970296</v>
      </c>
      <c r="M3427" s="76">
        <v>46215</v>
      </c>
      <c r="N3427" s="50">
        <f>IF(Gastos[[#This Row],[Fecha_Cheque]]&gt;0,WEEKNUM(Gastos[[#This Row],[Fecha_Cheque]]),MID(Gastos[[#This Row],[Semana]],6,2))</f>
        <v>29</v>
      </c>
      <c r="O3427" t="s">
        <v>3529</v>
      </c>
      <c r="P3427" t="s">
        <v>27</v>
      </c>
    </row>
    <row r="3428" spans="1:16" hidden="1" x14ac:dyDescent="0.25">
      <c r="A3428" s="3" t="s">
        <v>2726</v>
      </c>
      <c r="B3428" t="s">
        <v>3253</v>
      </c>
      <c r="C3428" t="s">
        <v>3414</v>
      </c>
      <c r="D3428" t="s">
        <v>26</v>
      </c>
      <c r="E3428" t="s">
        <v>31</v>
      </c>
      <c r="F3428">
        <v>1</v>
      </c>
      <c r="G3428" s="3" t="s">
        <v>32</v>
      </c>
      <c r="H3428" s="51" t="s">
        <v>15</v>
      </c>
      <c r="I3428" s="17">
        <v>2590.88</v>
      </c>
      <c r="J3428" s="17">
        <f>IF(Gastos[[#This Row],[Divisa]]="$", I3428*1, IF(Gastos[[#This Row],[Divisa]]="U$D", I3428*$N$1, IF(Gastos[[#This Row],[Divisa]]="EUR", I3428*$N$2, 0)))</f>
        <v>2590.88</v>
      </c>
      <c r="K3428" s="61">
        <f>Gastos[[#This Row],[Importe AR$]]/$N$1</f>
        <v>1.7101518151815183</v>
      </c>
      <c r="L3428" t="s">
        <v>340</v>
      </c>
      <c r="M3428" s="76"/>
      <c r="N3428" s="50" t="str">
        <f>IF(Gastos[[#This Row],[Fecha_Cheque]]&gt;0,WEEKNUM(Gastos[[#This Row],[Fecha_Cheque]]),MID(Gastos[[#This Row],[Semana]],6,2))</f>
        <v>24</v>
      </c>
      <c r="O3428" t="s">
        <v>3529</v>
      </c>
      <c r="P3428" t="s">
        <v>27</v>
      </c>
    </row>
    <row r="3429" spans="1:16" hidden="1" x14ac:dyDescent="0.25">
      <c r="A3429" s="3" t="s">
        <v>3718</v>
      </c>
      <c r="B3429" t="s">
        <v>568</v>
      </c>
      <c r="C3429" t="s">
        <v>569</v>
      </c>
      <c r="D3429" t="s">
        <v>26</v>
      </c>
      <c r="E3429" t="s">
        <v>62</v>
      </c>
      <c r="F3429">
        <v>1</v>
      </c>
      <c r="G3429" s="3" t="s">
        <v>32</v>
      </c>
      <c r="H3429" s="53" t="s">
        <v>15</v>
      </c>
      <c r="I3429" s="17">
        <v>6150654.04</v>
      </c>
      <c r="J3429" s="17">
        <f>IF(Gastos[[#This Row],[Divisa]]="$", I3429*1, IF(Gastos[[#This Row],[Divisa]]="U$D", I3429*$N$1, IF(Gastos[[#This Row],[Divisa]]="EUR", I3429*$N$2, 0)))</f>
        <v>6150654.04</v>
      </c>
      <c r="K3429" s="61">
        <f>Gastos[[#This Row],[Importe AR$]]/$N$1</f>
        <v>4059.8376501650164</v>
      </c>
      <c r="M3429" s="76">
        <v>46262</v>
      </c>
      <c r="N3429" s="50">
        <f>IF(Gastos[[#This Row],[Fecha_Cheque]]&gt;0,WEEKNUM(Gastos[[#This Row],[Fecha_Cheque]]),MID(Gastos[[#This Row],[Semana]],6,2))</f>
        <v>35</v>
      </c>
      <c r="O3429" t="s">
        <v>3735</v>
      </c>
      <c r="P3429" t="s">
        <v>27</v>
      </c>
    </row>
    <row r="3430" spans="1:16" hidden="1" x14ac:dyDescent="0.25">
      <c r="A3430" s="3" t="s">
        <v>2726</v>
      </c>
      <c r="B3430" t="s">
        <v>2940</v>
      </c>
      <c r="C3430" t="s">
        <v>693</v>
      </c>
      <c r="D3430" t="s">
        <v>26</v>
      </c>
      <c r="E3430" t="s">
        <v>42</v>
      </c>
      <c r="F3430">
        <v>2</v>
      </c>
      <c r="G3430" s="3" t="s">
        <v>4</v>
      </c>
      <c r="H3430" s="51" t="s">
        <v>15</v>
      </c>
      <c r="I3430" s="17">
        <v>542151.63</v>
      </c>
      <c r="J3430" s="17">
        <f>IF(Gastos[[#This Row],[Divisa]]="$", I3430*1, IF(Gastos[[#This Row],[Divisa]]="U$D", I3430*$N$1, IF(Gastos[[#This Row],[Divisa]]="EUR", I3430*$N$2, 0)))</f>
        <v>542151.63</v>
      </c>
      <c r="K3430" s="61">
        <f>Gastos[[#This Row],[Importe AR$]]/$N$1</f>
        <v>357.8558613861386</v>
      </c>
      <c r="M3430" s="76"/>
      <c r="N3430" s="50" t="str">
        <f>IF(Gastos[[#This Row],[Fecha_Cheque]]&gt;0,WEEKNUM(Gastos[[#This Row],[Fecha_Cheque]]),MID(Gastos[[#This Row],[Semana]],6,2))</f>
        <v>24</v>
      </c>
      <c r="O3430" t="s">
        <v>3415</v>
      </c>
      <c r="P3430" t="s">
        <v>27</v>
      </c>
    </row>
    <row r="3431" spans="1:16" hidden="1" x14ac:dyDescent="0.25">
      <c r="A3431" s="3" t="s">
        <v>3591</v>
      </c>
      <c r="B3431" t="s">
        <v>3297</v>
      </c>
      <c r="C3431" t="s">
        <v>3626</v>
      </c>
      <c r="D3431" t="s">
        <v>26</v>
      </c>
      <c r="E3431" t="s">
        <v>42</v>
      </c>
      <c r="F3431">
        <v>2</v>
      </c>
      <c r="G3431" s="3" t="s">
        <v>4</v>
      </c>
      <c r="H3431" s="51" t="s">
        <v>15</v>
      </c>
      <c r="I3431" s="17">
        <v>500000</v>
      </c>
      <c r="J3431" s="17">
        <f>IF(Gastos[[#This Row],[Divisa]]="$", I3431*1, IF(Gastos[[#This Row],[Divisa]]="U$D", I3431*$N$1, IF(Gastos[[#This Row],[Divisa]]="EUR", I3431*$N$2, 0)))</f>
        <v>500000</v>
      </c>
      <c r="K3431" s="61">
        <f>Gastos[[#This Row],[Importe AR$]]/$N$1</f>
        <v>330.03300330033005</v>
      </c>
      <c r="M3431" s="76"/>
      <c r="N3431" s="50" t="str">
        <f>IF(Gastos[[#This Row],[Fecha_Cheque]]&gt;0,WEEKNUM(Gastos[[#This Row],[Fecha_Cheque]]),MID(Gastos[[#This Row],[Semana]],6,2))</f>
        <v>26</v>
      </c>
      <c r="O3431" t="s">
        <v>3631</v>
      </c>
      <c r="P3431" t="s">
        <v>27</v>
      </c>
    </row>
    <row r="3432" spans="1:16" hidden="1" x14ac:dyDescent="0.25">
      <c r="A3432" s="3" t="s">
        <v>2763</v>
      </c>
      <c r="B3432" t="s">
        <v>3416</v>
      </c>
      <c r="C3432" t="s">
        <v>3290</v>
      </c>
      <c r="D3432" t="s">
        <v>26</v>
      </c>
      <c r="E3432" t="s">
        <v>31</v>
      </c>
      <c r="F3432">
        <v>1</v>
      </c>
      <c r="G3432" s="3" t="s">
        <v>32</v>
      </c>
      <c r="H3432" s="51" t="s">
        <v>15</v>
      </c>
      <c r="I3432" s="17">
        <v>1897959.91</v>
      </c>
      <c r="J3432" s="17">
        <f>IF(Gastos[[#This Row],[Divisa]]="$", I3432*1, IF(Gastos[[#This Row],[Divisa]]="U$D", I3432*$N$1, IF(Gastos[[#This Row],[Divisa]]="EUR", I3432*$N$2, 0)))</f>
        <v>1897959.91</v>
      </c>
      <c r="K3432" s="61">
        <f>Gastos[[#This Row],[Importe AR$]]/$N$1</f>
        <v>1252.778818481848</v>
      </c>
      <c r="M3432" s="76">
        <v>46213</v>
      </c>
      <c r="N3432" s="50">
        <f>IF(Gastos[[#This Row],[Fecha_Cheque]]&gt;0,WEEKNUM(Gastos[[#This Row],[Fecha_Cheque]]),MID(Gastos[[#This Row],[Semana]],6,2))</f>
        <v>28</v>
      </c>
      <c r="O3432" t="s">
        <v>3417</v>
      </c>
      <c r="P3432" t="s">
        <v>27</v>
      </c>
    </row>
    <row r="3433" spans="1:16" hidden="1" x14ac:dyDescent="0.25">
      <c r="A3433" s="3" t="s">
        <v>2763</v>
      </c>
      <c r="B3433" t="s">
        <v>3416</v>
      </c>
      <c r="C3433" t="s">
        <v>3290</v>
      </c>
      <c r="D3433" t="s">
        <v>26</v>
      </c>
      <c r="E3433" t="s">
        <v>31</v>
      </c>
      <c r="F3433">
        <v>1</v>
      </c>
      <c r="G3433" s="3" t="s">
        <v>32</v>
      </c>
      <c r="H3433" s="51" t="s">
        <v>15</v>
      </c>
      <c r="I3433" s="17">
        <v>1897959.9</v>
      </c>
      <c r="J3433" s="17">
        <f>IF(Gastos[[#This Row],[Divisa]]="$", I3433*1, IF(Gastos[[#This Row],[Divisa]]="U$D", I3433*$N$1, IF(Gastos[[#This Row],[Divisa]]="EUR", I3433*$N$2, 0)))</f>
        <v>1897959.9</v>
      </c>
      <c r="K3433" s="61">
        <f>Gastos[[#This Row],[Importe AR$]]/$N$1</f>
        <v>1252.7788118811879</v>
      </c>
      <c r="M3433" s="76">
        <v>46224</v>
      </c>
      <c r="N3433" s="50">
        <f>IF(Gastos[[#This Row],[Fecha_Cheque]]&gt;0,WEEKNUM(Gastos[[#This Row],[Fecha_Cheque]]),MID(Gastos[[#This Row],[Semana]],6,2))</f>
        <v>30</v>
      </c>
      <c r="O3433" t="s">
        <v>3417</v>
      </c>
      <c r="P3433" t="s">
        <v>27</v>
      </c>
    </row>
    <row r="3434" spans="1:16" hidden="1" x14ac:dyDescent="0.25">
      <c r="A3434" s="3" t="s">
        <v>2763</v>
      </c>
      <c r="B3434" t="s">
        <v>3416</v>
      </c>
      <c r="C3434" t="s">
        <v>3290</v>
      </c>
      <c r="D3434" t="s">
        <v>26</v>
      </c>
      <c r="E3434" t="s">
        <v>31</v>
      </c>
      <c r="F3434">
        <v>1</v>
      </c>
      <c r="G3434" s="3" t="s">
        <v>32</v>
      </c>
      <c r="H3434" s="51" t="s">
        <v>15</v>
      </c>
      <c r="I3434" s="17">
        <v>62430.94</v>
      </c>
      <c r="J3434" s="17">
        <f>IF(Gastos[[#This Row],[Divisa]]="$", I3434*1, IF(Gastos[[#This Row],[Divisa]]="U$D", I3434*$N$1, IF(Gastos[[#This Row],[Divisa]]="EUR", I3434*$N$2, 0)))</f>
        <v>62430.94</v>
      </c>
      <c r="K3434" s="61">
        <f>Gastos[[#This Row],[Importe AR$]]/$N$1</f>
        <v>41.208541254125414</v>
      </c>
      <c r="L3434" t="s">
        <v>340</v>
      </c>
      <c r="M3434" s="76"/>
      <c r="N3434" s="50" t="str">
        <f>IF(Gastos[[#This Row],[Fecha_Cheque]]&gt;0,WEEKNUM(Gastos[[#This Row],[Fecha_Cheque]]),MID(Gastos[[#This Row],[Semana]],6,2))</f>
        <v>23</v>
      </c>
      <c r="O3434" t="s">
        <v>3417</v>
      </c>
      <c r="P3434" t="s">
        <v>27</v>
      </c>
    </row>
    <row r="3435" spans="1:16" hidden="1" x14ac:dyDescent="0.25">
      <c r="A3435" s="3" t="s">
        <v>2726</v>
      </c>
      <c r="B3435" t="s">
        <v>1719</v>
      </c>
      <c r="C3435" t="s">
        <v>3418</v>
      </c>
      <c r="D3435" t="s">
        <v>26</v>
      </c>
      <c r="E3435" t="s">
        <v>31</v>
      </c>
      <c r="F3435">
        <v>1</v>
      </c>
      <c r="G3435" s="3" t="s">
        <v>32</v>
      </c>
      <c r="H3435" s="51" t="s">
        <v>15</v>
      </c>
      <c r="I3435" s="17">
        <v>586238.68999999994</v>
      </c>
      <c r="J3435" s="17">
        <f>IF(Gastos[[#This Row],[Divisa]]="$", I3435*1, IF(Gastos[[#This Row],[Divisa]]="U$D", I3435*$N$1, IF(Gastos[[#This Row],[Divisa]]="EUR", I3435*$N$2, 0)))</f>
        <v>586238.68999999994</v>
      </c>
      <c r="K3435" s="61">
        <f>Gastos[[#This Row],[Importe AR$]]/$N$1</f>
        <v>386.95623102310225</v>
      </c>
      <c r="M3435" s="76">
        <v>46212</v>
      </c>
      <c r="N3435" s="50">
        <f>IF(Gastos[[#This Row],[Fecha_Cheque]]&gt;0,WEEKNUM(Gastos[[#This Row],[Fecha_Cheque]]),MID(Gastos[[#This Row],[Semana]],6,2))</f>
        <v>28</v>
      </c>
      <c r="O3435" t="s">
        <v>3419</v>
      </c>
      <c r="P3435" t="s">
        <v>27</v>
      </c>
    </row>
    <row r="3436" spans="1:16" hidden="1" x14ac:dyDescent="0.25">
      <c r="A3436" s="3" t="s">
        <v>2726</v>
      </c>
      <c r="B3436" t="s">
        <v>1719</v>
      </c>
      <c r="C3436" t="s">
        <v>3418</v>
      </c>
      <c r="D3436" t="s">
        <v>26</v>
      </c>
      <c r="E3436" t="s">
        <v>31</v>
      </c>
      <c r="F3436">
        <v>1</v>
      </c>
      <c r="G3436" s="3" t="s">
        <v>32</v>
      </c>
      <c r="H3436" s="51" t="s">
        <v>15</v>
      </c>
      <c r="I3436" s="17">
        <v>7392.63</v>
      </c>
      <c r="J3436" s="17">
        <f>IF(Gastos[[#This Row],[Divisa]]="$", I3436*1, IF(Gastos[[#This Row],[Divisa]]="U$D", I3436*$N$1, IF(Gastos[[#This Row],[Divisa]]="EUR", I3436*$N$2, 0)))</f>
        <v>7392.63</v>
      </c>
      <c r="K3436" s="61">
        <f>Gastos[[#This Row],[Importe AR$]]/$N$1</f>
        <v>4.8796237623762373</v>
      </c>
      <c r="L3436" t="s">
        <v>340</v>
      </c>
      <c r="M3436" s="76"/>
      <c r="N3436" s="50" t="str">
        <f>IF(Gastos[[#This Row],[Fecha_Cheque]]&gt;0,WEEKNUM(Gastos[[#This Row],[Fecha_Cheque]]),MID(Gastos[[#This Row],[Semana]],6,2))</f>
        <v>24</v>
      </c>
      <c r="O3436" t="s">
        <v>3419</v>
      </c>
      <c r="P3436" t="s">
        <v>27</v>
      </c>
    </row>
    <row r="3437" spans="1:16" hidden="1" x14ac:dyDescent="0.25">
      <c r="A3437" s="3" t="s">
        <v>3641</v>
      </c>
      <c r="B3437" t="s">
        <v>623</v>
      </c>
      <c r="C3437" t="s">
        <v>3662</v>
      </c>
      <c r="D3437" t="s">
        <v>26</v>
      </c>
      <c r="E3437" t="s">
        <v>31</v>
      </c>
      <c r="F3437">
        <v>1</v>
      </c>
      <c r="G3437" s="3" t="s">
        <v>5</v>
      </c>
      <c r="H3437" s="51" t="s">
        <v>15</v>
      </c>
      <c r="I3437" s="17">
        <v>183600</v>
      </c>
      <c r="J3437" s="17">
        <f>IF(Gastos[[#This Row],[Divisa]]="$", I3437*1, IF(Gastos[[#This Row],[Divisa]]="U$D", I3437*$N$1, IF(Gastos[[#This Row],[Divisa]]="EUR", I3437*$N$2, 0)))</f>
        <v>183600</v>
      </c>
      <c r="K3437" s="61">
        <f>Gastos[[#This Row],[Importe AR$]]/$N$1</f>
        <v>121.18811881188118</v>
      </c>
      <c r="M3437" s="76"/>
      <c r="N3437" s="50" t="str">
        <f>IF(Gastos[[#This Row],[Fecha_Cheque]]&gt;0,WEEKNUM(Gastos[[#This Row],[Fecha_Cheque]]),MID(Gastos[[#This Row],[Semana]],6,2))</f>
        <v>27</v>
      </c>
      <c r="O3437" t="s">
        <v>3661</v>
      </c>
      <c r="P3437" t="s">
        <v>27</v>
      </c>
    </row>
    <row r="3438" spans="1:16" x14ac:dyDescent="0.25">
      <c r="A3438" s="3" t="s">
        <v>3990</v>
      </c>
      <c r="B3438" t="s">
        <v>266</v>
      </c>
      <c r="C3438" t="s">
        <v>3849</v>
      </c>
      <c r="D3438" t="s">
        <v>26</v>
      </c>
      <c r="E3438" t="s">
        <v>62</v>
      </c>
      <c r="F3438">
        <v>1</v>
      </c>
      <c r="G3438" s="3" t="s">
        <v>32</v>
      </c>
      <c r="H3438" s="51" t="s">
        <v>15</v>
      </c>
      <c r="I3438" s="17">
        <v>911706.48</v>
      </c>
      <c r="J3438" s="17">
        <f>IF(Gastos[[#This Row],[Divisa]]="$", I3438*1, IF(Gastos[[#This Row],[Divisa]]="U$D", I3438*$N$1, IF(Gastos[[#This Row],[Divisa]]="EUR", I3438*$N$2, 0)))</f>
        <v>911706.48</v>
      </c>
      <c r="K3438" s="61">
        <f>Gastos[[#This Row],[Importe AR$]]/$N$1</f>
        <v>601.78645544554456</v>
      </c>
      <c r="M3438" s="76">
        <v>46264</v>
      </c>
      <c r="N3438" s="50">
        <f>IF(Gastos[[#This Row],[Fecha_Cheque]]&gt;0,WEEKNUM(Gastos[[#This Row],[Fecha_Cheque]]),MID(Gastos[[#This Row],[Semana]],6,2))</f>
        <v>36</v>
      </c>
      <c r="O3438" t="s">
        <v>3992</v>
      </c>
      <c r="P3438" t="s">
        <v>3991</v>
      </c>
    </row>
    <row r="3439" spans="1:16" hidden="1" x14ac:dyDescent="0.25">
      <c r="A3439" s="3" t="s">
        <v>3842</v>
      </c>
      <c r="B3439" t="s">
        <v>3850</v>
      </c>
      <c r="C3439" t="s">
        <v>3851</v>
      </c>
      <c r="D3439" t="s">
        <v>26</v>
      </c>
      <c r="E3439" t="s">
        <v>42</v>
      </c>
      <c r="F3439">
        <v>2</v>
      </c>
      <c r="G3439" s="3" t="s">
        <v>4</v>
      </c>
      <c r="H3439" s="51" t="s">
        <v>15</v>
      </c>
      <c r="I3439" s="17">
        <v>500000</v>
      </c>
      <c r="J3439" s="17">
        <f>IF(Gastos[[#This Row],[Divisa]]="$", I3439*1, IF(Gastos[[#This Row],[Divisa]]="U$D", I3439*$N$1, IF(Gastos[[#This Row],[Divisa]]="EUR", I3439*$N$2, 0)))</f>
        <v>500000</v>
      </c>
      <c r="K3439" s="61">
        <f>Gastos[[#This Row],[Importe AR$]]/$N$1</f>
        <v>330.03300330033005</v>
      </c>
      <c r="L3439" t="s">
        <v>3853</v>
      </c>
      <c r="M3439" s="76"/>
      <c r="N3439" s="50" t="str">
        <f>IF(Gastos[[#This Row],[Fecha_Cheque]]&gt;0,WEEKNUM(Gastos[[#This Row],[Fecha_Cheque]]),MID(Gastos[[#This Row],[Semana]],6,2))</f>
        <v>30</v>
      </c>
      <c r="O3439" t="s">
        <v>3852</v>
      </c>
      <c r="P3439" t="s">
        <v>27</v>
      </c>
    </row>
    <row r="3440" spans="1:16" hidden="1" x14ac:dyDescent="0.25">
      <c r="A3440" s="3" t="s">
        <v>2763</v>
      </c>
      <c r="B3440" t="s">
        <v>2540</v>
      </c>
      <c r="C3440" t="s">
        <v>2541</v>
      </c>
      <c r="D3440" t="s">
        <v>26</v>
      </c>
      <c r="E3440" t="s">
        <v>62</v>
      </c>
      <c r="F3440">
        <v>1</v>
      </c>
      <c r="G3440" s="3" t="s">
        <v>32</v>
      </c>
      <c r="H3440" s="53" t="s">
        <v>15</v>
      </c>
      <c r="I3440" s="17">
        <v>1515338.75</v>
      </c>
      <c r="J3440" s="17">
        <f>IF(Gastos[[#This Row],[Divisa]]="$", I3440*1, IF(Gastos[[#This Row],[Divisa]]="U$D", I3440*$N$1, IF(Gastos[[#This Row],[Divisa]]="EUR", I3440*$N$2, 0)))</f>
        <v>1515338.75</v>
      </c>
      <c r="K3440" s="61">
        <f>Gastos[[#This Row],[Importe AR$]]/$N$1</f>
        <v>1000.223597359736</v>
      </c>
      <c r="M3440" s="76">
        <v>46203</v>
      </c>
      <c r="N3440" s="50">
        <f>IF(Gastos[[#This Row],[Fecha_Cheque]]&gt;0,WEEKNUM(Gastos[[#This Row],[Fecha_Cheque]]),MID(Gastos[[#This Row],[Semana]],6,2))</f>
        <v>27</v>
      </c>
      <c r="O3440" t="s">
        <v>3420</v>
      </c>
      <c r="P3440" t="s">
        <v>27</v>
      </c>
    </row>
    <row r="3441" spans="1:16" hidden="1" x14ac:dyDescent="0.25">
      <c r="A3441" s="3" t="s">
        <v>2763</v>
      </c>
      <c r="B3441" t="s">
        <v>2540</v>
      </c>
      <c r="C3441" t="s">
        <v>2541</v>
      </c>
      <c r="D3441" t="s">
        <v>26</v>
      </c>
      <c r="E3441" t="s">
        <v>62</v>
      </c>
      <c r="F3441">
        <v>1</v>
      </c>
      <c r="G3441" s="3" t="s">
        <v>32</v>
      </c>
      <c r="H3441" s="53" t="s">
        <v>15</v>
      </c>
      <c r="I3441" s="17">
        <v>20912.580000000002</v>
      </c>
      <c r="J3441" s="17">
        <f>IF(Gastos[[#This Row],[Divisa]]="$", I3441*1, IF(Gastos[[#This Row],[Divisa]]="U$D", I3441*$N$1, IF(Gastos[[#This Row],[Divisa]]="EUR", I3441*$N$2, 0)))</f>
        <v>20912.580000000002</v>
      </c>
      <c r="K3441" s="61">
        <f>Gastos[[#This Row],[Importe AR$]]/$N$1</f>
        <v>13.803683168316832</v>
      </c>
      <c r="L3441" t="s">
        <v>340</v>
      </c>
      <c r="M3441" s="76"/>
      <c r="N3441" s="50" t="str">
        <f>IF(Gastos[[#This Row],[Fecha_Cheque]]&gt;0,WEEKNUM(Gastos[[#This Row],[Fecha_Cheque]]),MID(Gastos[[#This Row],[Semana]],6,2))</f>
        <v>23</v>
      </c>
      <c r="O3441" t="s">
        <v>3420</v>
      </c>
      <c r="P3441" t="s">
        <v>27</v>
      </c>
    </row>
    <row r="3442" spans="1:16" hidden="1" x14ac:dyDescent="0.25">
      <c r="A3442" s="3" t="s">
        <v>2763</v>
      </c>
      <c r="B3442" t="s">
        <v>2540</v>
      </c>
      <c r="C3442" t="s">
        <v>2541</v>
      </c>
      <c r="D3442" t="s">
        <v>26</v>
      </c>
      <c r="E3442" t="s">
        <v>62</v>
      </c>
      <c r="F3442">
        <v>1</v>
      </c>
      <c r="G3442" s="3" t="s">
        <v>32</v>
      </c>
      <c r="H3442" s="53" t="s">
        <v>15</v>
      </c>
      <c r="I3442" s="17">
        <v>1223150</v>
      </c>
      <c r="J3442" s="17">
        <f>IF(Gastos[[#This Row],[Divisa]]="$", I3442*1, IF(Gastos[[#This Row],[Divisa]]="U$D", I3442*$N$1, IF(Gastos[[#This Row],[Divisa]]="EUR", I3442*$N$2, 0)))</f>
        <v>1223150</v>
      </c>
      <c r="K3442" s="61">
        <f>Gastos[[#This Row],[Importe AR$]]/$N$1</f>
        <v>807.35973597359737</v>
      </c>
      <c r="M3442" s="76">
        <v>46195</v>
      </c>
      <c r="N3442" s="50">
        <f>IF(Gastos[[#This Row],[Fecha_Cheque]]&gt;0,WEEKNUM(Gastos[[#This Row],[Fecha_Cheque]]),MID(Gastos[[#This Row],[Semana]],6,2))</f>
        <v>26</v>
      </c>
      <c r="O3442" t="s">
        <v>3421</v>
      </c>
      <c r="P3442" t="s">
        <v>27</v>
      </c>
    </row>
    <row r="3443" spans="1:16" hidden="1" x14ac:dyDescent="0.25">
      <c r="A3443" s="3" t="s">
        <v>2763</v>
      </c>
      <c r="B3443" t="s">
        <v>3256</v>
      </c>
      <c r="C3443" t="s">
        <v>3422</v>
      </c>
      <c r="D3443" t="s">
        <v>26</v>
      </c>
      <c r="E3443" t="s">
        <v>42</v>
      </c>
      <c r="F3443">
        <v>1</v>
      </c>
      <c r="G3443" s="3" t="s">
        <v>5</v>
      </c>
      <c r="H3443" s="51" t="s">
        <v>15</v>
      </c>
      <c r="I3443" s="17">
        <v>1140517</v>
      </c>
      <c r="J3443" s="17">
        <f>IF(Gastos[[#This Row],[Divisa]]="$", I3443*1, IF(Gastos[[#This Row],[Divisa]]="U$D", I3443*$N$1, IF(Gastos[[#This Row],[Divisa]]="EUR", I3443*$N$2, 0)))</f>
        <v>1140517</v>
      </c>
      <c r="K3443" s="61">
        <f>Gastos[[#This Row],[Importe AR$]]/$N$1</f>
        <v>752.81650165016504</v>
      </c>
      <c r="M3443" s="76"/>
      <c r="N3443" s="50" t="str">
        <f>IF(Gastos[[#This Row],[Fecha_Cheque]]&gt;0,WEEKNUM(Gastos[[#This Row],[Fecha_Cheque]]),MID(Gastos[[#This Row],[Semana]],6,2))</f>
        <v>23</v>
      </c>
      <c r="O3443" t="s">
        <v>3423</v>
      </c>
      <c r="P3443" t="s">
        <v>27</v>
      </c>
    </row>
    <row r="3444" spans="1:16" hidden="1" x14ac:dyDescent="0.25">
      <c r="A3444" s="3" t="s">
        <v>2763</v>
      </c>
      <c r="B3444" t="s">
        <v>3256</v>
      </c>
      <c r="C3444" t="s">
        <v>2582</v>
      </c>
      <c r="D3444" t="s">
        <v>26</v>
      </c>
      <c r="E3444" t="s">
        <v>31</v>
      </c>
      <c r="F3444">
        <v>1</v>
      </c>
      <c r="G3444" s="3" t="s">
        <v>5</v>
      </c>
      <c r="H3444" s="51" t="s">
        <v>15</v>
      </c>
      <c r="I3444" s="17">
        <v>525000</v>
      </c>
      <c r="J3444" s="17">
        <f>IF(Gastos[[#This Row],[Divisa]]="$", I3444*1, IF(Gastos[[#This Row],[Divisa]]="U$D", I3444*$N$1, IF(Gastos[[#This Row],[Divisa]]="EUR", I3444*$N$2, 0)))</f>
        <v>525000</v>
      </c>
      <c r="K3444" s="61">
        <f>Gastos[[#This Row],[Importe AR$]]/$N$1</f>
        <v>346.53465346534654</v>
      </c>
      <c r="M3444" s="76"/>
      <c r="N3444" s="50" t="str">
        <f>IF(Gastos[[#This Row],[Fecha_Cheque]]&gt;0,WEEKNUM(Gastos[[#This Row],[Fecha_Cheque]]),MID(Gastos[[#This Row],[Semana]],6,2))</f>
        <v>23</v>
      </c>
      <c r="O3444" t="s">
        <v>3424</v>
      </c>
      <c r="P3444" t="s">
        <v>27</v>
      </c>
    </row>
    <row r="3445" spans="1:16" hidden="1" x14ac:dyDescent="0.25">
      <c r="A3445" s="3" t="s">
        <v>2763</v>
      </c>
      <c r="B3445" t="s">
        <v>2587</v>
      </c>
      <c r="C3445" t="s">
        <v>3281</v>
      </c>
      <c r="D3445" t="s">
        <v>26</v>
      </c>
      <c r="E3445" t="s">
        <v>31</v>
      </c>
      <c r="F3445">
        <v>1</v>
      </c>
      <c r="G3445" s="3" t="s">
        <v>5</v>
      </c>
      <c r="H3445" s="51" t="s">
        <v>15</v>
      </c>
      <c r="I3445" s="17">
        <v>281300</v>
      </c>
      <c r="J3445" s="17">
        <f>IF(Gastos[[#This Row],[Divisa]]="$", I3445*1, IF(Gastos[[#This Row],[Divisa]]="U$D", I3445*$N$1, IF(Gastos[[#This Row],[Divisa]]="EUR", I3445*$N$2, 0)))</f>
        <v>281300</v>
      </c>
      <c r="K3445" s="61">
        <f>Gastos[[#This Row],[Importe AR$]]/$N$1</f>
        <v>185.67656765676568</v>
      </c>
      <c r="M3445" s="76"/>
      <c r="N3445" s="50" t="str">
        <f>IF(Gastos[[#This Row],[Fecha_Cheque]]&gt;0,WEEKNUM(Gastos[[#This Row],[Fecha_Cheque]]),MID(Gastos[[#This Row],[Semana]],6,2))</f>
        <v>23</v>
      </c>
      <c r="O3445" t="s">
        <v>3425</v>
      </c>
      <c r="P3445" t="s">
        <v>27</v>
      </c>
    </row>
    <row r="3446" spans="1:16" hidden="1" x14ac:dyDescent="0.25">
      <c r="A3446" s="3" t="s">
        <v>2763</v>
      </c>
      <c r="B3446" t="s">
        <v>2728</v>
      </c>
      <c r="C3446" t="s">
        <v>3295</v>
      </c>
      <c r="D3446" t="s">
        <v>26</v>
      </c>
      <c r="E3446" t="s">
        <v>42</v>
      </c>
      <c r="F3446">
        <v>2</v>
      </c>
      <c r="G3446" s="3" t="s">
        <v>4</v>
      </c>
      <c r="H3446" s="51" t="s">
        <v>15</v>
      </c>
      <c r="I3446" s="17">
        <v>500000</v>
      </c>
      <c r="J3446" s="17">
        <f>IF(Gastos[[#This Row],[Divisa]]="$", I3446*1, IF(Gastos[[#This Row],[Divisa]]="U$D", I3446*$N$1, IF(Gastos[[#This Row],[Divisa]]="EUR", I3446*$N$2, 0)))</f>
        <v>500000</v>
      </c>
      <c r="K3446" s="61">
        <f>Gastos[[#This Row],[Importe AR$]]/$N$1</f>
        <v>330.03300330033005</v>
      </c>
      <c r="M3446" s="76"/>
      <c r="N3446" s="50" t="str">
        <f>IF(Gastos[[#This Row],[Fecha_Cheque]]&gt;0,WEEKNUM(Gastos[[#This Row],[Fecha_Cheque]]),MID(Gastos[[#This Row],[Semana]],6,2))</f>
        <v>23</v>
      </c>
      <c r="O3446" t="s">
        <v>3426</v>
      </c>
      <c r="P3446" t="s">
        <v>27</v>
      </c>
    </row>
    <row r="3447" spans="1:16" hidden="1" x14ac:dyDescent="0.25">
      <c r="A3447" s="3" t="s">
        <v>2763</v>
      </c>
      <c r="B3447" t="s">
        <v>3051</v>
      </c>
      <c r="C3447" t="s">
        <v>3427</v>
      </c>
      <c r="D3447" t="s">
        <v>26</v>
      </c>
      <c r="E3447" t="s">
        <v>42</v>
      </c>
      <c r="F3447">
        <v>2</v>
      </c>
      <c r="G3447" s="3" t="s">
        <v>4</v>
      </c>
      <c r="H3447" s="51" t="s">
        <v>15</v>
      </c>
      <c r="I3447" s="17">
        <v>400000</v>
      </c>
      <c r="J3447" s="17">
        <f>IF(Gastos[[#This Row],[Divisa]]="$", I3447*1, IF(Gastos[[#This Row],[Divisa]]="U$D", I3447*$N$1, IF(Gastos[[#This Row],[Divisa]]="EUR", I3447*$N$2, 0)))</f>
        <v>400000</v>
      </c>
      <c r="K3447" s="61">
        <f>Gastos[[#This Row],[Importe AR$]]/$N$1</f>
        <v>264.02640264026405</v>
      </c>
      <c r="M3447" s="76"/>
      <c r="N3447" s="50" t="str">
        <f>IF(Gastos[[#This Row],[Fecha_Cheque]]&gt;0,WEEKNUM(Gastos[[#This Row],[Fecha_Cheque]]),MID(Gastos[[#This Row],[Semana]],6,2))</f>
        <v>23</v>
      </c>
      <c r="O3447" t="s">
        <v>3428</v>
      </c>
      <c r="P3447" t="s">
        <v>27</v>
      </c>
    </row>
    <row r="3448" spans="1:16" hidden="1" x14ac:dyDescent="0.25">
      <c r="A3448" s="3" t="s">
        <v>3591</v>
      </c>
      <c r="B3448" t="s">
        <v>1026</v>
      </c>
      <c r="C3448" t="s">
        <v>3615</v>
      </c>
      <c r="D3448" t="s">
        <v>26</v>
      </c>
      <c r="E3448" t="s">
        <v>31</v>
      </c>
      <c r="F3448">
        <v>1</v>
      </c>
      <c r="G3448" s="3" t="s">
        <v>32</v>
      </c>
      <c r="H3448" s="51" t="s">
        <v>15</v>
      </c>
      <c r="I3448" s="17">
        <v>356090.58</v>
      </c>
      <c r="J3448" s="17">
        <f>IF(Gastos[[#This Row],[Divisa]]="$", I3448*1, IF(Gastos[[#This Row],[Divisa]]="U$D", I3448*$N$1, IF(Gastos[[#This Row],[Divisa]]="EUR", I3448*$N$2, 0)))</f>
        <v>356090.58</v>
      </c>
      <c r="K3448" s="61">
        <f>Gastos[[#This Row],[Importe AR$]]/$N$1</f>
        <v>235.04328712871288</v>
      </c>
      <c r="M3448" s="76"/>
      <c r="N3448" s="50" t="str">
        <f>IF(Gastos[[#This Row],[Fecha_Cheque]]&gt;0,WEEKNUM(Gastos[[#This Row],[Fecha_Cheque]]),MID(Gastos[[#This Row],[Semana]],6,2))</f>
        <v>26</v>
      </c>
      <c r="O3448" t="s">
        <v>3616</v>
      </c>
      <c r="P3448" t="s">
        <v>27</v>
      </c>
    </row>
    <row r="3449" spans="1:16" hidden="1" x14ac:dyDescent="0.25">
      <c r="A3449" s="3" t="s">
        <v>2763</v>
      </c>
      <c r="B3449" t="s">
        <v>3429</v>
      </c>
      <c r="C3449" t="s">
        <v>3430</v>
      </c>
      <c r="D3449" t="s">
        <v>26</v>
      </c>
      <c r="E3449" t="s">
        <v>42</v>
      </c>
      <c r="F3449">
        <v>2</v>
      </c>
      <c r="G3449" s="3" t="s">
        <v>4</v>
      </c>
      <c r="H3449" s="51" t="s">
        <v>15</v>
      </c>
      <c r="I3449" s="17">
        <v>150000</v>
      </c>
      <c r="J3449" s="17">
        <f>IF(Gastos[[#This Row],[Divisa]]="$", I3449*1, IF(Gastos[[#This Row],[Divisa]]="U$D", I3449*$N$1, IF(Gastos[[#This Row],[Divisa]]="EUR", I3449*$N$2, 0)))</f>
        <v>150000</v>
      </c>
      <c r="K3449" s="61">
        <f>Gastos[[#This Row],[Importe AR$]]/$N$1</f>
        <v>99.009900990099013</v>
      </c>
      <c r="M3449" s="76"/>
      <c r="N3449" s="50" t="str">
        <f>IF(Gastos[[#This Row],[Fecha_Cheque]]&gt;0,WEEKNUM(Gastos[[#This Row],[Fecha_Cheque]]),MID(Gastos[[#This Row],[Semana]],6,2))</f>
        <v>23</v>
      </c>
      <c r="O3449" t="s">
        <v>3431</v>
      </c>
      <c r="P3449" t="s">
        <v>27</v>
      </c>
    </row>
    <row r="3450" spans="1:16" hidden="1" x14ac:dyDescent="0.25">
      <c r="A3450" s="3" t="s">
        <v>2763</v>
      </c>
      <c r="B3450" t="s">
        <v>3432</v>
      </c>
      <c r="C3450" t="s">
        <v>3295</v>
      </c>
      <c r="D3450" t="s">
        <v>26</v>
      </c>
      <c r="E3450" t="s">
        <v>42</v>
      </c>
      <c r="F3450">
        <v>2</v>
      </c>
      <c r="G3450" s="3" t="s">
        <v>4</v>
      </c>
      <c r="H3450" s="51" t="s">
        <v>15</v>
      </c>
      <c r="I3450" s="17">
        <v>400000</v>
      </c>
      <c r="J3450" s="17">
        <f>IF(Gastos[[#This Row],[Divisa]]="$", I3450*1, IF(Gastos[[#This Row],[Divisa]]="U$D", I3450*$N$1, IF(Gastos[[#This Row],[Divisa]]="EUR", I3450*$N$2, 0)))</f>
        <v>400000</v>
      </c>
      <c r="K3450" s="61">
        <f>Gastos[[#This Row],[Importe AR$]]/$N$1</f>
        <v>264.02640264026405</v>
      </c>
      <c r="M3450" s="76"/>
      <c r="N3450" s="50" t="str">
        <f>IF(Gastos[[#This Row],[Fecha_Cheque]]&gt;0,WEEKNUM(Gastos[[#This Row],[Fecha_Cheque]]),MID(Gastos[[#This Row],[Semana]],6,2))</f>
        <v>23</v>
      </c>
      <c r="O3450" t="s">
        <v>3433</v>
      </c>
      <c r="P3450" t="s">
        <v>27</v>
      </c>
    </row>
    <row r="3451" spans="1:16" hidden="1" x14ac:dyDescent="0.25">
      <c r="A3451" s="3" t="s">
        <v>2763</v>
      </c>
      <c r="B3451" t="s">
        <v>2728</v>
      </c>
      <c r="C3451" t="s">
        <v>3295</v>
      </c>
      <c r="D3451" t="s">
        <v>26</v>
      </c>
      <c r="E3451" t="s">
        <v>42</v>
      </c>
      <c r="F3451">
        <v>2</v>
      </c>
      <c r="G3451" s="3" t="s">
        <v>4</v>
      </c>
      <c r="H3451" s="51" t="s">
        <v>15</v>
      </c>
      <c r="I3451" s="17">
        <v>400000</v>
      </c>
      <c r="J3451" s="17">
        <f>IF(Gastos[[#This Row],[Divisa]]="$", I3451*1, IF(Gastos[[#This Row],[Divisa]]="U$D", I3451*$N$1, IF(Gastos[[#This Row],[Divisa]]="EUR", I3451*$N$2, 0)))</f>
        <v>400000</v>
      </c>
      <c r="K3451" s="61">
        <f>Gastos[[#This Row],[Importe AR$]]/$N$1</f>
        <v>264.02640264026405</v>
      </c>
      <c r="M3451" s="76"/>
      <c r="N3451" s="50" t="str">
        <f>IF(Gastos[[#This Row],[Fecha_Cheque]]&gt;0,WEEKNUM(Gastos[[#This Row],[Fecha_Cheque]]),MID(Gastos[[#This Row],[Semana]],6,2))</f>
        <v>23</v>
      </c>
      <c r="O3451" t="s">
        <v>3434</v>
      </c>
      <c r="P3451" t="s">
        <v>27</v>
      </c>
    </row>
    <row r="3452" spans="1:16" hidden="1" x14ac:dyDescent="0.25">
      <c r="A3452" s="3" t="s">
        <v>2763</v>
      </c>
      <c r="B3452" t="s">
        <v>1760</v>
      </c>
      <c r="C3452" t="s">
        <v>3435</v>
      </c>
      <c r="D3452" t="s">
        <v>26</v>
      </c>
      <c r="E3452" t="s">
        <v>42</v>
      </c>
      <c r="F3452">
        <v>2</v>
      </c>
      <c r="G3452" s="3" t="s">
        <v>4</v>
      </c>
      <c r="H3452" s="51" t="s">
        <v>15</v>
      </c>
      <c r="I3452" s="17">
        <v>700000</v>
      </c>
      <c r="J3452" s="17">
        <f>IF(Gastos[[#This Row],[Divisa]]="$", I3452*1, IF(Gastos[[#This Row],[Divisa]]="U$D", I3452*$N$1, IF(Gastos[[#This Row],[Divisa]]="EUR", I3452*$N$2, 0)))</f>
        <v>700000</v>
      </c>
      <c r="K3452" s="61">
        <f>Gastos[[#This Row],[Importe AR$]]/$N$1</f>
        <v>462.04620462046205</v>
      </c>
      <c r="M3452" s="76"/>
      <c r="N3452" s="50" t="str">
        <f>IF(Gastos[[#This Row],[Fecha_Cheque]]&gt;0,WEEKNUM(Gastos[[#This Row],[Fecha_Cheque]]),MID(Gastos[[#This Row],[Semana]],6,2))</f>
        <v>23</v>
      </c>
      <c r="O3452" t="s">
        <v>3436</v>
      </c>
      <c r="P3452" t="s">
        <v>27</v>
      </c>
    </row>
    <row r="3453" spans="1:16" hidden="1" x14ac:dyDescent="0.25">
      <c r="A3453" s="3" t="s">
        <v>3591</v>
      </c>
      <c r="B3453" t="s">
        <v>1026</v>
      </c>
      <c r="C3453" t="s">
        <v>3615</v>
      </c>
      <c r="D3453" t="s">
        <v>26</v>
      </c>
      <c r="E3453" t="s">
        <v>31</v>
      </c>
      <c r="F3453">
        <v>1</v>
      </c>
      <c r="G3453" s="3" t="s">
        <v>32</v>
      </c>
      <c r="H3453" s="51" t="s">
        <v>15</v>
      </c>
      <c r="I3453" s="17">
        <v>1429.42</v>
      </c>
      <c r="J3453" s="17">
        <f>IF(Gastos[[#This Row],[Divisa]]="$", I3453*1, IF(Gastos[[#This Row],[Divisa]]="U$D", I3453*$N$1, IF(Gastos[[#This Row],[Divisa]]="EUR", I3453*$N$2, 0)))</f>
        <v>1429.42</v>
      </c>
      <c r="K3453" s="61">
        <f>Gastos[[#This Row],[Importe AR$]]/$N$1</f>
        <v>0.94351155115511554</v>
      </c>
      <c r="L3453" t="s">
        <v>340</v>
      </c>
      <c r="M3453" s="76"/>
      <c r="N3453" s="50" t="str">
        <f>IF(Gastos[[#This Row],[Fecha_Cheque]]&gt;0,WEEKNUM(Gastos[[#This Row],[Fecha_Cheque]]),MID(Gastos[[#This Row],[Semana]],6,2))</f>
        <v>26</v>
      </c>
      <c r="O3453" t="s">
        <v>3616</v>
      </c>
      <c r="P3453" t="s">
        <v>27</v>
      </c>
    </row>
    <row r="3454" spans="1:16" hidden="1" x14ac:dyDescent="0.25">
      <c r="A3454" s="3" t="s">
        <v>3718</v>
      </c>
      <c r="B3454" t="s">
        <v>483</v>
      </c>
      <c r="C3454" t="s">
        <v>3443</v>
      </c>
      <c r="D3454" t="s">
        <v>26</v>
      </c>
      <c r="E3454" t="s">
        <v>42</v>
      </c>
      <c r="F3454">
        <v>2</v>
      </c>
      <c r="G3454" s="3" t="s">
        <v>4</v>
      </c>
      <c r="H3454" s="51" t="s">
        <v>15</v>
      </c>
      <c r="I3454" s="17">
        <v>1000000</v>
      </c>
      <c r="J3454" s="17">
        <f>IF(Gastos[[#This Row],[Divisa]]="$", I3454*1, IF(Gastos[[#This Row],[Divisa]]="U$D", I3454*$N$1, IF(Gastos[[#This Row],[Divisa]]="EUR", I3454*$N$2, 0)))</f>
        <v>1000000</v>
      </c>
      <c r="K3454" s="61">
        <f>Gastos[[#This Row],[Importe AR$]]/$N$1</f>
        <v>660.0660066006601</v>
      </c>
      <c r="M3454" s="76"/>
      <c r="N3454" s="50" t="str">
        <f>IF(Gastos[[#This Row],[Fecha_Cheque]]&gt;0,WEEKNUM(Gastos[[#This Row],[Fecha_Cheque]]),MID(Gastos[[#This Row],[Semana]],6,2))</f>
        <v>28</v>
      </c>
      <c r="O3454" t="s">
        <v>3771</v>
      </c>
      <c r="P3454" t="s">
        <v>27</v>
      </c>
    </row>
    <row r="3455" spans="1:16" hidden="1" x14ac:dyDescent="0.25">
      <c r="A3455" s="3" t="s">
        <v>3591</v>
      </c>
      <c r="B3455" t="s">
        <v>3294</v>
      </c>
      <c r="C3455" t="s">
        <v>3626</v>
      </c>
      <c r="D3455" t="s">
        <v>26</v>
      </c>
      <c r="E3455" t="s">
        <v>42</v>
      </c>
      <c r="F3455">
        <v>2</v>
      </c>
      <c r="G3455" s="3" t="s">
        <v>4</v>
      </c>
      <c r="H3455" s="51" t="s">
        <v>15</v>
      </c>
      <c r="I3455" s="17">
        <v>504840</v>
      </c>
      <c r="J3455" s="17">
        <f>IF(Gastos[[#This Row],[Divisa]]="$", I3455*1, IF(Gastos[[#This Row],[Divisa]]="U$D", I3455*$N$1, IF(Gastos[[#This Row],[Divisa]]="EUR", I3455*$N$2, 0)))</f>
        <v>504840</v>
      </c>
      <c r="K3455" s="61">
        <f>Gastos[[#This Row],[Importe AR$]]/$N$1</f>
        <v>333.22772277227722</v>
      </c>
      <c r="M3455" s="76"/>
      <c r="N3455" s="50" t="str">
        <f>IF(Gastos[[#This Row],[Fecha_Cheque]]&gt;0,WEEKNUM(Gastos[[#This Row],[Fecha_Cheque]]),MID(Gastos[[#This Row],[Semana]],6,2))</f>
        <v>26</v>
      </c>
      <c r="O3455" t="s">
        <v>3627</v>
      </c>
      <c r="P3455" t="s">
        <v>27</v>
      </c>
    </row>
    <row r="3456" spans="1:16" hidden="1" x14ac:dyDescent="0.25">
      <c r="A3456" s="3" t="s">
        <v>2726</v>
      </c>
      <c r="B3456" t="s">
        <v>1841</v>
      </c>
      <c r="C3456" t="s">
        <v>3438</v>
      </c>
      <c r="D3456" t="s">
        <v>26</v>
      </c>
      <c r="E3456" t="s">
        <v>42</v>
      </c>
      <c r="F3456">
        <v>2</v>
      </c>
      <c r="G3456" s="3" t="s">
        <v>4</v>
      </c>
      <c r="H3456" s="51" t="s">
        <v>15</v>
      </c>
      <c r="I3456" s="17">
        <v>250000</v>
      </c>
      <c r="J3456" s="17">
        <f>IF(Gastos[[#This Row],[Divisa]]="$", I3456*1, IF(Gastos[[#This Row],[Divisa]]="U$D", I3456*$N$1, IF(Gastos[[#This Row],[Divisa]]="EUR", I3456*$N$2, 0)))</f>
        <v>250000</v>
      </c>
      <c r="K3456" s="61">
        <f>Gastos[[#This Row],[Importe AR$]]/$N$1</f>
        <v>165.01650165016503</v>
      </c>
      <c r="M3456" s="76"/>
      <c r="N3456" s="50" t="str">
        <f>IF(Gastos[[#This Row],[Fecha_Cheque]]&gt;0,WEEKNUM(Gastos[[#This Row],[Fecha_Cheque]]),MID(Gastos[[#This Row],[Semana]],6,2))</f>
        <v>24</v>
      </c>
      <c r="O3456" t="s">
        <v>3439</v>
      </c>
      <c r="P3456" t="s">
        <v>27</v>
      </c>
    </row>
    <row r="3457" spans="1:16" hidden="1" x14ac:dyDescent="0.25">
      <c r="A3457" s="3" t="s">
        <v>3591</v>
      </c>
      <c r="B3457" t="s">
        <v>3294</v>
      </c>
      <c r="C3457" t="s">
        <v>3626</v>
      </c>
      <c r="D3457" t="s">
        <v>26</v>
      </c>
      <c r="E3457" t="s">
        <v>31</v>
      </c>
      <c r="F3457">
        <v>2</v>
      </c>
      <c r="G3457" s="3" t="s">
        <v>4</v>
      </c>
      <c r="H3457" s="51" t="s">
        <v>15</v>
      </c>
      <c r="I3457" s="17">
        <v>551900</v>
      </c>
      <c r="J3457" s="17">
        <f>IF(Gastos[[#This Row],[Divisa]]="$", I3457*1, IF(Gastos[[#This Row],[Divisa]]="U$D", I3457*$N$1, IF(Gastos[[#This Row],[Divisa]]="EUR", I3457*$N$2, 0)))</f>
        <v>551900</v>
      </c>
      <c r="K3457" s="61">
        <f>Gastos[[#This Row],[Importe AR$]]/$N$1</f>
        <v>364.29042904290429</v>
      </c>
      <c r="M3457" s="76">
        <v>46231</v>
      </c>
      <c r="N3457" s="50">
        <f>IF(Gastos[[#This Row],[Fecha_Cheque]]&gt;0,WEEKNUM(Gastos[[#This Row],[Fecha_Cheque]]),MID(Gastos[[#This Row],[Semana]],6,2))</f>
        <v>31</v>
      </c>
      <c r="O3457" t="s">
        <v>3627</v>
      </c>
      <c r="P3457" t="s">
        <v>27</v>
      </c>
    </row>
    <row r="3458" spans="1:16" hidden="1" x14ac:dyDescent="0.25">
      <c r="A3458" s="3" t="s">
        <v>3591</v>
      </c>
      <c r="B3458" t="s">
        <v>3294</v>
      </c>
      <c r="C3458" t="s">
        <v>3626</v>
      </c>
      <c r="D3458" t="s">
        <v>26</v>
      </c>
      <c r="E3458" t="s">
        <v>31</v>
      </c>
      <c r="F3458">
        <v>2</v>
      </c>
      <c r="G3458" s="3" t="s">
        <v>4</v>
      </c>
      <c r="H3458" s="51" t="s">
        <v>15</v>
      </c>
      <c r="I3458" s="17">
        <v>1000000</v>
      </c>
      <c r="J3458" s="17">
        <f>IF(Gastos[[#This Row],[Divisa]]="$", I3458*1, IF(Gastos[[#This Row],[Divisa]]="U$D", I3458*$N$1, IF(Gastos[[#This Row],[Divisa]]="EUR", I3458*$N$2, 0)))</f>
        <v>1000000</v>
      </c>
      <c r="K3458" s="61">
        <f>Gastos[[#This Row],[Importe AR$]]/$N$1</f>
        <v>660.0660066006601</v>
      </c>
      <c r="M3458" s="76">
        <v>46226</v>
      </c>
      <c r="N3458" s="50">
        <f>IF(Gastos[[#This Row],[Fecha_Cheque]]&gt;0,WEEKNUM(Gastos[[#This Row],[Fecha_Cheque]]),MID(Gastos[[#This Row],[Semana]],6,2))</f>
        <v>30</v>
      </c>
      <c r="O3458" t="s">
        <v>3627</v>
      </c>
      <c r="P3458" t="s">
        <v>27</v>
      </c>
    </row>
    <row r="3459" spans="1:16" hidden="1" x14ac:dyDescent="0.25">
      <c r="A3459" s="3" t="s">
        <v>3440</v>
      </c>
      <c r="B3459" t="s">
        <v>3024</v>
      </c>
      <c r="C3459" t="s">
        <v>1948</v>
      </c>
      <c r="D3459" t="s">
        <v>26</v>
      </c>
      <c r="E3459" t="s">
        <v>42</v>
      </c>
      <c r="F3459">
        <v>1</v>
      </c>
      <c r="G3459" s="3" t="s">
        <v>4</v>
      </c>
      <c r="H3459" s="51" t="s">
        <v>15</v>
      </c>
      <c r="I3459" s="17">
        <v>9599.99</v>
      </c>
      <c r="J3459" s="17">
        <f>IF(Gastos[[#This Row],[Divisa]]="$", I3459*1, IF(Gastos[[#This Row],[Divisa]]="U$D", I3459*$N$1, IF(Gastos[[#This Row],[Divisa]]="EUR", I3459*$N$2, 0)))</f>
        <v>9599.99</v>
      </c>
      <c r="K3459" s="61">
        <f>Gastos[[#This Row],[Importe AR$]]/$N$1</f>
        <v>6.3366270627062704</v>
      </c>
      <c r="M3459" s="76"/>
      <c r="N3459" s="50" t="str">
        <f>IF(Gastos[[#This Row],[Fecha_Cheque]]&gt;0,WEEKNUM(Gastos[[#This Row],[Fecha_Cheque]]),MID(Gastos[[#This Row],[Semana]],6,2))</f>
        <v>25</v>
      </c>
      <c r="O3459" t="s">
        <v>3548</v>
      </c>
      <c r="P3459" t="s">
        <v>27</v>
      </c>
    </row>
    <row r="3460" spans="1:16" hidden="1" x14ac:dyDescent="0.25">
      <c r="A3460" s="3" t="s">
        <v>3440</v>
      </c>
      <c r="B3460" t="s">
        <v>3359</v>
      </c>
      <c r="C3460" t="s">
        <v>3538</v>
      </c>
      <c r="D3460" t="s">
        <v>26</v>
      </c>
      <c r="E3460" t="s">
        <v>31</v>
      </c>
      <c r="F3460">
        <v>1</v>
      </c>
      <c r="G3460" s="3" t="s">
        <v>32</v>
      </c>
      <c r="H3460" s="51" t="s">
        <v>15</v>
      </c>
      <c r="I3460" s="17">
        <v>6970740</v>
      </c>
      <c r="J3460" s="17">
        <f>IF(Gastos[[#This Row],[Divisa]]="$", I3460*1, IF(Gastos[[#This Row],[Divisa]]="U$D", I3460*$N$1, IF(Gastos[[#This Row],[Divisa]]="EUR", I3460*$N$2, 0)))</f>
        <v>6970740</v>
      </c>
      <c r="K3460" s="61">
        <f>Gastos[[#This Row],[Importe AR$]]/$N$1</f>
        <v>4601.1485148514848</v>
      </c>
      <c r="M3460" s="76">
        <v>46203</v>
      </c>
      <c r="N3460" s="50">
        <f>IF(Gastos[[#This Row],[Fecha_Cheque]]&gt;0,WEEKNUM(Gastos[[#This Row],[Fecha_Cheque]]),MID(Gastos[[#This Row],[Semana]],6,2))</f>
        <v>27</v>
      </c>
      <c r="O3460" t="s">
        <v>3539</v>
      </c>
      <c r="P3460" t="s">
        <v>27</v>
      </c>
    </row>
    <row r="3461" spans="1:16" hidden="1" x14ac:dyDescent="0.25">
      <c r="A3461" s="3" t="s">
        <v>3440</v>
      </c>
      <c r="B3461" t="s">
        <v>3359</v>
      </c>
      <c r="C3461" t="s">
        <v>3538</v>
      </c>
      <c r="D3461" t="s">
        <v>26</v>
      </c>
      <c r="E3461" t="s">
        <v>31</v>
      </c>
      <c r="F3461">
        <v>1</v>
      </c>
      <c r="G3461" s="3" t="s">
        <v>32</v>
      </c>
      <c r="H3461" s="51" t="s">
        <v>15</v>
      </c>
      <c r="I3461" s="17">
        <v>142260</v>
      </c>
      <c r="J3461" s="17">
        <f>IF(Gastos[[#This Row],[Divisa]]="$", I3461*1, IF(Gastos[[#This Row],[Divisa]]="U$D", I3461*$N$1, IF(Gastos[[#This Row],[Divisa]]="EUR", I3461*$N$2, 0)))</f>
        <v>142260</v>
      </c>
      <c r="K3461" s="61">
        <f>Gastos[[#This Row],[Importe AR$]]/$N$1</f>
        <v>93.900990099009903</v>
      </c>
      <c r="L3461" t="s">
        <v>340</v>
      </c>
      <c r="M3461" s="76"/>
      <c r="N3461" s="50" t="str">
        <f>IF(Gastos[[#This Row],[Fecha_Cheque]]&gt;0,WEEKNUM(Gastos[[#This Row],[Fecha_Cheque]]),MID(Gastos[[#This Row],[Semana]],6,2))</f>
        <v>25</v>
      </c>
      <c r="O3461" t="s">
        <v>3539</v>
      </c>
      <c r="P3461" t="s">
        <v>27</v>
      </c>
    </row>
    <row r="3462" spans="1:16" x14ac:dyDescent="0.25">
      <c r="A3462" s="3" t="s">
        <v>3990</v>
      </c>
      <c r="B3462" t="s">
        <v>266</v>
      </c>
      <c r="C3462" t="s">
        <v>3849</v>
      </c>
      <c r="D3462" t="s">
        <v>26</v>
      </c>
      <c r="E3462" t="s">
        <v>62</v>
      </c>
      <c r="F3462">
        <v>1</v>
      </c>
      <c r="G3462" s="3" t="s">
        <v>32</v>
      </c>
      <c r="H3462" s="51" t="s">
        <v>15</v>
      </c>
      <c r="I3462" s="17">
        <v>16495.68</v>
      </c>
      <c r="J3462" s="17">
        <f>IF(Gastos[[#This Row],[Divisa]]="$", I3462*1, IF(Gastos[[#This Row],[Divisa]]="U$D", I3462*$N$1, IF(Gastos[[#This Row],[Divisa]]="EUR", I3462*$N$2, 0)))</f>
        <v>16495.68</v>
      </c>
      <c r="K3462" s="61">
        <f>Gastos[[#This Row],[Importe AR$]]/$N$1</f>
        <v>10.888237623762377</v>
      </c>
      <c r="L3462" t="s">
        <v>340</v>
      </c>
      <c r="M3462" s="76"/>
      <c r="N3462" s="50" t="str">
        <f>IF(Gastos[[#This Row],[Fecha_Cheque]]&gt;0,WEEKNUM(Gastos[[#This Row],[Fecha_Cheque]]),MID(Gastos[[#This Row],[Semana]],6,2))</f>
        <v>32</v>
      </c>
      <c r="P3462" t="s">
        <v>3991</v>
      </c>
    </row>
    <row r="3463" spans="1:16" x14ac:dyDescent="0.25">
      <c r="A3463" s="3" t="s">
        <v>3990</v>
      </c>
      <c r="B3463" t="s">
        <v>266</v>
      </c>
      <c r="C3463" t="s">
        <v>3849</v>
      </c>
      <c r="D3463" t="s">
        <v>26</v>
      </c>
      <c r="E3463" t="s">
        <v>62</v>
      </c>
      <c r="F3463">
        <v>1</v>
      </c>
      <c r="G3463" s="3" t="s">
        <v>32</v>
      </c>
      <c r="H3463" s="51" t="s">
        <v>15</v>
      </c>
      <c r="I3463" s="17">
        <f>347469.32+250200.04</f>
        <v>597669.36</v>
      </c>
      <c r="J3463" s="17">
        <f>IF(Gastos[[#This Row],[Divisa]]="$", I3463*1, IF(Gastos[[#This Row],[Divisa]]="U$D", I3463*$N$1, IF(Gastos[[#This Row],[Divisa]]="EUR", I3463*$N$2, 0)))</f>
        <v>597669.36</v>
      </c>
      <c r="K3463" s="61">
        <f>Gastos[[#This Row],[Importe AR$]]/$N$1</f>
        <v>394.50122772277228</v>
      </c>
      <c r="M3463" s="76"/>
      <c r="N3463" s="50" t="str">
        <f>IF(Gastos[[#This Row],[Fecha_Cheque]]&gt;0,WEEKNUM(Gastos[[#This Row],[Fecha_Cheque]]),MID(Gastos[[#This Row],[Semana]],6,2))</f>
        <v>32</v>
      </c>
    </row>
    <row r="3464" spans="1:16" x14ac:dyDescent="0.25">
      <c r="A3464" s="3" t="s">
        <v>3990</v>
      </c>
      <c r="B3464" t="s">
        <v>322</v>
      </c>
      <c r="C3464" t="s">
        <v>3118</v>
      </c>
      <c r="D3464" t="s">
        <v>26</v>
      </c>
      <c r="E3464" t="s">
        <v>62</v>
      </c>
      <c r="F3464">
        <v>1</v>
      </c>
      <c r="G3464" s="3" t="s">
        <v>32</v>
      </c>
      <c r="H3464" s="53" t="s">
        <v>15</v>
      </c>
      <c r="I3464" s="17">
        <f>1323000+523000</f>
        <v>1846000</v>
      </c>
      <c r="J3464" s="17">
        <f>IF(Gastos[[#This Row],[Divisa]]="$", I3464*1, IF(Gastos[[#This Row],[Divisa]]="U$D", I3464*$N$1, IF(Gastos[[#This Row],[Divisa]]="EUR", I3464*$N$2, 0)))</f>
        <v>1846000</v>
      </c>
      <c r="K3464" s="61">
        <f>Gastos[[#This Row],[Importe AR$]]/$N$1</f>
        <v>1218.4818481848185</v>
      </c>
      <c r="M3464" s="76"/>
      <c r="N3464" s="50" t="str">
        <f>IF(Gastos[[#This Row],[Fecha_Cheque]]&gt;0,WEEKNUM(Gastos[[#This Row],[Fecha_Cheque]]),MID(Gastos[[#This Row],[Semana]],6,2))</f>
        <v>32</v>
      </c>
    </row>
    <row r="3465" spans="1:16" hidden="1" x14ac:dyDescent="0.25">
      <c r="A3465" s="3" t="s">
        <v>3842</v>
      </c>
      <c r="B3465" t="s">
        <v>503</v>
      </c>
      <c r="C3465" t="s">
        <v>3864</v>
      </c>
      <c r="D3465" t="s">
        <v>26</v>
      </c>
      <c r="E3465" t="s">
        <v>42</v>
      </c>
      <c r="F3465">
        <v>1</v>
      </c>
      <c r="G3465" s="3" t="s">
        <v>4</v>
      </c>
      <c r="H3465" s="51" t="s">
        <v>15</v>
      </c>
      <c r="I3465" s="17">
        <v>118000</v>
      </c>
      <c r="J3465" s="17">
        <f>IF(Gastos[[#This Row],[Divisa]]="$", I3465*1, IF(Gastos[[#This Row],[Divisa]]="U$D", I3465*$N$1, IF(Gastos[[#This Row],[Divisa]]="EUR", I3465*$N$2, 0)))</f>
        <v>118000</v>
      </c>
      <c r="K3465" s="61">
        <f>Gastos[[#This Row],[Importe AR$]]/$N$1</f>
        <v>77.887788778877891</v>
      </c>
      <c r="M3465" s="76"/>
      <c r="N3465" s="50" t="str">
        <f>IF(Gastos[[#This Row],[Fecha_Cheque]]&gt;0,WEEKNUM(Gastos[[#This Row],[Fecha_Cheque]]),MID(Gastos[[#This Row],[Semana]],6,2))</f>
        <v>30</v>
      </c>
      <c r="O3465" t="s">
        <v>3865</v>
      </c>
      <c r="P3465" t="s">
        <v>27</v>
      </c>
    </row>
    <row r="3466" spans="1:16" hidden="1" x14ac:dyDescent="0.25">
      <c r="A3466" s="3" t="s">
        <v>2726</v>
      </c>
      <c r="B3466" t="s">
        <v>1914</v>
      </c>
      <c r="C3466" t="s">
        <v>1915</v>
      </c>
      <c r="D3466" t="s">
        <v>61</v>
      </c>
      <c r="E3466" t="s">
        <v>62</v>
      </c>
      <c r="F3466">
        <v>1</v>
      </c>
      <c r="G3466" s="3" t="s">
        <v>32</v>
      </c>
      <c r="H3466" s="51" t="s">
        <v>15</v>
      </c>
      <c r="I3466" s="17">
        <v>4090774.09</v>
      </c>
      <c r="J3466" s="17">
        <f>IF(Gastos[[#This Row],[Divisa]]="$", I3466*1, IF(Gastos[[#This Row],[Divisa]]="U$D", I3466*$N$1, IF(Gastos[[#This Row],[Divisa]]="EUR", I3466*$N$2, 0)))</f>
        <v>4090774.09</v>
      </c>
      <c r="K3466" s="61">
        <f>Gastos[[#This Row],[Importe AR$]]/$N$1</f>
        <v>2700.1809174917489</v>
      </c>
      <c r="M3466" s="76">
        <v>46221</v>
      </c>
      <c r="N3466" s="50">
        <f>IF(Gastos[[#This Row],[Fecha_Cheque]]&gt;0,WEEKNUM(Gastos[[#This Row],[Fecha_Cheque]]),MID(Gastos[[#This Row],[Semana]],6,2))</f>
        <v>29</v>
      </c>
      <c r="O3466" t="s">
        <v>3441</v>
      </c>
      <c r="P3466" t="s">
        <v>27</v>
      </c>
    </row>
    <row r="3467" spans="1:16" hidden="1" x14ac:dyDescent="0.25">
      <c r="A3467" s="3" t="s">
        <v>2726</v>
      </c>
      <c r="B3467" t="s">
        <v>1914</v>
      </c>
      <c r="C3467" t="s">
        <v>1915</v>
      </c>
      <c r="D3467" t="s">
        <v>61</v>
      </c>
      <c r="E3467" t="s">
        <v>62</v>
      </c>
      <c r="F3467">
        <v>1</v>
      </c>
      <c r="G3467" s="3" t="s">
        <v>32</v>
      </c>
      <c r="H3467" s="51" t="s">
        <v>15</v>
      </c>
      <c r="I3467" s="17">
        <v>5476402.6500000004</v>
      </c>
      <c r="J3467" s="17">
        <f>IF(Gastos[[#This Row],[Divisa]]="$", I3467*1, IF(Gastos[[#This Row],[Divisa]]="U$D", I3467*$N$1, IF(Gastos[[#This Row],[Divisa]]="EUR", I3467*$N$2, 0)))</f>
        <v>5476402.6500000004</v>
      </c>
      <c r="K3467" s="61">
        <f>Gastos[[#This Row],[Importe AR$]]/$N$1</f>
        <v>3614.7872277227725</v>
      </c>
      <c r="M3467" s="76">
        <v>46244</v>
      </c>
      <c r="N3467" s="50">
        <f>IF(Gastos[[#This Row],[Fecha_Cheque]]&gt;0,WEEKNUM(Gastos[[#This Row],[Fecha_Cheque]]),MID(Gastos[[#This Row],[Semana]],6,2))</f>
        <v>33</v>
      </c>
      <c r="O3467" t="s">
        <v>3441</v>
      </c>
      <c r="P3467" t="s">
        <v>27</v>
      </c>
    </row>
    <row r="3468" spans="1:16" hidden="1" x14ac:dyDescent="0.25">
      <c r="A3468" s="3" t="s">
        <v>2726</v>
      </c>
      <c r="B3468" t="s">
        <v>1914</v>
      </c>
      <c r="C3468" t="s">
        <v>1915</v>
      </c>
      <c r="D3468" t="s">
        <v>61</v>
      </c>
      <c r="E3468" t="s">
        <v>62</v>
      </c>
      <c r="F3468">
        <v>1</v>
      </c>
      <c r="G3468" s="3" t="s">
        <v>32</v>
      </c>
      <c r="H3468" s="51" t="s">
        <v>15</v>
      </c>
      <c r="I3468" s="17">
        <v>5476402.6500000004</v>
      </c>
      <c r="J3468" s="17">
        <f>IF(Gastos[[#This Row],[Divisa]]="$", I3468*1, IF(Gastos[[#This Row],[Divisa]]="U$D", I3468*$N$1, IF(Gastos[[#This Row],[Divisa]]="EUR", I3468*$N$2, 0)))</f>
        <v>5476402.6500000004</v>
      </c>
      <c r="K3468" s="61">
        <f>Gastos[[#This Row],[Importe AR$]]/$N$1</f>
        <v>3614.7872277227725</v>
      </c>
      <c r="M3468" s="76">
        <v>46255</v>
      </c>
      <c r="N3468" s="50">
        <f>IF(Gastos[[#This Row],[Fecha_Cheque]]&gt;0,WEEKNUM(Gastos[[#This Row],[Fecha_Cheque]]),MID(Gastos[[#This Row],[Semana]],6,2))</f>
        <v>34</v>
      </c>
      <c r="O3468" t="s">
        <v>3441</v>
      </c>
      <c r="P3468" t="s">
        <v>27</v>
      </c>
    </row>
    <row r="3469" spans="1:16" hidden="1" x14ac:dyDescent="0.25">
      <c r="A3469" s="3" t="s">
        <v>2726</v>
      </c>
      <c r="B3469" t="s">
        <v>1914</v>
      </c>
      <c r="C3469" t="s">
        <v>1915</v>
      </c>
      <c r="D3469" t="s">
        <v>61</v>
      </c>
      <c r="E3469" t="s">
        <v>62</v>
      </c>
      <c r="F3469">
        <v>1</v>
      </c>
      <c r="G3469" s="3" t="s">
        <v>32</v>
      </c>
      <c r="H3469" s="51" t="s">
        <v>15</v>
      </c>
      <c r="I3469" s="17">
        <v>252833.33</v>
      </c>
      <c r="J3469" s="17">
        <f>IF(Gastos[[#This Row],[Divisa]]="$", I3469*1, IF(Gastos[[#This Row],[Divisa]]="U$D", I3469*$N$1, IF(Gastos[[#This Row],[Divisa]]="EUR", I3469*$N$2, 0)))</f>
        <v>252833.33</v>
      </c>
      <c r="K3469" s="61">
        <f>Gastos[[#This Row],[Importe AR$]]/$N$1</f>
        <v>166.88668646864684</v>
      </c>
      <c r="L3469" t="s">
        <v>340</v>
      </c>
      <c r="M3469" s="76"/>
      <c r="N3469" s="50" t="str">
        <f>IF(Gastos[[#This Row],[Fecha_Cheque]]&gt;0,WEEKNUM(Gastos[[#This Row],[Fecha_Cheque]]),MID(Gastos[[#This Row],[Semana]],6,2))</f>
        <v>24</v>
      </c>
      <c r="O3469" t="s">
        <v>3441</v>
      </c>
      <c r="P3469" t="s">
        <v>27</v>
      </c>
    </row>
    <row r="3470" spans="1:16" hidden="1" x14ac:dyDescent="0.25">
      <c r="A3470" s="3" t="s">
        <v>2726</v>
      </c>
      <c r="B3470" t="s">
        <v>1914</v>
      </c>
      <c r="C3470" t="s">
        <v>1915</v>
      </c>
      <c r="D3470" t="s">
        <v>61</v>
      </c>
      <c r="E3470" t="s">
        <v>62</v>
      </c>
      <c r="F3470">
        <v>1</v>
      </c>
      <c r="G3470" s="3" t="s">
        <v>32</v>
      </c>
      <c r="H3470" s="51" t="s">
        <v>15</v>
      </c>
      <c r="I3470" s="17">
        <v>1017597.14</v>
      </c>
      <c r="J3470" s="17">
        <f>IF(Gastos[[#This Row],[Divisa]]="$", I3470*1, IF(Gastos[[#This Row],[Divisa]]="U$D", I3470*$N$1, IF(Gastos[[#This Row],[Divisa]]="EUR", I3470*$N$2, 0)))</f>
        <v>1017597.14</v>
      </c>
      <c r="K3470" s="61">
        <f>Gastos[[#This Row],[Importe AR$]]/$N$1</f>
        <v>671.68128052805287</v>
      </c>
      <c r="M3470" s="76">
        <v>46214</v>
      </c>
      <c r="N3470" s="50">
        <f>IF(Gastos[[#This Row],[Fecha_Cheque]]&gt;0,WEEKNUM(Gastos[[#This Row],[Fecha_Cheque]]),MID(Gastos[[#This Row],[Semana]],6,2))</f>
        <v>28</v>
      </c>
      <c r="O3470" t="s">
        <v>3442</v>
      </c>
      <c r="P3470" t="s">
        <v>27</v>
      </c>
    </row>
    <row r="3471" spans="1:16" hidden="1" x14ac:dyDescent="0.25">
      <c r="A3471" s="3" t="s">
        <v>2726</v>
      </c>
      <c r="B3471" t="s">
        <v>1914</v>
      </c>
      <c r="C3471" t="s">
        <v>1915</v>
      </c>
      <c r="D3471" t="s">
        <v>61</v>
      </c>
      <c r="E3471" t="s">
        <v>62</v>
      </c>
      <c r="F3471">
        <v>1</v>
      </c>
      <c r="G3471" s="3" t="s">
        <v>32</v>
      </c>
      <c r="H3471" s="51" t="s">
        <v>15</v>
      </c>
      <c r="I3471" s="17">
        <v>1351670.6</v>
      </c>
      <c r="J3471" s="17">
        <f>IF(Gastos[[#This Row],[Divisa]]="$", I3471*1, IF(Gastos[[#This Row],[Divisa]]="U$D", I3471*$N$1, IF(Gastos[[#This Row],[Divisa]]="EUR", I3471*$N$2, 0)))</f>
        <v>1351670.6</v>
      </c>
      <c r="K3471" s="61">
        <f>Gastos[[#This Row],[Importe AR$]]/$N$1</f>
        <v>892.19181518151822</v>
      </c>
      <c r="M3471" s="76">
        <v>46226</v>
      </c>
      <c r="N3471" s="50">
        <f>IF(Gastos[[#This Row],[Fecha_Cheque]]&gt;0,WEEKNUM(Gastos[[#This Row],[Fecha_Cheque]]),MID(Gastos[[#This Row],[Semana]],6,2))</f>
        <v>30</v>
      </c>
      <c r="O3471" t="s">
        <v>3442</v>
      </c>
      <c r="P3471" t="s">
        <v>27</v>
      </c>
    </row>
    <row r="3472" spans="1:16" hidden="1" x14ac:dyDescent="0.25">
      <c r="A3472" s="3" t="s">
        <v>2726</v>
      </c>
      <c r="B3472" t="s">
        <v>1914</v>
      </c>
      <c r="C3472" t="s">
        <v>1915</v>
      </c>
      <c r="D3472" t="s">
        <v>61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6800000</v>
      </c>
      <c r="J3472" s="17">
        <f>IF(Gastos[[#This Row],[Divisa]]="$", I3472*1, IF(Gastos[[#This Row],[Divisa]]="U$D", I3472*$N$1, IF(Gastos[[#This Row],[Divisa]]="EUR", I3472*$N$2, 0)))</f>
        <v>6800000</v>
      </c>
      <c r="K3472" s="61">
        <f>Gastos[[#This Row],[Importe AR$]]/$N$1</f>
        <v>4488.4488448844886</v>
      </c>
      <c r="M3472" s="76">
        <v>46282</v>
      </c>
      <c r="N3472" s="50">
        <f>IF(Gastos[[#This Row],[Fecha_Cheque]]&gt;0,WEEKNUM(Gastos[[#This Row],[Fecha_Cheque]]),MID(Gastos[[#This Row],[Semana]],6,2))</f>
        <v>38</v>
      </c>
      <c r="O3472" t="s">
        <v>3442</v>
      </c>
      <c r="P3472" t="s">
        <v>27</v>
      </c>
    </row>
    <row r="3473" spans="1:16" hidden="1" x14ac:dyDescent="0.25">
      <c r="A3473" s="3" t="s">
        <v>2726</v>
      </c>
      <c r="B3473" t="s">
        <v>1914</v>
      </c>
      <c r="C3473" t="s">
        <v>1915</v>
      </c>
      <c r="D3473" t="s">
        <v>61</v>
      </c>
      <c r="E3473" t="s">
        <v>62</v>
      </c>
      <c r="F3473">
        <v>1</v>
      </c>
      <c r="G3473" s="3" t="s">
        <v>32</v>
      </c>
      <c r="H3473" s="51" t="s">
        <v>15</v>
      </c>
      <c r="I3473" s="17">
        <v>6800000</v>
      </c>
      <c r="J3473" s="17">
        <f>IF(Gastos[[#This Row],[Divisa]]="$", I3473*1, IF(Gastos[[#This Row],[Divisa]]="U$D", I3473*$N$1, IF(Gastos[[#This Row],[Divisa]]="EUR", I3473*$N$2, 0)))</f>
        <v>6800000</v>
      </c>
      <c r="K3473" s="61">
        <f>Gastos[[#This Row],[Importe AR$]]/$N$1</f>
        <v>4488.4488448844886</v>
      </c>
      <c r="M3473" s="76">
        <v>46289</v>
      </c>
      <c r="N3473" s="50">
        <f>IF(Gastos[[#This Row],[Fecha_Cheque]]&gt;0,WEEKNUM(Gastos[[#This Row],[Fecha_Cheque]]),MID(Gastos[[#This Row],[Semana]],6,2))</f>
        <v>39</v>
      </c>
      <c r="O3473" t="s">
        <v>3442</v>
      </c>
      <c r="P3473" t="s">
        <v>27</v>
      </c>
    </row>
    <row r="3474" spans="1:16" hidden="1" x14ac:dyDescent="0.25">
      <c r="A3474" s="3" t="s">
        <v>2726</v>
      </c>
      <c r="B3474" t="s">
        <v>1914</v>
      </c>
      <c r="C3474" t="s">
        <v>1915</v>
      </c>
      <c r="D3474" t="s">
        <v>61</v>
      </c>
      <c r="E3474" t="s">
        <v>62</v>
      </c>
      <c r="F3474">
        <v>1</v>
      </c>
      <c r="G3474" s="3" t="s">
        <v>32</v>
      </c>
      <c r="H3474" s="51" t="s">
        <v>15</v>
      </c>
      <c r="I3474" s="17">
        <v>6796650.0599999996</v>
      </c>
      <c r="J3474" s="17">
        <f>IF(Gastos[[#This Row],[Divisa]]="$", I3474*1, IF(Gastos[[#This Row],[Divisa]]="U$D", I3474*$N$1, IF(Gastos[[#This Row],[Divisa]]="EUR", I3474*$N$2, 0)))</f>
        <v>6796650.0599999996</v>
      </c>
      <c r="K3474" s="61">
        <f>Gastos[[#This Row],[Importe AR$]]/$N$1</f>
        <v>4486.2376633663362</v>
      </c>
      <c r="M3474" s="76">
        <v>46303</v>
      </c>
      <c r="N3474" s="50">
        <f>IF(Gastos[[#This Row],[Fecha_Cheque]]&gt;0,WEEKNUM(Gastos[[#This Row],[Fecha_Cheque]]),MID(Gastos[[#This Row],[Semana]],6,2))</f>
        <v>41</v>
      </c>
      <c r="O3474" t="s">
        <v>3442</v>
      </c>
      <c r="P3474" t="s">
        <v>27</v>
      </c>
    </row>
    <row r="3475" spans="1:16" hidden="1" x14ac:dyDescent="0.25">
      <c r="A3475" s="3" t="s">
        <v>2726</v>
      </c>
      <c r="B3475" t="s">
        <v>1914</v>
      </c>
      <c r="C3475" t="s">
        <v>1915</v>
      </c>
      <c r="D3475" t="s">
        <v>61</v>
      </c>
      <c r="E3475" t="s">
        <v>62</v>
      </c>
      <c r="F3475">
        <v>1</v>
      </c>
      <c r="G3475" s="3" t="s">
        <v>32</v>
      </c>
      <c r="H3475" s="51" t="s">
        <v>15</v>
      </c>
      <c r="I3475" s="17">
        <v>6800000</v>
      </c>
      <c r="J3475" s="17">
        <f>IF(Gastos[[#This Row],[Divisa]]="$", I3475*1, IF(Gastos[[#This Row],[Divisa]]="U$D", I3475*$N$1, IF(Gastos[[#This Row],[Divisa]]="EUR", I3475*$N$2, 0)))</f>
        <v>6800000</v>
      </c>
      <c r="K3475" s="61">
        <f>Gastos[[#This Row],[Importe AR$]]/$N$1</f>
        <v>4488.4488448844886</v>
      </c>
      <c r="M3475" s="76">
        <v>46296</v>
      </c>
      <c r="N3475" s="50">
        <f>IF(Gastos[[#This Row],[Fecha_Cheque]]&gt;0,WEEKNUM(Gastos[[#This Row],[Fecha_Cheque]]),MID(Gastos[[#This Row],[Semana]],6,2))</f>
        <v>40</v>
      </c>
      <c r="O3475" t="s">
        <v>3442</v>
      </c>
      <c r="P3475" t="s">
        <v>27</v>
      </c>
    </row>
    <row r="3476" spans="1:16" hidden="1" x14ac:dyDescent="0.25">
      <c r="A3476" s="3" t="s">
        <v>2726</v>
      </c>
      <c r="B3476" t="s">
        <v>1914</v>
      </c>
      <c r="C3476" t="s">
        <v>1915</v>
      </c>
      <c r="D3476" t="s">
        <v>61</v>
      </c>
      <c r="E3476" t="s">
        <v>62</v>
      </c>
      <c r="F3476">
        <v>1</v>
      </c>
      <c r="G3476" s="3" t="s">
        <v>32</v>
      </c>
      <c r="H3476" s="51" t="s">
        <v>15</v>
      </c>
      <c r="I3476" s="17">
        <v>6800000</v>
      </c>
      <c r="J3476" s="17">
        <f>IF(Gastos[[#This Row],[Divisa]]="$", I3476*1, IF(Gastos[[#This Row],[Divisa]]="U$D", I3476*$N$1, IF(Gastos[[#This Row],[Divisa]]="EUR", I3476*$N$2, 0)))</f>
        <v>6800000</v>
      </c>
      <c r="K3476" s="61">
        <f>Gastos[[#This Row],[Importe AR$]]/$N$1</f>
        <v>4488.4488448844886</v>
      </c>
      <c r="M3476" s="76">
        <v>46275</v>
      </c>
      <c r="N3476" s="50">
        <f>IF(Gastos[[#This Row],[Fecha_Cheque]]&gt;0,WEEKNUM(Gastos[[#This Row],[Fecha_Cheque]]),MID(Gastos[[#This Row],[Semana]],6,2))</f>
        <v>37</v>
      </c>
      <c r="O3476" t="s">
        <v>3442</v>
      </c>
      <c r="P3476" t="s">
        <v>27</v>
      </c>
    </row>
    <row r="3477" spans="1:16" hidden="1" x14ac:dyDescent="0.25">
      <c r="A3477" s="3" t="s">
        <v>2726</v>
      </c>
      <c r="B3477" t="s">
        <v>1914</v>
      </c>
      <c r="C3477" t="s">
        <v>1915</v>
      </c>
      <c r="D3477" t="s">
        <v>61</v>
      </c>
      <c r="E3477" t="s">
        <v>62</v>
      </c>
      <c r="F3477">
        <v>1</v>
      </c>
      <c r="G3477" s="3" t="s">
        <v>32</v>
      </c>
      <c r="H3477" s="51" t="s">
        <v>15</v>
      </c>
      <c r="I3477" s="17">
        <v>6800000</v>
      </c>
      <c r="J3477" s="17">
        <f>IF(Gastos[[#This Row],[Divisa]]="$", I3477*1, IF(Gastos[[#This Row],[Divisa]]="U$D", I3477*$N$1, IF(Gastos[[#This Row],[Divisa]]="EUR", I3477*$N$2, 0)))</f>
        <v>6800000</v>
      </c>
      <c r="K3477" s="61">
        <f>Gastos[[#This Row],[Importe AR$]]/$N$1</f>
        <v>4488.4488448844886</v>
      </c>
      <c r="M3477" s="76">
        <v>46263</v>
      </c>
      <c r="N3477" s="50">
        <f>IF(Gastos[[#This Row],[Fecha_Cheque]]&gt;0,WEEKNUM(Gastos[[#This Row],[Fecha_Cheque]]),MID(Gastos[[#This Row],[Semana]],6,2))</f>
        <v>35</v>
      </c>
      <c r="O3477" t="s">
        <v>3442</v>
      </c>
      <c r="P3477" t="s">
        <v>27</v>
      </c>
    </row>
    <row r="3478" spans="1:16" hidden="1" x14ac:dyDescent="0.25">
      <c r="A3478" s="3" t="s">
        <v>2726</v>
      </c>
      <c r="B3478" t="s">
        <v>1914</v>
      </c>
      <c r="C3478" t="s">
        <v>1915</v>
      </c>
      <c r="D3478" t="s">
        <v>61</v>
      </c>
      <c r="E3478" t="s">
        <v>62</v>
      </c>
      <c r="F3478">
        <v>1</v>
      </c>
      <c r="G3478" s="3" t="s">
        <v>32</v>
      </c>
      <c r="H3478" s="51" t="s">
        <v>15</v>
      </c>
      <c r="I3478" s="17">
        <v>725477.61</v>
      </c>
      <c r="J3478" s="17">
        <f>IF(Gastos[[#This Row],[Divisa]]="$", I3478*1, IF(Gastos[[#This Row],[Divisa]]="U$D", I3478*$N$1, IF(Gastos[[#This Row],[Divisa]]="EUR", I3478*$N$2, 0)))</f>
        <v>725477.61</v>
      </c>
      <c r="K3478" s="61">
        <f>Gastos[[#This Row],[Importe AR$]]/$N$1</f>
        <v>478.86310891089107</v>
      </c>
      <c r="L3478" t="s">
        <v>340</v>
      </c>
      <c r="M3478" s="76"/>
      <c r="N3478" s="50" t="str">
        <f>IF(Gastos[[#This Row],[Fecha_Cheque]]&gt;0,WEEKNUM(Gastos[[#This Row],[Fecha_Cheque]]),MID(Gastos[[#This Row],[Semana]],6,2))</f>
        <v>24</v>
      </c>
      <c r="O3478" t="s">
        <v>3442</v>
      </c>
      <c r="P3478" t="s">
        <v>27</v>
      </c>
    </row>
    <row r="3479" spans="1:16" hidden="1" x14ac:dyDescent="0.25">
      <c r="A3479" s="3" t="s">
        <v>3779</v>
      </c>
      <c r="B3479" t="s">
        <v>483</v>
      </c>
      <c r="C3479" t="s">
        <v>3443</v>
      </c>
      <c r="D3479" t="s">
        <v>26</v>
      </c>
      <c r="E3479" t="s">
        <v>42</v>
      </c>
      <c r="F3479">
        <v>2</v>
      </c>
      <c r="G3479" s="3" t="s">
        <v>4</v>
      </c>
      <c r="H3479" s="51" t="s">
        <v>15</v>
      </c>
      <c r="I3479" s="17">
        <v>1000000</v>
      </c>
      <c r="J3479" s="17">
        <f>IF(Gastos[[#This Row],[Divisa]]="$", I3479*1, IF(Gastos[[#This Row],[Divisa]]="U$D", I3479*$N$1, IF(Gastos[[#This Row],[Divisa]]="EUR", I3479*$N$2, 0)))</f>
        <v>1000000</v>
      </c>
      <c r="K3479" s="61">
        <f>Gastos[[#This Row],[Importe AR$]]/$N$1</f>
        <v>660.0660066006601</v>
      </c>
      <c r="M3479" s="76"/>
      <c r="N3479" s="50" t="str">
        <f>IF(Gastos[[#This Row],[Fecha_Cheque]]&gt;0,WEEKNUM(Gastos[[#This Row],[Fecha_Cheque]]),MID(Gastos[[#This Row],[Semana]],6,2))</f>
        <v>29</v>
      </c>
      <c r="O3479" t="s">
        <v>3826</v>
      </c>
      <c r="P3479" t="s">
        <v>27</v>
      </c>
    </row>
    <row r="3480" spans="1:16" x14ac:dyDescent="0.25">
      <c r="A3480" s="3" t="s">
        <v>3990</v>
      </c>
      <c r="B3480" t="s">
        <v>322</v>
      </c>
      <c r="C3480" t="s">
        <v>3619</v>
      </c>
      <c r="D3480" t="s">
        <v>26</v>
      </c>
      <c r="E3480" t="s">
        <v>62</v>
      </c>
      <c r="F3480">
        <v>1</v>
      </c>
      <c r="G3480" s="3" t="s">
        <v>32</v>
      </c>
      <c r="H3480" s="53" t="s">
        <v>15</v>
      </c>
      <c r="I3480" s="17">
        <v>2368000</v>
      </c>
      <c r="J3480" s="17">
        <f>IF(Gastos[[#This Row],[Divisa]]="$", I3480*1, IF(Gastos[[#This Row],[Divisa]]="U$D", I3480*$N$1, IF(Gastos[[#This Row],[Divisa]]="EUR", I3480*$N$2, 0)))</f>
        <v>2368000</v>
      </c>
      <c r="K3480" s="61">
        <f>Gastos[[#This Row],[Importe AR$]]/$N$1</f>
        <v>1563.0363036303631</v>
      </c>
      <c r="M3480" s="76"/>
      <c r="N3480" s="50" t="str">
        <f>IF(Gastos[[#This Row],[Fecha_Cheque]]&gt;0,WEEKNUM(Gastos[[#This Row],[Fecha_Cheque]]),MID(Gastos[[#This Row],[Semana]],6,2))</f>
        <v>32</v>
      </c>
      <c r="P3480" t="s">
        <v>3991</v>
      </c>
    </row>
    <row r="3481" spans="1:16" hidden="1" x14ac:dyDescent="0.25">
      <c r="A3481" s="3" t="s">
        <v>3440</v>
      </c>
      <c r="B3481" t="s">
        <v>2908</v>
      </c>
      <c r="C3481" t="s">
        <v>1948</v>
      </c>
      <c r="D3481" t="s">
        <v>26</v>
      </c>
      <c r="E3481" t="s">
        <v>42</v>
      </c>
      <c r="F3481">
        <v>1</v>
      </c>
      <c r="G3481" s="3" t="s">
        <v>4</v>
      </c>
      <c r="H3481" s="51" t="s">
        <v>15</v>
      </c>
      <c r="I3481" s="17">
        <v>84370</v>
      </c>
      <c r="J3481" s="17">
        <f>IF(Gastos[[#This Row],[Divisa]]="$", I3481*1, IF(Gastos[[#This Row],[Divisa]]="U$D", I3481*$N$1, IF(Gastos[[#This Row],[Divisa]]="EUR", I3481*$N$2, 0)))</f>
        <v>84370</v>
      </c>
      <c r="K3481" s="61">
        <f>Gastos[[#This Row],[Importe AR$]]/$N$1</f>
        <v>55.689768976897689</v>
      </c>
      <c r="M3481" s="76"/>
      <c r="N3481" s="50" t="str">
        <f>IF(Gastos[[#This Row],[Fecha_Cheque]]&gt;0,WEEKNUM(Gastos[[#This Row],[Fecha_Cheque]]),MID(Gastos[[#This Row],[Semana]],6,2))</f>
        <v>25</v>
      </c>
      <c r="O3481" t="s">
        <v>3550</v>
      </c>
      <c r="P3481" t="s">
        <v>27</v>
      </c>
    </row>
    <row r="3482" spans="1:16" hidden="1" x14ac:dyDescent="0.25">
      <c r="A3482" s="3" t="s">
        <v>2726</v>
      </c>
      <c r="B3482" t="s">
        <v>483</v>
      </c>
      <c r="C3482" t="s">
        <v>3443</v>
      </c>
      <c r="D3482" t="s">
        <v>26</v>
      </c>
      <c r="E3482" t="s">
        <v>42</v>
      </c>
      <c r="F3482">
        <v>2</v>
      </c>
      <c r="G3482" s="3" t="s">
        <v>4</v>
      </c>
      <c r="H3482" s="51" t="s">
        <v>15</v>
      </c>
      <c r="I3482" s="17">
        <v>500000</v>
      </c>
      <c r="J3482" s="17">
        <f>IF(Gastos[[#This Row],[Divisa]]="$", I3482*1, IF(Gastos[[#This Row],[Divisa]]="U$D", I3482*$N$1, IF(Gastos[[#This Row],[Divisa]]="EUR", I3482*$N$2, 0)))</f>
        <v>500000</v>
      </c>
      <c r="K3482" s="61">
        <f>Gastos[[#This Row],[Importe AR$]]/$N$1</f>
        <v>330.03300330033005</v>
      </c>
      <c r="M3482" s="76"/>
      <c r="N3482" s="50" t="str">
        <f>IF(Gastos[[#This Row],[Fecha_Cheque]]&gt;0,WEEKNUM(Gastos[[#This Row],[Fecha_Cheque]]),MID(Gastos[[#This Row],[Semana]],6,2))</f>
        <v>24</v>
      </c>
      <c r="O3482" t="s">
        <v>3444</v>
      </c>
      <c r="P3482" t="s">
        <v>27</v>
      </c>
    </row>
    <row r="3483" spans="1:16" hidden="1" x14ac:dyDescent="0.25">
      <c r="A3483" s="3" t="s">
        <v>3440</v>
      </c>
      <c r="B3483" t="s">
        <v>3380</v>
      </c>
      <c r="C3483" t="s">
        <v>3566</v>
      </c>
      <c r="D3483" t="s">
        <v>26</v>
      </c>
      <c r="E3483" t="s">
        <v>31</v>
      </c>
      <c r="F3483">
        <v>1</v>
      </c>
      <c r="G3483" s="3" t="s">
        <v>5</v>
      </c>
      <c r="H3483" s="51" t="s">
        <v>15</v>
      </c>
      <c r="I3483" s="17">
        <v>460530</v>
      </c>
      <c r="J3483" s="17">
        <f>IF(Gastos[[#This Row],[Divisa]]="$", I3483*1, IF(Gastos[[#This Row],[Divisa]]="U$D", I3483*$N$1, IF(Gastos[[#This Row],[Divisa]]="EUR", I3483*$N$2, 0)))</f>
        <v>460530</v>
      </c>
      <c r="K3483" s="61">
        <f>Gastos[[#This Row],[Importe AR$]]/$N$1</f>
        <v>303.980198019802</v>
      </c>
      <c r="M3483" s="76"/>
      <c r="N3483" s="50" t="str">
        <f>IF(Gastos[[#This Row],[Fecha_Cheque]]&gt;0,WEEKNUM(Gastos[[#This Row],[Fecha_Cheque]]),MID(Gastos[[#This Row],[Semana]],6,2))</f>
        <v>25</v>
      </c>
      <c r="O3483" t="s">
        <v>3567</v>
      </c>
      <c r="P3483" t="s">
        <v>27</v>
      </c>
    </row>
    <row r="3484" spans="1:16" hidden="1" x14ac:dyDescent="0.25">
      <c r="A3484" s="3" t="s">
        <v>3440</v>
      </c>
      <c r="B3484" t="s">
        <v>3380</v>
      </c>
      <c r="C3484" t="s">
        <v>3566</v>
      </c>
      <c r="D3484" t="s">
        <v>26</v>
      </c>
      <c r="E3484" t="s">
        <v>31</v>
      </c>
      <c r="F3484">
        <v>1</v>
      </c>
      <c r="G3484" s="3" t="s">
        <v>5</v>
      </c>
      <c r="H3484" s="51" t="s">
        <v>15</v>
      </c>
      <c r="I3484" s="17">
        <v>7740</v>
      </c>
      <c r="J3484" s="17">
        <f>IF(Gastos[[#This Row],[Divisa]]="$", I3484*1, IF(Gastos[[#This Row],[Divisa]]="U$D", I3484*$N$1, IF(Gastos[[#This Row],[Divisa]]="EUR", I3484*$N$2, 0)))</f>
        <v>7740</v>
      </c>
      <c r="K3484" s="61">
        <f>Gastos[[#This Row],[Importe AR$]]/$N$1</f>
        <v>5.108910891089109</v>
      </c>
      <c r="L3484" t="s">
        <v>340</v>
      </c>
      <c r="M3484" s="76"/>
      <c r="N3484" s="50" t="str">
        <f>IF(Gastos[[#This Row],[Fecha_Cheque]]&gt;0,WEEKNUM(Gastos[[#This Row],[Fecha_Cheque]]),MID(Gastos[[#This Row],[Semana]],6,2))</f>
        <v>25</v>
      </c>
      <c r="O3484" t="s">
        <v>3567</v>
      </c>
      <c r="P3484" t="s">
        <v>27</v>
      </c>
    </row>
    <row r="3485" spans="1:16" hidden="1" x14ac:dyDescent="0.25">
      <c r="A3485" s="3" t="s">
        <v>3641</v>
      </c>
      <c r="B3485" t="s">
        <v>3599</v>
      </c>
      <c r="C3485" t="s">
        <v>3695</v>
      </c>
      <c r="D3485" t="s">
        <v>26</v>
      </c>
      <c r="E3485" t="s">
        <v>91</v>
      </c>
      <c r="F3485">
        <v>1</v>
      </c>
      <c r="G3485" s="3" t="s">
        <v>32</v>
      </c>
      <c r="H3485" s="51" t="s">
        <v>15</v>
      </c>
      <c r="I3485" s="17">
        <v>3212624.89</v>
      </c>
      <c r="J3485" s="17">
        <f>IF(Gastos[[#This Row],[Divisa]]="$", I3485*1, IF(Gastos[[#This Row],[Divisa]]="U$D", I3485*$N$1, IF(Gastos[[#This Row],[Divisa]]="EUR", I3485*$N$2, 0)))</f>
        <v>3212624.89</v>
      </c>
      <c r="K3485" s="61">
        <f>Gastos[[#This Row],[Importe AR$]]/$N$1</f>
        <v>2120.5444818481851</v>
      </c>
      <c r="M3485" s="76">
        <v>46196</v>
      </c>
      <c r="N3485" s="50">
        <f>IF(Gastos[[#This Row],[Fecha_Cheque]]&gt;0,WEEKNUM(Gastos[[#This Row],[Fecha_Cheque]]),MID(Gastos[[#This Row],[Semana]],6,2))</f>
        <v>26</v>
      </c>
      <c r="O3485" t="s">
        <v>3696</v>
      </c>
      <c r="P3485" t="s">
        <v>27</v>
      </c>
    </row>
    <row r="3486" spans="1:16" hidden="1" x14ac:dyDescent="0.25">
      <c r="A3486" s="3" t="s">
        <v>2726</v>
      </c>
      <c r="B3486" t="s">
        <v>483</v>
      </c>
      <c r="C3486" t="s">
        <v>3445</v>
      </c>
      <c r="D3486" t="s">
        <v>26</v>
      </c>
      <c r="E3486" t="s">
        <v>42</v>
      </c>
      <c r="F3486">
        <v>2</v>
      </c>
      <c r="G3486" s="3" t="s">
        <v>4</v>
      </c>
      <c r="H3486" s="51" t="s">
        <v>15</v>
      </c>
      <c r="I3486" s="17">
        <v>170000</v>
      </c>
      <c r="J3486" s="17">
        <f>IF(Gastos[[#This Row],[Divisa]]="$", I3486*1, IF(Gastos[[#This Row],[Divisa]]="U$D", I3486*$N$1, IF(Gastos[[#This Row],[Divisa]]="EUR", I3486*$N$2, 0)))</f>
        <v>170000</v>
      </c>
      <c r="K3486" s="61">
        <f>Gastos[[#This Row],[Importe AR$]]/$N$1</f>
        <v>112.21122112211221</v>
      </c>
      <c r="M3486" s="76"/>
      <c r="N3486" s="50" t="str">
        <f>IF(Gastos[[#This Row],[Fecha_Cheque]]&gt;0,WEEKNUM(Gastos[[#This Row],[Fecha_Cheque]]),MID(Gastos[[#This Row],[Semana]],6,2))</f>
        <v>24</v>
      </c>
      <c r="O3486" t="s">
        <v>3446</v>
      </c>
      <c r="P3486" t="s">
        <v>27</v>
      </c>
    </row>
    <row r="3487" spans="1:16" hidden="1" x14ac:dyDescent="0.25">
      <c r="A3487" s="3" t="s">
        <v>3641</v>
      </c>
      <c r="B3487" t="s">
        <v>3599</v>
      </c>
      <c r="C3487" t="s">
        <v>3695</v>
      </c>
      <c r="D3487" t="s">
        <v>26</v>
      </c>
      <c r="E3487" t="s">
        <v>91</v>
      </c>
      <c r="F3487">
        <v>1</v>
      </c>
      <c r="G3487" s="3" t="s">
        <v>32</v>
      </c>
      <c r="H3487" s="51" t="s">
        <v>15</v>
      </c>
      <c r="I3487" s="17">
        <v>4000000</v>
      </c>
      <c r="J3487" s="17">
        <f>IF(Gastos[[#This Row],[Divisa]]="$", I3487*1, IF(Gastos[[#This Row],[Divisa]]="U$D", I3487*$N$1, IF(Gastos[[#This Row],[Divisa]]="EUR", I3487*$N$2, 0)))</f>
        <v>4000000</v>
      </c>
      <c r="K3487" s="61">
        <f>Gastos[[#This Row],[Importe AR$]]/$N$1</f>
        <v>2640.2640264026404</v>
      </c>
      <c r="M3487" s="76">
        <v>46196</v>
      </c>
      <c r="N3487" s="50">
        <f>IF(Gastos[[#This Row],[Fecha_Cheque]]&gt;0,WEEKNUM(Gastos[[#This Row],[Fecha_Cheque]]),MID(Gastos[[#This Row],[Semana]],6,2))</f>
        <v>26</v>
      </c>
      <c r="O3487" t="s">
        <v>3696</v>
      </c>
      <c r="P3487" t="s">
        <v>27</v>
      </c>
    </row>
    <row r="3488" spans="1:16" hidden="1" x14ac:dyDescent="0.25">
      <c r="A3488" s="3" t="s">
        <v>3641</v>
      </c>
      <c r="B3488" t="s">
        <v>3599</v>
      </c>
      <c r="C3488" t="s">
        <v>3695</v>
      </c>
      <c r="D3488" t="s">
        <v>26</v>
      </c>
      <c r="E3488" t="s">
        <v>91</v>
      </c>
      <c r="F3488">
        <v>1</v>
      </c>
      <c r="G3488" s="3" t="s">
        <v>32</v>
      </c>
      <c r="H3488" s="51" t="s">
        <v>15</v>
      </c>
      <c r="I3488" s="17">
        <v>11097043.460000001</v>
      </c>
      <c r="J3488" s="17">
        <f>IF(Gastos[[#This Row],[Divisa]]="$", I3488*1, IF(Gastos[[#This Row],[Divisa]]="U$D", I3488*$N$1, IF(Gastos[[#This Row],[Divisa]]="EUR", I3488*$N$2, 0)))</f>
        <v>11097043.460000001</v>
      </c>
      <c r="K3488" s="61">
        <f>Gastos[[#This Row],[Importe AR$]]/$N$1</f>
        <v>7324.7811617161724</v>
      </c>
      <c r="M3488" s="76">
        <v>46249</v>
      </c>
      <c r="N3488" s="50">
        <f>IF(Gastos[[#This Row],[Fecha_Cheque]]&gt;0,WEEKNUM(Gastos[[#This Row],[Fecha_Cheque]]),MID(Gastos[[#This Row],[Semana]],6,2))</f>
        <v>33</v>
      </c>
      <c r="O3488" t="s">
        <v>3696</v>
      </c>
      <c r="P3488" t="s">
        <v>27</v>
      </c>
    </row>
    <row r="3489" spans="1:16" hidden="1" x14ac:dyDescent="0.25">
      <c r="A3489" s="3" t="s">
        <v>3641</v>
      </c>
      <c r="B3489" t="s">
        <v>3599</v>
      </c>
      <c r="C3489" t="s">
        <v>3695</v>
      </c>
      <c r="D3489" t="s">
        <v>26</v>
      </c>
      <c r="E3489" t="s">
        <v>91</v>
      </c>
      <c r="F3489">
        <v>1</v>
      </c>
      <c r="G3489" s="3" t="s">
        <v>32</v>
      </c>
      <c r="H3489" s="51" t="s">
        <v>15</v>
      </c>
      <c r="I3489" s="17">
        <v>11097043.460000001</v>
      </c>
      <c r="J3489" s="17">
        <f>IF(Gastos[[#This Row],[Divisa]]="$", I3489*1, IF(Gastos[[#This Row],[Divisa]]="U$D", I3489*$N$1, IF(Gastos[[#This Row],[Divisa]]="EUR", I3489*$N$2, 0)))</f>
        <v>11097043.460000001</v>
      </c>
      <c r="K3489" s="61">
        <f>Gastos[[#This Row],[Importe AR$]]/$N$1</f>
        <v>7324.7811617161724</v>
      </c>
      <c r="M3489" s="76">
        <v>46254</v>
      </c>
      <c r="N3489" s="50">
        <f>IF(Gastos[[#This Row],[Fecha_Cheque]]&gt;0,WEEKNUM(Gastos[[#This Row],[Fecha_Cheque]]),MID(Gastos[[#This Row],[Semana]],6,2))</f>
        <v>34</v>
      </c>
      <c r="O3489" t="s">
        <v>3696</v>
      </c>
      <c r="P3489" t="s">
        <v>27</v>
      </c>
    </row>
    <row r="3490" spans="1:16" hidden="1" x14ac:dyDescent="0.25">
      <c r="A3490" s="3" t="s">
        <v>3641</v>
      </c>
      <c r="B3490" t="s">
        <v>3599</v>
      </c>
      <c r="C3490" t="s">
        <v>3695</v>
      </c>
      <c r="D3490" t="s">
        <v>26</v>
      </c>
      <c r="E3490" t="s">
        <v>91</v>
      </c>
      <c r="F3490">
        <v>1</v>
      </c>
      <c r="G3490" s="3" t="s">
        <v>32</v>
      </c>
      <c r="H3490" s="51" t="s">
        <v>15</v>
      </c>
      <c r="I3490" s="17">
        <v>11097043.460000001</v>
      </c>
      <c r="J3490" s="17">
        <f>IF(Gastos[[#This Row],[Divisa]]="$", I3490*1, IF(Gastos[[#This Row],[Divisa]]="U$D", I3490*$N$1, IF(Gastos[[#This Row],[Divisa]]="EUR", I3490*$N$2, 0)))</f>
        <v>11097043.460000001</v>
      </c>
      <c r="K3490" s="61">
        <f>Gastos[[#This Row],[Importe AR$]]/$N$1</f>
        <v>7324.7811617161724</v>
      </c>
      <c r="M3490" s="76">
        <v>46264</v>
      </c>
      <c r="N3490" s="50">
        <f>IF(Gastos[[#This Row],[Fecha_Cheque]]&gt;0,WEEKNUM(Gastos[[#This Row],[Fecha_Cheque]]),MID(Gastos[[#This Row],[Semana]],6,2))</f>
        <v>36</v>
      </c>
      <c r="O3490" t="s">
        <v>3696</v>
      </c>
      <c r="P3490" t="s">
        <v>27</v>
      </c>
    </row>
    <row r="3491" spans="1:16" hidden="1" x14ac:dyDescent="0.25">
      <c r="A3491" s="3" t="s">
        <v>3591</v>
      </c>
      <c r="B3491" t="s">
        <v>2930</v>
      </c>
      <c r="C3491" t="s">
        <v>1948</v>
      </c>
      <c r="D3491" t="s">
        <v>26</v>
      </c>
      <c r="E3491" t="s">
        <v>42</v>
      </c>
      <c r="F3491">
        <v>1</v>
      </c>
      <c r="G3491" s="3" t="s">
        <v>4</v>
      </c>
      <c r="H3491" s="51" t="s">
        <v>15</v>
      </c>
      <c r="I3491" s="17">
        <v>6927.47</v>
      </c>
      <c r="J3491" s="17">
        <f>IF(Gastos[[#This Row],[Divisa]]="$", I3491*1, IF(Gastos[[#This Row],[Divisa]]="U$D", I3491*$N$1, IF(Gastos[[#This Row],[Divisa]]="EUR", I3491*$N$2, 0)))</f>
        <v>6927.47</v>
      </c>
      <c r="K3491" s="61">
        <f>Gastos[[#This Row],[Importe AR$]]/$N$1</f>
        <v>4.5725874587458746</v>
      </c>
      <c r="M3491" s="76"/>
      <c r="N3491" s="50" t="str">
        <f>IF(Gastos[[#This Row],[Fecha_Cheque]]&gt;0,WEEKNUM(Gastos[[#This Row],[Fecha_Cheque]]),MID(Gastos[[#This Row],[Semana]],6,2))</f>
        <v>26</v>
      </c>
      <c r="O3491" t="s">
        <v>3596</v>
      </c>
      <c r="P3491" t="s">
        <v>27</v>
      </c>
    </row>
    <row r="3492" spans="1:16" hidden="1" x14ac:dyDescent="0.25">
      <c r="A3492" s="3" t="s">
        <v>3641</v>
      </c>
      <c r="B3492" t="s">
        <v>3599</v>
      </c>
      <c r="C3492" t="s">
        <v>3695</v>
      </c>
      <c r="D3492" t="s">
        <v>26</v>
      </c>
      <c r="E3492" t="s">
        <v>91</v>
      </c>
      <c r="F3492">
        <v>1</v>
      </c>
      <c r="G3492" s="3" t="s">
        <v>32</v>
      </c>
      <c r="H3492" s="51" t="s">
        <v>15</v>
      </c>
      <c r="I3492" s="17">
        <v>11097043.460000001</v>
      </c>
      <c r="J3492" s="17">
        <f>IF(Gastos[[#This Row],[Divisa]]="$", I3492*1, IF(Gastos[[#This Row],[Divisa]]="U$D", I3492*$N$1, IF(Gastos[[#This Row],[Divisa]]="EUR", I3492*$N$2, 0)))</f>
        <v>11097043.460000001</v>
      </c>
      <c r="K3492" s="61">
        <f>Gastos[[#This Row],[Importe AR$]]/$N$1</f>
        <v>7324.7811617161724</v>
      </c>
      <c r="M3492" s="76">
        <v>46274</v>
      </c>
      <c r="N3492" s="50">
        <f>IF(Gastos[[#This Row],[Fecha_Cheque]]&gt;0,WEEKNUM(Gastos[[#This Row],[Fecha_Cheque]]),MID(Gastos[[#This Row],[Semana]],6,2))</f>
        <v>37</v>
      </c>
      <c r="O3492" t="s">
        <v>3696</v>
      </c>
      <c r="P3492" t="s">
        <v>27</v>
      </c>
    </row>
    <row r="3493" spans="1:16" hidden="1" x14ac:dyDescent="0.25">
      <c r="A3493" s="3" t="s">
        <v>3641</v>
      </c>
      <c r="B3493" t="s">
        <v>3599</v>
      </c>
      <c r="C3493" t="s">
        <v>3695</v>
      </c>
      <c r="D3493" t="s">
        <v>26</v>
      </c>
      <c r="E3493" t="s">
        <v>91</v>
      </c>
      <c r="F3493">
        <v>1</v>
      </c>
      <c r="G3493" s="3" t="s">
        <v>32</v>
      </c>
      <c r="H3493" s="51" t="s">
        <v>15</v>
      </c>
      <c r="I3493" s="17">
        <v>11097043.460000001</v>
      </c>
      <c r="J3493" s="17">
        <f>IF(Gastos[[#This Row],[Divisa]]="$", I3493*1, IF(Gastos[[#This Row],[Divisa]]="U$D", I3493*$N$1, IF(Gastos[[#This Row],[Divisa]]="EUR", I3493*$N$2, 0)))</f>
        <v>11097043.460000001</v>
      </c>
      <c r="K3493" s="61">
        <f>Gastos[[#This Row],[Importe AR$]]/$N$1</f>
        <v>7324.7811617161724</v>
      </c>
      <c r="M3493" s="76">
        <v>46284</v>
      </c>
      <c r="N3493" s="50">
        <f>IF(Gastos[[#This Row],[Fecha_Cheque]]&gt;0,WEEKNUM(Gastos[[#This Row],[Fecha_Cheque]]),MID(Gastos[[#This Row],[Semana]],6,2))</f>
        <v>38</v>
      </c>
      <c r="O3493" t="s">
        <v>3696</v>
      </c>
      <c r="P3493" t="s">
        <v>27</v>
      </c>
    </row>
    <row r="3494" spans="1:16" hidden="1" x14ac:dyDescent="0.25">
      <c r="A3494" s="3" t="s">
        <v>3718</v>
      </c>
      <c r="B3494" t="s">
        <v>623</v>
      </c>
      <c r="C3494" t="s">
        <v>693</v>
      </c>
      <c r="D3494" t="s">
        <v>26</v>
      </c>
      <c r="E3494" t="s">
        <v>91</v>
      </c>
      <c r="F3494">
        <v>1</v>
      </c>
      <c r="G3494" s="3" t="s">
        <v>5</v>
      </c>
      <c r="H3494" s="51" t="s">
        <v>15</v>
      </c>
      <c r="I3494" s="17">
        <v>1120000</v>
      </c>
      <c r="J3494" s="17">
        <f>IF(Gastos[[#This Row],[Divisa]]="$", I3494*1, IF(Gastos[[#This Row],[Divisa]]="U$D", I3494*$N$1, IF(Gastos[[#This Row],[Divisa]]="EUR", I3494*$N$2, 0)))</f>
        <v>1120000</v>
      </c>
      <c r="K3494" s="61">
        <f>Gastos[[#This Row],[Importe AR$]]/$N$1</f>
        <v>739.27392739273932</v>
      </c>
      <c r="M3494" s="76"/>
      <c r="N3494" s="50" t="str">
        <f>IF(Gastos[[#This Row],[Fecha_Cheque]]&gt;0,WEEKNUM(Gastos[[#This Row],[Fecha_Cheque]]),MID(Gastos[[#This Row],[Semana]],6,2))</f>
        <v>28</v>
      </c>
      <c r="O3494" t="s">
        <v>3763</v>
      </c>
      <c r="P3494" t="s">
        <v>27</v>
      </c>
    </row>
    <row r="3495" spans="1:16" hidden="1" x14ac:dyDescent="0.25">
      <c r="A3495" s="3" t="s">
        <v>3641</v>
      </c>
      <c r="B3495" t="s">
        <v>839</v>
      </c>
      <c r="C3495" t="s">
        <v>3613</v>
      </c>
      <c r="D3495" t="s">
        <v>26</v>
      </c>
      <c r="E3495" t="s">
        <v>225</v>
      </c>
      <c r="F3495">
        <v>1</v>
      </c>
      <c r="G3495" s="3" t="s">
        <v>32</v>
      </c>
      <c r="H3495" s="51" t="s">
        <v>15</v>
      </c>
      <c r="I3495" s="17">
        <v>3212624.89</v>
      </c>
      <c r="J3495" s="17">
        <f>IF(Gastos[[#This Row],[Divisa]]="$", I3495*1, IF(Gastos[[#This Row],[Divisa]]="U$D", I3495*$N$1, IF(Gastos[[#This Row],[Divisa]]="EUR", I3495*$N$2, 0)))</f>
        <v>3212624.89</v>
      </c>
      <c r="K3495" s="61">
        <f>Gastos[[#This Row],[Importe AR$]]/$N$1</f>
        <v>2120.5444818481851</v>
      </c>
      <c r="M3495" s="76">
        <v>46196</v>
      </c>
      <c r="N3495" s="50">
        <f>IF(Gastos[[#This Row],[Fecha_Cheque]]&gt;0,WEEKNUM(Gastos[[#This Row],[Fecha_Cheque]]),MID(Gastos[[#This Row],[Semana]],6,2))</f>
        <v>26</v>
      </c>
      <c r="O3495" t="s">
        <v>3656</v>
      </c>
      <c r="P3495" t="s">
        <v>27</v>
      </c>
    </row>
    <row r="3496" spans="1:16" hidden="1" x14ac:dyDescent="0.25">
      <c r="A3496" s="3" t="s">
        <v>3641</v>
      </c>
      <c r="B3496" t="s">
        <v>839</v>
      </c>
      <c r="C3496" t="s">
        <v>3613</v>
      </c>
      <c r="D3496" t="s">
        <v>26</v>
      </c>
      <c r="E3496" t="s">
        <v>225</v>
      </c>
      <c r="F3496">
        <v>1</v>
      </c>
      <c r="G3496" s="3" t="s">
        <v>32</v>
      </c>
      <c r="H3496" s="51" t="s">
        <v>15</v>
      </c>
      <c r="I3496" s="17">
        <v>5772.5</v>
      </c>
      <c r="J3496" s="17">
        <f>IF(Gastos[[#This Row],[Divisa]]="$", I3496*1, IF(Gastos[[#This Row],[Divisa]]="U$D", I3496*$N$1, IF(Gastos[[#This Row],[Divisa]]="EUR", I3496*$N$2, 0)))</f>
        <v>5772.5</v>
      </c>
      <c r="K3496" s="61">
        <f>Gastos[[#This Row],[Importe AR$]]/$N$1</f>
        <v>3.8102310231023102</v>
      </c>
      <c r="L3496" t="s">
        <v>340</v>
      </c>
      <c r="M3496" s="76"/>
      <c r="N3496" s="50" t="str">
        <f>IF(Gastos[[#This Row],[Fecha_Cheque]]&gt;0,WEEKNUM(Gastos[[#This Row],[Fecha_Cheque]]),MID(Gastos[[#This Row],[Semana]],6,2))</f>
        <v>27</v>
      </c>
      <c r="O3496" t="s">
        <v>3656</v>
      </c>
      <c r="P3496" t="s">
        <v>27</v>
      </c>
    </row>
    <row r="3497" spans="1:16" hidden="1" x14ac:dyDescent="0.25">
      <c r="A3497" s="3" t="s">
        <v>3718</v>
      </c>
      <c r="B3497" t="s">
        <v>3754</v>
      </c>
      <c r="C3497" t="s">
        <v>155</v>
      </c>
      <c r="D3497" t="s">
        <v>26</v>
      </c>
      <c r="E3497" t="s">
        <v>42</v>
      </c>
      <c r="F3497">
        <v>1</v>
      </c>
      <c r="G3497" s="3" t="s">
        <v>4</v>
      </c>
      <c r="H3497" s="51" t="s">
        <v>15</v>
      </c>
      <c r="I3497" s="17">
        <v>60000.06</v>
      </c>
      <c r="J3497" s="17">
        <f>IF(Gastos[[#This Row],[Divisa]]="$", I3497*1, IF(Gastos[[#This Row],[Divisa]]="U$D", I3497*$N$1, IF(Gastos[[#This Row],[Divisa]]="EUR", I3497*$N$2, 0)))</f>
        <v>60000.06</v>
      </c>
      <c r="K3497" s="61">
        <f>Gastos[[#This Row],[Importe AR$]]/$N$1</f>
        <v>39.603999999999999</v>
      </c>
      <c r="M3497" s="76"/>
      <c r="N3497" s="50" t="str">
        <f>IF(Gastos[[#This Row],[Fecha_Cheque]]&gt;0,WEEKNUM(Gastos[[#This Row],[Fecha_Cheque]]),MID(Gastos[[#This Row],[Semana]],6,2))</f>
        <v>28</v>
      </c>
      <c r="O3497" t="s">
        <v>3755</v>
      </c>
      <c r="P3497" t="s">
        <v>27</v>
      </c>
    </row>
    <row r="3498" spans="1:16" hidden="1" x14ac:dyDescent="0.25">
      <c r="A3498" s="3" t="s">
        <v>3641</v>
      </c>
      <c r="B3498" t="s">
        <v>871</v>
      </c>
      <c r="C3498" t="s">
        <v>3705</v>
      </c>
      <c r="D3498" t="s">
        <v>26</v>
      </c>
      <c r="E3498" t="s">
        <v>42</v>
      </c>
      <c r="F3498">
        <v>1</v>
      </c>
      <c r="G3498" s="3" t="s">
        <v>4</v>
      </c>
      <c r="H3498" s="51" t="s">
        <v>15</v>
      </c>
      <c r="I3498" s="17">
        <v>11000</v>
      </c>
      <c r="J3498" s="17">
        <f>IF(Gastos[[#This Row],[Divisa]]="$", I3498*1, IF(Gastos[[#This Row],[Divisa]]="U$D", I3498*$N$1, IF(Gastos[[#This Row],[Divisa]]="EUR", I3498*$N$2, 0)))</f>
        <v>11000</v>
      </c>
      <c r="K3498" s="61">
        <f>Gastos[[#This Row],[Importe AR$]]/$N$1</f>
        <v>7.2607260726072607</v>
      </c>
      <c r="M3498" s="76"/>
      <c r="N3498" s="50" t="str">
        <f>IF(Gastos[[#This Row],[Fecha_Cheque]]&gt;0,WEEKNUM(Gastos[[#This Row],[Fecha_Cheque]]),MID(Gastos[[#This Row],[Semana]],6,2))</f>
        <v>27</v>
      </c>
      <c r="O3498" t="s">
        <v>3706</v>
      </c>
      <c r="P3498" t="s">
        <v>27</v>
      </c>
    </row>
    <row r="3499" spans="1:16" x14ac:dyDescent="0.25">
      <c r="A3499" s="3" t="s">
        <v>3990</v>
      </c>
      <c r="B3499" t="s">
        <v>327</v>
      </c>
      <c r="C3499" t="s">
        <v>331</v>
      </c>
      <c r="D3499" t="s">
        <v>26</v>
      </c>
      <c r="E3499" t="s">
        <v>62</v>
      </c>
      <c r="F3499">
        <v>1</v>
      </c>
      <c r="G3499" s="3" t="s">
        <v>5</v>
      </c>
      <c r="H3499" s="51" t="s">
        <v>15</v>
      </c>
      <c r="I3499" s="17">
        <v>1245150</v>
      </c>
      <c r="J3499" s="17">
        <f>IF(Gastos[[#This Row],[Divisa]]="$", I3499*1, IF(Gastos[[#This Row],[Divisa]]="U$D", I3499*$N$1, IF(Gastos[[#This Row],[Divisa]]="EUR", I3499*$N$2, 0)))</f>
        <v>1245150</v>
      </c>
      <c r="K3499" s="61">
        <f>Gastos[[#This Row],[Importe AR$]]/$N$1</f>
        <v>821.88118811881191</v>
      </c>
      <c r="M3499" s="76"/>
      <c r="N3499" s="50" t="str">
        <f>IF(Gastos[[#This Row],[Fecha_Cheque]]&gt;0,WEEKNUM(Gastos[[#This Row],[Fecha_Cheque]]),MID(Gastos[[#This Row],[Semana]],6,2))</f>
        <v>32</v>
      </c>
      <c r="P3499" t="s">
        <v>3991</v>
      </c>
    </row>
    <row r="3500" spans="1:16" x14ac:dyDescent="0.25">
      <c r="A3500" s="3" t="s">
        <v>3990</v>
      </c>
      <c r="B3500" t="s">
        <v>390</v>
      </c>
      <c r="C3500" t="s">
        <v>3148</v>
      </c>
      <c r="D3500" t="s">
        <v>26</v>
      </c>
      <c r="E3500" t="s">
        <v>62</v>
      </c>
      <c r="F3500">
        <v>1</v>
      </c>
      <c r="G3500" s="3" t="s">
        <v>32</v>
      </c>
      <c r="H3500" s="53" t="s">
        <v>15</v>
      </c>
      <c r="I3500" s="17">
        <v>4552979.5599999996</v>
      </c>
      <c r="J3500" s="17">
        <f>IF(Gastos[[#This Row],[Divisa]]="$", I3500*1, IF(Gastos[[#This Row],[Divisa]]="U$D", I3500*$N$1, IF(Gastos[[#This Row],[Divisa]]="EUR", I3500*$N$2, 0)))</f>
        <v>4552979.5599999996</v>
      </c>
      <c r="K3500" s="61">
        <f>Gastos[[#This Row],[Importe AR$]]/$N$1</f>
        <v>3005.26703630363</v>
      </c>
      <c r="M3500" s="76"/>
      <c r="N3500" s="50" t="str">
        <f>IF(Gastos[[#This Row],[Fecha_Cheque]]&gt;0,WEEKNUM(Gastos[[#This Row],[Fecha_Cheque]]),MID(Gastos[[#This Row],[Semana]],6,2))</f>
        <v>32</v>
      </c>
    </row>
    <row r="3501" spans="1:16" hidden="1" x14ac:dyDescent="0.25">
      <c r="A3501" s="3" t="s">
        <v>3718</v>
      </c>
      <c r="B3501" t="s">
        <v>698</v>
      </c>
      <c r="C3501" t="s">
        <v>3720</v>
      </c>
      <c r="D3501" t="s">
        <v>26</v>
      </c>
      <c r="E3501" t="s">
        <v>42</v>
      </c>
      <c r="F3501">
        <v>1</v>
      </c>
      <c r="G3501" s="3" t="s">
        <v>4</v>
      </c>
      <c r="H3501" s="51" t="s">
        <v>15</v>
      </c>
      <c r="I3501" s="17">
        <v>35500.01</v>
      </c>
      <c r="J3501" s="17">
        <f>IF(Gastos[[#This Row],[Divisa]]="$", I3501*1, IF(Gastos[[#This Row],[Divisa]]="U$D", I3501*$N$1, IF(Gastos[[#This Row],[Divisa]]="EUR", I3501*$N$2, 0)))</f>
        <v>35500.01</v>
      </c>
      <c r="K3501" s="61">
        <f>Gastos[[#This Row],[Importe AR$]]/$N$1</f>
        <v>23.432349834983501</v>
      </c>
      <c r="M3501" s="76"/>
      <c r="N3501" s="50" t="str">
        <f>IF(Gastos[[#This Row],[Fecha_Cheque]]&gt;0,WEEKNUM(Gastos[[#This Row],[Fecha_Cheque]]),MID(Gastos[[#This Row],[Semana]],6,2))</f>
        <v>28</v>
      </c>
      <c r="O3501" t="s">
        <v>3721</v>
      </c>
      <c r="P3501" t="s">
        <v>27</v>
      </c>
    </row>
    <row r="3502" spans="1:16" hidden="1" x14ac:dyDescent="0.25">
      <c r="A3502" s="3" t="s">
        <v>3842</v>
      </c>
      <c r="B3502" t="s">
        <v>483</v>
      </c>
      <c r="C3502" t="s">
        <v>155</v>
      </c>
      <c r="D3502" t="s">
        <v>26</v>
      </c>
      <c r="E3502" t="s">
        <v>42</v>
      </c>
      <c r="F3502">
        <v>1</v>
      </c>
      <c r="G3502" s="3" t="s">
        <v>4</v>
      </c>
      <c r="H3502" s="53" t="s">
        <v>15</v>
      </c>
      <c r="I3502" s="17">
        <v>160008</v>
      </c>
      <c r="J3502" s="17">
        <f>IF(Gastos[[#This Row],[Divisa]]="$", I3502*1, IF(Gastos[[#This Row],[Divisa]]="U$D", I3502*$N$1, IF(Gastos[[#This Row],[Divisa]]="EUR", I3502*$N$2, 0)))</f>
        <v>160008</v>
      </c>
      <c r="K3502" s="61">
        <f>Gastos[[#This Row],[Importe AR$]]/$N$1</f>
        <v>105.61584158415842</v>
      </c>
      <c r="L3502" t="s">
        <v>3177</v>
      </c>
      <c r="M3502" s="76"/>
      <c r="N3502" s="50" t="str">
        <f>IF(Gastos[[#This Row],[Fecha_Cheque]]&gt;0,WEEKNUM(Gastos[[#This Row],[Fecha_Cheque]]),MID(Gastos[[#This Row],[Semana]],6,2))</f>
        <v>30</v>
      </c>
      <c r="O3502" t="s">
        <v>3883</v>
      </c>
      <c r="P3502" t="s">
        <v>27</v>
      </c>
    </row>
    <row r="3503" spans="1:16" hidden="1" x14ac:dyDescent="0.25">
      <c r="A3503" s="3" t="s">
        <v>3718</v>
      </c>
      <c r="B3503" t="s">
        <v>3761</v>
      </c>
      <c r="C3503" t="s">
        <v>666</v>
      </c>
      <c r="D3503" t="s">
        <v>26</v>
      </c>
      <c r="E3503" t="s">
        <v>31</v>
      </c>
      <c r="F3503">
        <v>1</v>
      </c>
      <c r="G3503" s="3" t="s">
        <v>5</v>
      </c>
      <c r="H3503" s="51" t="s">
        <v>15</v>
      </c>
      <c r="I3503" s="17">
        <v>275535.15000000002</v>
      </c>
      <c r="J3503" s="17">
        <f>IF(Gastos[[#This Row],[Divisa]]="$", I3503*1, IF(Gastos[[#This Row],[Divisa]]="U$D", I3503*$N$1, IF(Gastos[[#This Row],[Divisa]]="EUR", I3503*$N$2, 0)))</f>
        <v>275535.15000000002</v>
      </c>
      <c r="K3503" s="61">
        <f>Gastos[[#This Row],[Importe AR$]]/$N$1</f>
        <v>181.87138613861387</v>
      </c>
      <c r="M3503" s="76"/>
      <c r="N3503" s="50" t="str">
        <f>IF(Gastos[[#This Row],[Fecha_Cheque]]&gt;0,WEEKNUM(Gastos[[#This Row],[Fecha_Cheque]]),MID(Gastos[[#This Row],[Semana]],6,2))</f>
        <v>28</v>
      </c>
      <c r="O3503" t="s">
        <v>3762</v>
      </c>
      <c r="P3503" t="s">
        <v>27</v>
      </c>
    </row>
    <row r="3504" spans="1:16" hidden="1" x14ac:dyDescent="0.25">
      <c r="A3504" s="3" t="s">
        <v>3718</v>
      </c>
      <c r="B3504" t="s">
        <v>3739</v>
      </c>
      <c r="C3504" t="s">
        <v>2181</v>
      </c>
      <c r="D3504" t="s">
        <v>26</v>
      </c>
      <c r="E3504" t="s">
        <v>62</v>
      </c>
      <c r="F3504">
        <v>1</v>
      </c>
      <c r="G3504" s="3" t="s">
        <v>32</v>
      </c>
      <c r="H3504" s="51" t="s">
        <v>15</v>
      </c>
      <c r="I3504" s="17">
        <v>2618473</v>
      </c>
      <c r="J3504" s="17">
        <f>IF(Gastos[[#This Row],[Divisa]]="$", I3504*1, IF(Gastos[[#This Row],[Divisa]]="U$D", I3504*$N$1, IF(Gastos[[#This Row],[Divisa]]="EUR", I3504*$N$2, 0)))</f>
        <v>2618473</v>
      </c>
      <c r="K3504" s="61">
        <f>Gastos[[#This Row],[Importe AR$]]/$N$1</f>
        <v>1728.3650165016502</v>
      </c>
      <c r="M3504" s="76">
        <v>46239</v>
      </c>
      <c r="N3504" s="50">
        <f>IF(Gastos[[#This Row],[Fecha_Cheque]]&gt;0,WEEKNUM(Gastos[[#This Row],[Fecha_Cheque]]),MID(Gastos[[#This Row],[Semana]],6,2))</f>
        <v>32</v>
      </c>
      <c r="O3504" t="s">
        <v>3740</v>
      </c>
      <c r="P3504" t="s">
        <v>27</v>
      </c>
    </row>
    <row r="3505" spans="1:16" hidden="1" x14ac:dyDescent="0.25">
      <c r="A3505" s="3" t="s">
        <v>3591</v>
      </c>
      <c r="B3505" t="s">
        <v>3024</v>
      </c>
      <c r="C3505" t="s">
        <v>1948</v>
      </c>
      <c r="D3505" t="s">
        <v>26</v>
      </c>
      <c r="E3505" t="s">
        <v>42</v>
      </c>
      <c r="F3505">
        <v>1</v>
      </c>
      <c r="G3505" s="3" t="s">
        <v>4</v>
      </c>
      <c r="H3505" s="51" t="s">
        <v>15</v>
      </c>
      <c r="I3505" s="17">
        <v>6900.01</v>
      </c>
      <c r="J3505" s="17">
        <f>IF(Gastos[[#This Row],[Divisa]]="$", I3505*1, IF(Gastos[[#This Row],[Divisa]]="U$D", I3505*$N$1, IF(Gastos[[#This Row],[Divisa]]="EUR", I3505*$N$2, 0)))</f>
        <v>6900.01</v>
      </c>
      <c r="K3505" s="61">
        <f>Gastos[[#This Row],[Importe AR$]]/$N$1</f>
        <v>4.5544620462046206</v>
      </c>
      <c r="M3505" s="76"/>
      <c r="N3505" s="50" t="str">
        <f>IF(Gastos[[#This Row],[Fecha_Cheque]]&gt;0,WEEKNUM(Gastos[[#This Row],[Fecha_Cheque]]),MID(Gastos[[#This Row],[Semana]],6,2))</f>
        <v>26</v>
      </c>
      <c r="O3505" t="s">
        <v>3608</v>
      </c>
      <c r="P3505" t="s">
        <v>27</v>
      </c>
    </row>
    <row r="3506" spans="1:16" hidden="1" x14ac:dyDescent="0.25">
      <c r="A3506" s="3" t="s">
        <v>3440</v>
      </c>
      <c r="B3506" t="s">
        <v>1854</v>
      </c>
      <c r="C3506" t="s">
        <v>2667</v>
      </c>
      <c r="D3506" t="s">
        <v>26</v>
      </c>
      <c r="E3506" t="s">
        <v>42</v>
      </c>
      <c r="F3506">
        <v>2</v>
      </c>
      <c r="G3506" s="3" t="s">
        <v>4</v>
      </c>
      <c r="H3506" s="51" t="s">
        <v>15</v>
      </c>
      <c r="I3506" s="17">
        <v>500000</v>
      </c>
      <c r="J3506" s="17">
        <f>IF(Gastos[[#This Row],[Divisa]]="$", I3506*1, IF(Gastos[[#This Row],[Divisa]]="U$D", I3506*$N$1, IF(Gastos[[#This Row],[Divisa]]="EUR", I3506*$N$2, 0)))</f>
        <v>500000</v>
      </c>
      <c r="K3506" s="61">
        <f>Gastos[[#This Row],[Importe AR$]]/$N$1</f>
        <v>330.03300330033005</v>
      </c>
      <c r="M3506" s="76"/>
      <c r="N3506" s="50" t="str">
        <f>IF(Gastos[[#This Row],[Fecha_Cheque]]&gt;0,WEEKNUM(Gastos[[#This Row],[Fecha_Cheque]]),MID(Gastos[[#This Row],[Semana]],6,2))</f>
        <v>25</v>
      </c>
      <c r="O3506" t="s">
        <v>3584</v>
      </c>
      <c r="P3506" t="s">
        <v>27</v>
      </c>
    </row>
    <row r="3507" spans="1:16" hidden="1" x14ac:dyDescent="0.25">
      <c r="A3507" s="3" t="s">
        <v>3641</v>
      </c>
      <c r="B3507" t="s">
        <v>3666</v>
      </c>
      <c r="C3507" t="s">
        <v>3667</v>
      </c>
      <c r="D3507" t="s">
        <v>26</v>
      </c>
      <c r="E3507" t="s">
        <v>31</v>
      </c>
      <c r="F3507">
        <v>1</v>
      </c>
      <c r="G3507" s="3" t="s">
        <v>32</v>
      </c>
      <c r="H3507" s="51" t="s">
        <v>15</v>
      </c>
      <c r="I3507" s="17">
        <v>1984540.96</v>
      </c>
      <c r="J3507" s="17">
        <f>IF(Gastos[[#This Row],[Divisa]]="$", I3507*1, IF(Gastos[[#This Row],[Divisa]]="U$D", I3507*$N$1, IF(Gastos[[#This Row],[Divisa]]="EUR", I3507*$N$2, 0)))</f>
        <v>1984540.96</v>
      </c>
      <c r="K3507" s="61">
        <f>Gastos[[#This Row],[Importe AR$]]/$N$1</f>
        <v>1309.9280264026402</v>
      </c>
      <c r="M3507" s="76">
        <v>46223</v>
      </c>
      <c r="N3507" s="50">
        <f>IF(Gastos[[#This Row],[Fecha_Cheque]]&gt;0,WEEKNUM(Gastos[[#This Row],[Fecha_Cheque]]),MID(Gastos[[#This Row],[Semana]],6,2))</f>
        <v>30</v>
      </c>
      <c r="O3507" t="s">
        <v>3668</v>
      </c>
      <c r="P3507" t="s">
        <v>27</v>
      </c>
    </row>
    <row r="3508" spans="1:16" hidden="1" x14ac:dyDescent="0.25">
      <c r="A3508" s="3" t="s">
        <v>3641</v>
      </c>
      <c r="B3508" t="s">
        <v>3666</v>
      </c>
      <c r="C3508" t="s">
        <v>3667</v>
      </c>
      <c r="D3508" t="s">
        <v>26</v>
      </c>
      <c r="E3508" t="s">
        <v>31</v>
      </c>
      <c r="F3508">
        <v>1</v>
      </c>
      <c r="G3508" s="3" t="s">
        <v>32</v>
      </c>
      <c r="H3508" s="51" t="s">
        <v>15</v>
      </c>
      <c r="I3508" s="17">
        <v>1984540.96</v>
      </c>
      <c r="J3508" s="17">
        <f>IF(Gastos[[#This Row],[Divisa]]="$", I3508*1, IF(Gastos[[#This Row],[Divisa]]="U$D", I3508*$N$1, IF(Gastos[[#This Row],[Divisa]]="EUR", I3508*$N$2, 0)))</f>
        <v>1984540.96</v>
      </c>
      <c r="K3508" s="61">
        <f>Gastos[[#This Row],[Importe AR$]]/$N$1</f>
        <v>1309.9280264026402</v>
      </c>
      <c r="M3508" s="76">
        <v>46254</v>
      </c>
      <c r="N3508" s="50">
        <f>IF(Gastos[[#This Row],[Fecha_Cheque]]&gt;0,WEEKNUM(Gastos[[#This Row],[Fecha_Cheque]]),MID(Gastos[[#This Row],[Semana]],6,2))</f>
        <v>34</v>
      </c>
      <c r="O3508" t="s">
        <v>3668</v>
      </c>
      <c r="P3508" t="s">
        <v>27</v>
      </c>
    </row>
    <row r="3509" spans="1:16" hidden="1" x14ac:dyDescent="0.25">
      <c r="A3509" s="3" t="s">
        <v>2726</v>
      </c>
      <c r="B3509" t="s">
        <v>2377</v>
      </c>
      <c r="C3509" t="s">
        <v>3339</v>
      </c>
      <c r="D3509" t="s">
        <v>61</v>
      </c>
      <c r="E3509" t="s">
        <v>31</v>
      </c>
      <c r="F3509">
        <v>1</v>
      </c>
      <c r="G3509" s="3" t="s">
        <v>32</v>
      </c>
      <c r="H3509" s="53" t="s">
        <v>15</v>
      </c>
      <c r="I3509" s="17">
        <v>2075080</v>
      </c>
      <c r="J3509" s="17">
        <f>IF(Gastos[[#This Row],[Divisa]]="$", I3509*1, IF(Gastos[[#This Row],[Divisa]]="U$D", I3509*$N$1, IF(Gastos[[#This Row],[Divisa]]="EUR", I3509*$N$2, 0)))</f>
        <v>2075080</v>
      </c>
      <c r="K3509" s="61">
        <f>Gastos[[#This Row],[Importe AR$]]/$N$1</f>
        <v>1369.6897689768978</v>
      </c>
      <c r="M3509" s="76">
        <v>46215</v>
      </c>
      <c r="N3509" s="50">
        <f>IF(Gastos[[#This Row],[Fecha_Cheque]]&gt;0,WEEKNUM(Gastos[[#This Row],[Fecha_Cheque]]),MID(Gastos[[#This Row],[Semana]],6,2))</f>
        <v>29</v>
      </c>
      <c r="O3509" t="s">
        <v>3448</v>
      </c>
      <c r="P3509" t="s">
        <v>27</v>
      </c>
    </row>
    <row r="3510" spans="1:16" hidden="1" x14ac:dyDescent="0.25">
      <c r="A3510" s="3" t="s">
        <v>2726</v>
      </c>
      <c r="B3510" t="s">
        <v>2377</v>
      </c>
      <c r="C3510" t="s">
        <v>3339</v>
      </c>
      <c r="D3510" t="s">
        <v>61</v>
      </c>
      <c r="E3510" t="s">
        <v>31</v>
      </c>
      <c r="F3510">
        <v>1</v>
      </c>
      <c r="G3510" s="3" t="s">
        <v>32</v>
      </c>
      <c r="H3510" s="53" t="s">
        <v>15</v>
      </c>
      <c r="I3510" s="17">
        <v>30320</v>
      </c>
      <c r="J3510" s="17">
        <f>IF(Gastos[[#This Row],[Divisa]]="$", I3510*1, IF(Gastos[[#This Row],[Divisa]]="U$D", I3510*$N$1, IF(Gastos[[#This Row],[Divisa]]="EUR", I3510*$N$2, 0)))</f>
        <v>30320</v>
      </c>
      <c r="K3510" s="61">
        <f>Gastos[[#This Row],[Importe AR$]]/$N$1</f>
        <v>20.013201320132012</v>
      </c>
      <c r="L3510" t="s">
        <v>340</v>
      </c>
      <c r="M3510" s="76"/>
      <c r="N3510" s="50" t="str">
        <f>IF(Gastos[[#This Row],[Fecha_Cheque]]&gt;0,WEEKNUM(Gastos[[#This Row],[Fecha_Cheque]]),MID(Gastos[[#This Row],[Semana]],6,2))</f>
        <v>24</v>
      </c>
      <c r="O3510" t="s">
        <v>3448</v>
      </c>
      <c r="P3510" t="s">
        <v>27</v>
      </c>
    </row>
    <row r="3511" spans="1:16" hidden="1" x14ac:dyDescent="0.25">
      <c r="A3511" s="3" t="s">
        <v>2726</v>
      </c>
      <c r="B3511" t="s">
        <v>3449</v>
      </c>
      <c r="C3511" t="s">
        <v>3450</v>
      </c>
      <c r="D3511" t="s">
        <v>26</v>
      </c>
      <c r="E3511" t="s">
        <v>42</v>
      </c>
      <c r="F3511">
        <v>1</v>
      </c>
      <c r="G3511" s="3" t="s">
        <v>4</v>
      </c>
      <c r="H3511" s="51" t="s">
        <v>15</v>
      </c>
      <c r="I3511" s="17">
        <v>3500</v>
      </c>
      <c r="J3511" s="17">
        <f>IF(Gastos[[#This Row],[Divisa]]="$", I3511*1, IF(Gastos[[#This Row],[Divisa]]="U$D", I3511*$N$1, IF(Gastos[[#This Row],[Divisa]]="EUR", I3511*$N$2, 0)))</f>
        <v>3500</v>
      </c>
      <c r="K3511" s="61">
        <f>Gastos[[#This Row],[Importe AR$]]/$N$1</f>
        <v>2.3102310231023102</v>
      </c>
      <c r="M3511" s="76"/>
      <c r="N3511" s="50" t="str">
        <f>IF(Gastos[[#This Row],[Fecha_Cheque]]&gt;0,WEEKNUM(Gastos[[#This Row],[Fecha_Cheque]]),MID(Gastos[[#This Row],[Semana]],6,2))</f>
        <v>24</v>
      </c>
      <c r="O3511" t="s">
        <v>3451</v>
      </c>
      <c r="P3511" t="s">
        <v>27</v>
      </c>
    </row>
    <row r="3512" spans="1:16" hidden="1" x14ac:dyDescent="0.25">
      <c r="A3512" s="3" t="s">
        <v>3641</v>
      </c>
      <c r="B3512" t="s">
        <v>3666</v>
      </c>
      <c r="C3512" t="s">
        <v>3667</v>
      </c>
      <c r="D3512" t="s">
        <v>26</v>
      </c>
      <c r="E3512" t="s">
        <v>31</v>
      </c>
      <c r="F3512">
        <v>1</v>
      </c>
      <c r="G3512" s="3" t="s">
        <v>32</v>
      </c>
      <c r="H3512" s="51" t="s">
        <v>15</v>
      </c>
      <c r="I3512" s="17">
        <v>1984540.96</v>
      </c>
      <c r="J3512" s="17">
        <f>IF(Gastos[[#This Row],[Divisa]]="$", I3512*1, IF(Gastos[[#This Row],[Divisa]]="U$D", I3512*$N$1, IF(Gastos[[#This Row],[Divisa]]="EUR", I3512*$N$2, 0)))</f>
        <v>1984540.96</v>
      </c>
      <c r="K3512" s="61">
        <f>Gastos[[#This Row],[Importe AR$]]/$N$1</f>
        <v>1309.9280264026402</v>
      </c>
      <c r="M3512" s="76">
        <v>46285</v>
      </c>
      <c r="N3512" s="50">
        <f>IF(Gastos[[#This Row],[Fecha_Cheque]]&gt;0,WEEKNUM(Gastos[[#This Row],[Fecha_Cheque]]),MID(Gastos[[#This Row],[Semana]],6,2))</f>
        <v>39</v>
      </c>
      <c r="O3512" t="s">
        <v>3668</v>
      </c>
      <c r="P3512" t="s">
        <v>27</v>
      </c>
    </row>
    <row r="3513" spans="1:16" hidden="1" x14ac:dyDescent="0.25">
      <c r="A3513" s="3" t="s">
        <v>3641</v>
      </c>
      <c r="B3513" t="s">
        <v>3666</v>
      </c>
      <c r="C3513" t="s">
        <v>3667</v>
      </c>
      <c r="D3513" t="s">
        <v>26</v>
      </c>
      <c r="E3513" t="s">
        <v>31</v>
      </c>
      <c r="F3513">
        <v>1</v>
      </c>
      <c r="G3513" s="3" t="s">
        <v>32</v>
      </c>
      <c r="H3513" s="51" t="s">
        <v>15</v>
      </c>
      <c r="I3513" s="17">
        <v>1984540.96</v>
      </c>
      <c r="J3513" s="17">
        <f>IF(Gastos[[#This Row],[Divisa]]="$", I3513*1, IF(Gastos[[#This Row],[Divisa]]="U$D", I3513*$N$1, IF(Gastos[[#This Row],[Divisa]]="EUR", I3513*$N$2, 0)))</f>
        <v>1984540.96</v>
      </c>
      <c r="K3513" s="61">
        <f>Gastos[[#This Row],[Importe AR$]]/$N$1</f>
        <v>1309.9280264026402</v>
      </c>
      <c r="M3513" s="76">
        <v>46315</v>
      </c>
      <c r="N3513" s="50">
        <f>IF(Gastos[[#This Row],[Fecha_Cheque]]&gt;0,WEEKNUM(Gastos[[#This Row],[Fecha_Cheque]]),MID(Gastos[[#This Row],[Semana]],6,2))</f>
        <v>43</v>
      </c>
      <c r="O3513" t="s">
        <v>3668</v>
      </c>
      <c r="P3513" t="s">
        <v>27</v>
      </c>
    </row>
    <row r="3514" spans="1:16" hidden="1" x14ac:dyDescent="0.25">
      <c r="A3514" s="3" t="s">
        <v>3641</v>
      </c>
      <c r="B3514" t="s">
        <v>3666</v>
      </c>
      <c r="C3514" t="s">
        <v>3667</v>
      </c>
      <c r="D3514" t="s">
        <v>26</v>
      </c>
      <c r="E3514" t="s">
        <v>31</v>
      </c>
      <c r="F3514">
        <v>1</v>
      </c>
      <c r="G3514" s="3" t="s">
        <v>32</v>
      </c>
      <c r="H3514" s="51" t="s">
        <v>15</v>
      </c>
      <c r="I3514" s="17">
        <v>1984540.96</v>
      </c>
      <c r="J3514" s="17">
        <f>IF(Gastos[[#This Row],[Divisa]]="$", I3514*1, IF(Gastos[[#This Row],[Divisa]]="U$D", I3514*$N$1, IF(Gastos[[#This Row],[Divisa]]="EUR", I3514*$N$2, 0)))</f>
        <v>1984540.96</v>
      </c>
      <c r="K3514" s="61">
        <f>Gastos[[#This Row],[Importe AR$]]/$N$1</f>
        <v>1309.9280264026402</v>
      </c>
      <c r="M3514" s="76">
        <v>46346</v>
      </c>
      <c r="N3514" s="50">
        <f>IF(Gastos[[#This Row],[Fecha_Cheque]]&gt;0,WEEKNUM(Gastos[[#This Row],[Fecha_Cheque]]),MID(Gastos[[#This Row],[Semana]],6,2))</f>
        <v>47</v>
      </c>
      <c r="O3514" t="s">
        <v>3668</v>
      </c>
      <c r="P3514" t="s">
        <v>27</v>
      </c>
    </row>
    <row r="3515" spans="1:16" hidden="1" x14ac:dyDescent="0.25">
      <c r="A3515" s="3" t="s">
        <v>3440</v>
      </c>
      <c r="B3515" t="s">
        <v>1914</v>
      </c>
      <c r="C3515" t="s">
        <v>1915</v>
      </c>
      <c r="D3515" t="s">
        <v>61</v>
      </c>
      <c r="E3515" t="s">
        <v>62</v>
      </c>
      <c r="F3515">
        <v>1</v>
      </c>
      <c r="G3515" s="3" t="s">
        <v>32</v>
      </c>
      <c r="H3515" s="51" t="s">
        <v>15</v>
      </c>
      <c r="I3515" s="17">
        <v>10876685</v>
      </c>
      <c r="J3515" s="17">
        <f>IF(Gastos[[#This Row],[Divisa]]="$", I3515*1, IF(Gastos[[#This Row],[Divisa]]="U$D", I3515*$N$1, IF(Gastos[[#This Row],[Divisa]]="EUR", I3515*$N$2, 0)))</f>
        <v>10876685</v>
      </c>
      <c r="K3515" s="61">
        <f>Gastos[[#This Row],[Importe AR$]]/$N$1</f>
        <v>7179.3300330033007</v>
      </c>
      <c r="M3515" s="76">
        <v>46254</v>
      </c>
      <c r="N3515" s="50">
        <f>IF(Gastos[[#This Row],[Fecha_Cheque]]&gt;0,WEEKNUM(Gastos[[#This Row],[Fecha_Cheque]]),MID(Gastos[[#This Row],[Semana]],6,2))</f>
        <v>34</v>
      </c>
      <c r="O3515" t="s">
        <v>3559</v>
      </c>
      <c r="P3515" t="s">
        <v>27</v>
      </c>
    </row>
    <row r="3516" spans="1:16" hidden="1" x14ac:dyDescent="0.25">
      <c r="A3516" s="3" t="s">
        <v>3440</v>
      </c>
      <c r="B3516" t="s">
        <v>1914</v>
      </c>
      <c r="C3516" t="s">
        <v>1915</v>
      </c>
      <c r="D3516" t="s">
        <v>61</v>
      </c>
      <c r="E3516" t="s">
        <v>62</v>
      </c>
      <c r="F3516">
        <v>1</v>
      </c>
      <c r="G3516" s="3" t="s">
        <v>32</v>
      </c>
      <c r="H3516" s="51" t="s">
        <v>15</v>
      </c>
      <c r="I3516" s="17">
        <v>10876685</v>
      </c>
      <c r="J3516" s="17">
        <f>IF(Gastos[[#This Row],[Divisa]]="$", I3516*1, IF(Gastos[[#This Row],[Divisa]]="U$D", I3516*$N$1, IF(Gastos[[#This Row],[Divisa]]="EUR", I3516*$N$2, 0)))</f>
        <v>10876685</v>
      </c>
      <c r="K3516" s="61">
        <f>Gastos[[#This Row],[Importe AR$]]/$N$1</f>
        <v>7179.3300330033007</v>
      </c>
      <c r="M3516" s="76">
        <v>46266</v>
      </c>
      <c r="N3516" s="50">
        <f>IF(Gastos[[#This Row],[Fecha_Cheque]]&gt;0,WEEKNUM(Gastos[[#This Row],[Fecha_Cheque]]),MID(Gastos[[#This Row],[Semana]],6,2))</f>
        <v>36</v>
      </c>
      <c r="O3516" t="s">
        <v>3559</v>
      </c>
      <c r="P3516" t="s">
        <v>27</v>
      </c>
    </row>
    <row r="3517" spans="1:16" hidden="1" x14ac:dyDescent="0.25">
      <c r="A3517" s="3" t="s">
        <v>2726</v>
      </c>
      <c r="B3517" t="s">
        <v>2508</v>
      </c>
      <c r="C3517" t="s">
        <v>574</v>
      </c>
      <c r="D3517" t="s">
        <v>26</v>
      </c>
      <c r="E3517" t="s">
        <v>225</v>
      </c>
      <c r="F3517">
        <v>1</v>
      </c>
      <c r="G3517" s="3" t="s">
        <v>32</v>
      </c>
      <c r="H3517" s="51" t="s">
        <v>15</v>
      </c>
      <c r="I3517" s="17">
        <v>2301114.13</v>
      </c>
      <c r="J3517" s="17">
        <f>IF(Gastos[[#This Row],[Divisa]]="$", I3517*1, IF(Gastos[[#This Row],[Divisa]]="U$D", I3517*$N$1, IF(Gastos[[#This Row],[Divisa]]="EUR", I3517*$N$2, 0)))</f>
        <v>2301114.13</v>
      </c>
      <c r="K3517" s="61">
        <f>Gastos[[#This Row],[Importe AR$]]/$N$1</f>
        <v>1518.8872145214521</v>
      </c>
      <c r="M3517" s="76">
        <v>46212</v>
      </c>
      <c r="N3517" s="50">
        <f>IF(Gastos[[#This Row],[Fecha_Cheque]]&gt;0,WEEKNUM(Gastos[[#This Row],[Fecha_Cheque]]),MID(Gastos[[#This Row],[Semana]],6,2))</f>
        <v>28</v>
      </c>
      <c r="O3517" t="s">
        <v>3452</v>
      </c>
      <c r="P3517" t="s">
        <v>27</v>
      </c>
    </row>
    <row r="3518" spans="1:16" hidden="1" x14ac:dyDescent="0.25">
      <c r="A3518" s="3" t="s">
        <v>2726</v>
      </c>
      <c r="B3518" t="s">
        <v>2508</v>
      </c>
      <c r="C3518" t="s">
        <v>574</v>
      </c>
      <c r="D3518" t="s">
        <v>26</v>
      </c>
      <c r="E3518" t="s">
        <v>225</v>
      </c>
      <c r="F3518">
        <v>1</v>
      </c>
      <c r="G3518" s="3" t="s">
        <v>32</v>
      </c>
      <c r="H3518" s="51" t="s">
        <v>15</v>
      </c>
      <c r="I3518" s="17">
        <v>37308.21</v>
      </c>
      <c r="J3518" s="17">
        <f>IF(Gastos[[#This Row],[Divisa]]="$", I3518*1, IF(Gastos[[#This Row],[Divisa]]="U$D", I3518*$N$1, IF(Gastos[[#This Row],[Divisa]]="EUR", I3518*$N$2, 0)))</f>
        <v>37308.21</v>
      </c>
      <c r="K3518" s="61">
        <f>Gastos[[#This Row],[Importe AR$]]/$N$1</f>
        <v>24.625881188118811</v>
      </c>
      <c r="L3518" t="s">
        <v>340</v>
      </c>
      <c r="M3518" s="76"/>
      <c r="N3518" s="50" t="str">
        <f>IF(Gastos[[#This Row],[Fecha_Cheque]]&gt;0,WEEKNUM(Gastos[[#This Row],[Fecha_Cheque]]),MID(Gastos[[#This Row],[Semana]],6,2))</f>
        <v>24</v>
      </c>
      <c r="O3518" t="s">
        <v>3452</v>
      </c>
      <c r="P3518" t="s">
        <v>27</v>
      </c>
    </row>
    <row r="3519" spans="1:16" hidden="1" x14ac:dyDescent="0.25">
      <c r="A3519" s="3" t="s">
        <v>2726</v>
      </c>
      <c r="B3519" t="s">
        <v>2978</v>
      </c>
      <c r="C3519" t="s">
        <v>3453</v>
      </c>
      <c r="D3519" t="s">
        <v>26</v>
      </c>
      <c r="E3519" t="s">
        <v>42</v>
      </c>
      <c r="F3519">
        <v>1</v>
      </c>
      <c r="G3519" s="3" t="s">
        <v>4</v>
      </c>
      <c r="H3519" s="51" t="s">
        <v>15</v>
      </c>
      <c r="I3519" s="17">
        <v>32000</v>
      </c>
      <c r="J3519" s="17">
        <f>IF(Gastos[[#This Row],[Divisa]]="$", I3519*1, IF(Gastos[[#This Row],[Divisa]]="U$D", I3519*$N$1, IF(Gastos[[#This Row],[Divisa]]="EUR", I3519*$N$2, 0)))</f>
        <v>32000</v>
      </c>
      <c r="K3519" s="61">
        <f>Gastos[[#This Row],[Importe AR$]]/$N$1</f>
        <v>21.122112211221122</v>
      </c>
      <c r="M3519" s="76"/>
      <c r="N3519" s="50" t="str">
        <f>IF(Gastos[[#This Row],[Fecha_Cheque]]&gt;0,WEEKNUM(Gastos[[#This Row],[Fecha_Cheque]]),MID(Gastos[[#This Row],[Semana]],6,2))</f>
        <v>24</v>
      </c>
      <c r="O3519" t="s">
        <v>3454</v>
      </c>
      <c r="P3519" t="s">
        <v>27</v>
      </c>
    </row>
    <row r="3520" spans="1:16" hidden="1" x14ac:dyDescent="0.25">
      <c r="A3520" s="3" t="s">
        <v>3440</v>
      </c>
      <c r="B3520" t="s">
        <v>1914</v>
      </c>
      <c r="C3520" t="s">
        <v>1915</v>
      </c>
      <c r="D3520" t="s">
        <v>61</v>
      </c>
      <c r="E3520" t="s">
        <v>62</v>
      </c>
      <c r="F3520">
        <v>1</v>
      </c>
      <c r="G3520" s="3" t="s">
        <v>32</v>
      </c>
      <c r="H3520" s="51" t="s">
        <v>15</v>
      </c>
      <c r="I3520" s="17">
        <v>10876685</v>
      </c>
      <c r="J3520" s="17">
        <f>IF(Gastos[[#This Row],[Divisa]]="$", I3520*1, IF(Gastos[[#This Row],[Divisa]]="U$D", I3520*$N$1, IF(Gastos[[#This Row],[Divisa]]="EUR", I3520*$N$2, 0)))</f>
        <v>10876685</v>
      </c>
      <c r="K3520" s="61">
        <f>Gastos[[#This Row],[Importe AR$]]/$N$1</f>
        <v>7179.3300330033007</v>
      </c>
      <c r="M3520" s="76">
        <v>46274</v>
      </c>
      <c r="N3520" s="50">
        <f>IF(Gastos[[#This Row],[Fecha_Cheque]]&gt;0,WEEKNUM(Gastos[[#This Row],[Fecha_Cheque]]),MID(Gastos[[#This Row],[Semana]],6,2))</f>
        <v>37</v>
      </c>
      <c r="O3520" t="s">
        <v>3559</v>
      </c>
      <c r="P3520" t="s">
        <v>27</v>
      </c>
    </row>
    <row r="3521" spans="1:16" hidden="1" x14ac:dyDescent="0.25">
      <c r="A3521" s="3" t="s">
        <v>3440</v>
      </c>
      <c r="B3521" t="s">
        <v>1914</v>
      </c>
      <c r="C3521" t="s">
        <v>1915</v>
      </c>
      <c r="D3521" t="s">
        <v>61</v>
      </c>
      <c r="E3521" t="s">
        <v>62</v>
      </c>
      <c r="F3521">
        <v>1</v>
      </c>
      <c r="G3521" s="3" t="s">
        <v>32</v>
      </c>
      <c r="H3521" s="51" t="s">
        <v>15</v>
      </c>
      <c r="I3521" s="17">
        <v>10876687.130000001</v>
      </c>
      <c r="J3521" s="17">
        <f>IF(Gastos[[#This Row],[Divisa]]="$", I3521*1, IF(Gastos[[#This Row],[Divisa]]="U$D", I3521*$N$1, IF(Gastos[[#This Row],[Divisa]]="EUR", I3521*$N$2, 0)))</f>
        <v>10876687.130000001</v>
      </c>
      <c r="K3521" s="61">
        <f>Gastos[[#This Row],[Importe AR$]]/$N$1</f>
        <v>7179.3314389438947</v>
      </c>
      <c r="M3521" s="76">
        <v>46284</v>
      </c>
      <c r="N3521" s="50">
        <f>IF(Gastos[[#This Row],[Fecha_Cheque]]&gt;0,WEEKNUM(Gastos[[#This Row],[Fecha_Cheque]]),MID(Gastos[[#This Row],[Semana]],6,2))</f>
        <v>38</v>
      </c>
      <c r="O3521" t="s">
        <v>3559</v>
      </c>
      <c r="P3521" t="s">
        <v>27</v>
      </c>
    </row>
    <row r="3522" spans="1:16" hidden="1" x14ac:dyDescent="0.25">
      <c r="A3522" s="3" t="s">
        <v>2726</v>
      </c>
      <c r="B3522" t="s">
        <v>2255</v>
      </c>
      <c r="C3522" t="s">
        <v>2692</v>
      </c>
      <c r="D3522" t="s">
        <v>26</v>
      </c>
      <c r="E3522" t="s">
        <v>31</v>
      </c>
      <c r="F3522">
        <v>1</v>
      </c>
      <c r="G3522" s="3" t="s">
        <v>5</v>
      </c>
      <c r="H3522" s="51" t="s">
        <v>15</v>
      </c>
      <c r="I3522" s="17">
        <v>672458.55</v>
      </c>
      <c r="J3522" s="17">
        <f>IF(Gastos[[#This Row],[Divisa]]="$", I3522*1, IF(Gastos[[#This Row],[Divisa]]="U$D", I3522*$N$1, IF(Gastos[[#This Row],[Divisa]]="EUR", I3522*$N$2, 0)))</f>
        <v>672458.55</v>
      </c>
      <c r="K3522" s="61">
        <f>Gastos[[#This Row],[Importe AR$]]/$N$1</f>
        <v>443.86702970297034</v>
      </c>
      <c r="M3522" s="76"/>
      <c r="N3522" s="50" t="str">
        <f>IF(Gastos[[#This Row],[Fecha_Cheque]]&gt;0,WEEKNUM(Gastos[[#This Row],[Fecha_Cheque]]),MID(Gastos[[#This Row],[Semana]],6,2))</f>
        <v>24</v>
      </c>
      <c r="O3522" t="s">
        <v>3455</v>
      </c>
      <c r="P3522" t="s">
        <v>27</v>
      </c>
    </row>
    <row r="3523" spans="1:16" hidden="1" x14ac:dyDescent="0.25">
      <c r="A3523" s="3" t="s">
        <v>2726</v>
      </c>
      <c r="B3523" t="s">
        <v>2255</v>
      </c>
      <c r="C3523" t="s">
        <v>2692</v>
      </c>
      <c r="D3523" t="s">
        <v>26</v>
      </c>
      <c r="E3523" t="s">
        <v>31</v>
      </c>
      <c r="F3523">
        <v>1</v>
      </c>
      <c r="G3523" s="3" t="s">
        <v>5</v>
      </c>
      <c r="H3523" s="51" t="s">
        <v>15</v>
      </c>
      <c r="I3523" s="17">
        <v>6746.53</v>
      </c>
      <c r="J3523" s="17">
        <f>IF(Gastos[[#This Row],[Divisa]]="$", I3523*1, IF(Gastos[[#This Row],[Divisa]]="U$D", I3523*$N$1, IF(Gastos[[#This Row],[Divisa]]="EUR", I3523*$N$2, 0)))</f>
        <v>6746.53</v>
      </c>
      <c r="K3523" s="61">
        <f>Gastos[[#This Row],[Importe AR$]]/$N$1</f>
        <v>4.4531551155115512</v>
      </c>
      <c r="L3523" t="s">
        <v>340</v>
      </c>
      <c r="M3523" s="76"/>
      <c r="N3523" s="50" t="str">
        <f>IF(Gastos[[#This Row],[Fecha_Cheque]]&gt;0,WEEKNUM(Gastos[[#This Row],[Fecha_Cheque]]),MID(Gastos[[#This Row],[Semana]],6,2))</f>
        <v>24</v>
      </c>
      <c r="O3523" t="s">
        <v>3455</v>
      </c>
      <c r="P3523" t="s">
        <v>27</v>
      </c>
    </row>
    <row r="3524" spans="1:16" hidden="1" x14ac:dyDescent="0.25">
      <c r="A3524" s="3" t="s">
        <v>2726</v>
      </c>
      <c r="B3524" t="s">
        <v>2151</v>
      </c>
      <c r="C3524" t="s">
        <v>3456</v>
      </c>
      <c r="D3524" t="s">
        <v>26</v>
      </c>
      <c r="E3524" t="s">
        <v>42</v>
      </c>
      <c r="F3524">
        <v>2</v>
      </c>
      <c r="G3524" s="3" t="s">
        <v>4</v>
      </c>
      <c r="H3524" s="51" t="s">
        <v>15</v>
      </c>
      <c r="I3524" s="17">
        <v>250000</v>
      </c>
      <c r="J3524" s="17">
        <f>IF(Gastos[[#This Row],[Divisa]]="$", I3524*1, IF(Gastos[[#This Row],[Divisa]]="U$D", I3524*$N$1, IF(Gastos[[#This Row],[Divisa]]="EUR", I3524*$N$2, 0)))</f>
        <v>250000</v>
      </c>
      <c r="K3524" s="61">
        <f>Gastos[[#This Row],[Importe AR$]]/$N$1</f>
        <v>165.01650165016503</v>
      </c>
      <c r="M3524" s="76"/>
      <c r="N3524" s="50" t="str">
        <f>IF(Gastos[[#This Row],[Fecha_Cheque]]&gt;0,WEEKNUM(Gastos[[#This Row],[Fecha_Cheque]]),MID(Gastos[[#This Row],[Semana]],6,2))</f>
        <v>24</v>
      </c>
      <c r="O3524" t="s">
        <v>3457</v>
      </c>
      <c r="P3524" t="s">
        <v>27</v>
      </c>
    </row>
    <row r="3525" spans="1:16" hidden="1" x14ac:dyDescent="0.25">
      <c r="A3525" s="3" t="s">
        <v>2726</v>
      </c>
      <c r="B3525" t="s">
        <v>2908</v>
      </c>
      <c r="C3525" t="s">
        <v>1211</v>
      </c>
      <c r="D3525" t="s">
        <v>26</v>
      </c>
      <c r="E3525" t="s">
        <v>42</v>
      </c>
      <c r="F3525">
        <v>1</v>
      </c>
      <c r="G3525" s="3" t="s">
        <v>4</v>
      </c>
      <c r="H3525" s="51" t="s">
        <v>15</v>
      </c>
      <c r="I3525" s="17">
        <v>27427.5</v>
      </c>
      <c r="J3525" s="17">
        <f>IF(Gastos[[#This Row],[Divisa]]="$", I3525*1, IF(Gastos[[#This Row],[Divisa]]="U$D", I3525*$N$1, IF(Gastos[[#This Row],[Divisa]]="EUR", I3525*$N$2, 0)))</f>
        <v>27427.5</v>
      </c>
      <c r="K3525" s="61">
        <f>Gastos[[#This Row],[Importe AR$]]/$N$1</f>
        <v>18.103960396039604</v>
      </c>
      <c r="M3525" s="76"/>
      <c r="N3525" s="50" t="str">
        <f>IF(Gastos[[#This Row],[Fecha_Cheque]]&gt;0,WEEKNUM(Gastos[[#This Row],[Fecha_Cheque]]),MID(Gastos[[#This Row],[Semana]],6,2))</f>
        <v>24</v>
      </c>
      <c r="O3525" t="s">
        <v>3458</v>
      </c>
      <c r="P3525" t="s">
        <v>27</v>
      </c>
    </row>
    <row r="3526" spans="1:16" hidden="1" x14ac:dyDescent="0.25">
      <c r="A3526" s="3" t="s">
        <v>2726</v>
      </c>
      <c r="B3526" t="s">
        <v>1832</v>
      </c>
      <c r="C3526" t="s">
        <v>3459</v>
      </c>
      <c r="D3526" t="s">
        <v>26</v>
      </c>
      <c r="E3526" t="s">
        <v>31</v>
      </c>
      <c r="F3526">
        <v>1</v>
      </c>
      <c r="G3526" s="3" t="s">
        <v>5</v>
      </c>
      <c r="H3526" s="51" t="s">
        <v>15</v>
      </c>
      <c r="I3526" s="17">
        <v>20000</v>
      </c>
      <c r="J3526" s="17">
        <f>IF(Gastos[[#This Row],[Divisa]]="$", I3526*1, IF(Gastos[[#This Row],[Divisa]]="U$D", I3526*$N$1, IF(Gastos[[#This Row],[Divisa]]="EUR", I3526*$N$2, 0)))</f>
        <v>20000</v>
      </c>
      <c r="K3526" s="61">
        <f>Gastos[[#This Row],[Importe AR$]]/$N$1</f>
        <v>13.201320132013201</v>
      </c>
      <c r="M3526" s="76"/>
      <c r="N3526" s="50" t="str">
        <f>IF(Gastos[[#This Row],[Fecha_Cheque]]&gt;0,WEEKNUM(Gastos[[#This Row],[Fecha_Cheque]]),MID(Gastos[[#This Row],[Semana]],6,2))</f>
        <v>24</v>
      </c>
      <c r="O3526" t="s">
        <v>3460</v>
      </c>
      <c r="P3526" t="s">
        <v>27</v>
      </c>
    </row>
    <row r="3527" spans="1:16" hidden="1" x14ac:dyDescent="0.25">
      <c r="A3527" s="3" t="s">
        <v>2726</v>
      </c>
      <c r="B3527" t="s">
        <v>866</v>
      </c>
      <c r="C3527" t="s">
        <v>3461</v>
      </c>
      <c r="D3527" t="s">
        <v>26</v>
      </c>
      <c r="E3527" t="s">
        <v>31</v>
      </c>
      <c r="F3527">
        <v>1</v>
      </c>
      <c r="G3527" s="3" t="s">
        <v>32</v>
      </c>
      <c r="H3527" s="51" t="s">
        <v>15</v>
      </c>
      <c r="I3527" s="17">
        <v>563570</v>
      </c>
      <c r="J3527" s="17">
        <f>IF(Gastos[[#This Row],[Divisa]]="$", I3527*1, IF(Gastos[[#This Row],[Divisa]]="U$D", I3527*$N$1, IF(Gastos[[#This Row],[Divisa]]="EUR", I3527*$N$2, 0)))</f>
        <v>563570</v>
      </c>
      <c r="K3527" s="61">
        <f>Gastos[[#This Row],[Importe AR$]]/$N$1</f>
        <v>371.993399339934</v>
      </c>
      <c r="M3527" s="76">
        <v>46215</v>
      </c>
      <c r="N3527" s="50">
        <f>IF(Gastos[[#This Row],[Fecha_Cheque]]&gt;0,WEEKNUM(Gastos[[#This Row],[Fecha_Cheque]]),MID(Gastos[[#This Row],[Semana]],6,2))</f>
        <v>29</v>
      </c>
      <c r="O3527" t="s">
        <v>3462</v>
      </c>
      <c r="P3527" t="s">
        <v>27</v>
      </c>
    </row>
    <row r="3528" spans="1:16" hidden="1" x14ac:dyDescent="0.25">
      <c r="A3528" s="3" t="s">
        <v>2726</v>
      </c>
      <c r="B3528" t="s">
        <v>866</v>
      </c>
      <c r="C3528" t="s">
        <v>3461</v>
      </c>
      <c r="D3528" t="s">
        <v>26</v>
      </c>
      <c r="E3528" t="s">
        <v>31</v>
      </c>
      <c r="F3528">
        <v>1</v>
      </c>
      <c r="G3528" s="3" t="s">
        <v>32</v>
      </c>
      <c r="H3528" s="51" t="s">
        <v>15</v>
      </c>
      <c r="I3528" s="17">
        <v>6930</v>
      </c>
      <c r="J3528" s="17">
        <f>IF(Gastos[[#This Row],[Divisa]]="$", I3528*1, IF(Gastos[[#This Row],[Divisa]]="U$D", I3528*$N$1, IF(Gastos[[#This Row],[Divisa]]="EUR", I3528*$N$2, 0)))</f>
        <v>6930</v>
      </c>
      <c r="K3528" s="61">
        <f>Gastos[[#This Row],[Importe AR$]]/$N$1</f>
        <v>4.5742574257425739</v>
      </c>
      <c r="L3528" t="s">
        <v>340</v>
      </c>
      <c r="M3528" s="76"/>
      <c r="N3528" s="50" t="str">
        <f>IF(Gastos[[#This Row],[Fecha_Cheque]]&gt;0,WEEKNUM(Gastos[[#This Row],[Fecha_Cheque]]),MID(Gastos[[#This Row],[Semana]],6,2))</f>
        <v>24</v>
      </c>
      <c r="O3528" t="s">
        <v>3462</v>
      </c>
      <c r="P3528" t="s">
        <v>27</v>
      </c>
    </row>
    <row r="3529" spans="1:16" hidden="1" x14ac:dyDescent="0.25">
      <c r="A3529" s="3" t="s">
        <v>2726</v>
      </c>
      <c r="B3529" t="s">
        <v>3463</v>
      </c>
      <c r="C3529" t="s">
        <v>3464</v>
      </c>
      <c r="D3529" t="s">
        <v>26</v>
      </c>
      <c r="E3529" t="s">
        <v>31</v>
      </c>
      <c r="F3529">
        <v>1</v>
      </c>
      <c r="G3529" s="3" t="s">
        <v>5</v>
      </c>
      <c r="H3529" s="51" t="s">
        <v>15</v>
      </c>
      <c r="I3529" s="17">
        <v>48414.91</v>
      </c>
      <c r="J3529" s="17">
        <f>IF(Gastos[[#This Row],[Divisa]]="$", I3529*1, IF(Gastos[[#This Row],[Divisa]]="U$D", I3529*$N$1, IF(Gastos[[#This Row],[Divisa]]="EUR", I3529*$N$2, 0)))</f>
        <v>48414.91</v>
      </c>
      <c r="K3529" s="61">
        <f>Gastos[[#This Row],[Importe AR$]]/$N$1</f>
        <v>31.957036303630364</v>
      </c>
      <c r="M3529" s="76"/>
      <c r="N3529" s="50" t="str">
        <f>IF(Gastos[[#This Row],[Fecha_Cheque]]&gt;0,WEEKNUM(Gastos[[#This Row],[Fecha_Cheque]]),MID(Gastos[[#This Row],[Semana]],6,2))</f>
        <v>24</v>
      </c>
      <c r="O3529" t="s">
        <v>3465</v>
      </c>
      <c r="P3529" t="s">
        <v>27</v>
      </c>
    </row>
    <row r="3530" spans="1:16" hidden="1" x14ac:dyDescent="0.25">
      <c r="A3530" s="3" t="s">
        <v>3440</v>
      </c>
      <c r="B3530" t="s">
        <v>1914</v>
      </c>
      <c r="C3530" t="s">
        <v>1915</v>
      </c>
      <c r="D3530" t="s">
        <v>61</v>
      </c>
      <c r="E3530" t="s">
        <v>62</v>
      </c>
      <c r="F3530">
        <v>1</v>
      </c>
      <c r="G3530" s="3" t="s">
        <v>32</v>
      </c>
      <c r="H3530" s="51" t="s">
        <v>15</v>
      </c>
      <c r="I3530" s="17">
        <v>731205.75</v>
      </c>
      <c r="J3530" s="17">
        <f>IF(Gastos[[#This Row],[Divisa]]="$", I3530*1, IF(Gastos[[#This Row],[Divisa]]="U$D", I3530*$N$1, IF(Gastos[[#This Row],[Divisa]]="EUR", I3530*$N$2, 0)))</f>
        <v>731205.75</v>
      </c>
      <c r="K3530" s="61">
        <f>Gastos[[#This Row],[Importe AR$]]/$N$1</f>
        <v>482.6440594059406</v>
      </c>
      <c r="L3530" t="s">
        <v>340</v>
      </c>
      <c r="M3530" s="76"/>
      <c r="N3530" s="50" t="str">
        <f>IF(Gastos[[#This Row],[Fecha_Cheque]]&gt;0,WEEKNUM(Gastos[[#This Row],[Fecha_Cheque]]),MID(Gastos[[#This Row],[Semana]],6,2))</f>
        <v>25</v>
      </c>
      <c r="O3530" t="s">
        <v>3559</v>
      </c>
      <c r="P3530" t="s">
        <v>27</v>
      </c>
    </row>
    <row r="3531" spans="1:16" hidden="1" x14ac:dyDescent="0.25">
      <c r="A3531" s="3" t="s">
        <v>3440</v>
      </c>
      <c r="B3531" t="s">
        <v>1979</v>
      </c>
      <c r="C3531" t="s">
        <v>155</v>
      </c>
      <c r="D3531" t="s">
        <v>26</v>
      </c>
      <c r="E3531" t="s">
        <v>42</v>
      </c>
      <c r="F3531">
        <v>1</v>
      </c>
      <c r="G3531" s="3" t="s">
        <v>4</v>
      </c>
      <c r="H3531" s="51" t="s">
        <v>15</v>
      </c>
      <c r="I3531" s="17">
        <v>90077.85</v>
      </c>
      <c r="J3531" s="17">
        <f>IF(Gastos[[#This Row],[Divisa]]="$", I3531*1, IF(Gastos[[#This Row],[Divisa]]="U$D", I3531*$N$1, IF(Gastos[[#This Row],[Divisa]]="EUR", I3531*$N$2, 0)))</f>
        <v>90077.85</v>
      </c>
      <c r="K3531" s="61">
        <f>Gastos[[#This Row],[Importe AR$]]/$N$1</f>
        <v>59.457326732673273</v>
      </c>
      <c r="M3531" s="76"/>
      <c r="N3531" s="50" t="str">
        <f>IF(Gastos[[#This Row],[Fecha_Cheque]]&gt;0,WEEKNUM(Gastos[[#This Row],[Fecha_Cheque]]),MID(Gastos[[#This Row],[Semana]],6,2))</f>
        <v>25</v>
      </c>
      <c r="O3531" t="s">
        <v>3585</v>
      </c>
      <c r="P3531" t="s">
        <v>27</v>
      </c>
    </row>
    <row r="3532" spans="1:16" hidden="1" x14ac:dyDescent="0.25">
      <c r="A3532" s="3" t="s">
        <v>3591</v>
      </c>
      <c r="B3532" t="s">
        <v>2908</v>
      </c>
      <c r="C3532" t="s">
        <v>1948</v>
      </c>
      <c r="D3532" t="s">
        <v>26</v>
      </c>
      <c r="E3532" t="s">
        <v>42</v>
      </c>
      <c r="F3532">
        <v>1</v>
      </c>
      <c r="G3532" s="3" t="s">
        <v>4</v>
      </c>
      <c r="H3532" s="51" t="s">
        <v>15</v>
      </c>
      <c r="I3532" s="17">
        <v>179895</v>
      </c>
      <c r="J3532" s="17">
        <f>IF(Gastos[[#This Row],[Divisa]]="$", I3532*1, IF(Gastos[[#This Row],[Divisa]]="U$D", I3532*$N$1, IF(Gastos[[#This Row],[Divisa]]="EUR", I3532*$N$2, 0)))</f>
        <v>179895</v>
      </c>
      <c r="K3532" s="61">
        <f>Gastos[[#This Row],[Importe AR$]]/$N$1</f>
        <v>118.74257425742574</v>
      </c>
      <c r="M3532" s="76"/>
      <c r="N3532" s="50" t="str">
        <f>IF(Gastos[[#This Row],[Fecha_Cheque]]&gt;0,WEEKNUM(Gastos[[#This Row],[Fecha_Cheque]]),MID(Gastos[[#This Row],[Semana]],6,2))</f>
        <v>26</v>
      </c>
      <c r="O3532" t="s">
        <v>3593</v>
      </c>
      <c r="P3532" t="s">
        <v>27</v>
      </c>
    </row>
    <row r="3533" spans="1:16" hidden="1" x14ac:dyDescent="0.25">
      <c r="A3533" s="3" t="s">
        <v>3641</v>
      </c>
      <c r="B3533" t="s">
        <v>3666</v>
      </c>
      <c r="C3533" t="s">
        <v>3667</v>
      </c>
      <c r="D3533" t="s">
        <v>26</v>
      </c>
      <c r="E3533" t="s">
        <v>31</v>
      </c>
      <c r="F3533">
        <v>1</v>
      </c>
      <c r="G3533" s="3" t="s">
        <v>32</v>
      </c>
      <c r="H3533" s="51" t="s">
        <v>15</v>
      </c>
      <c r="I3533" s="17">
        <v>1984541</v>
      </c>
      <c r="J3533" s="17">
        <f>IF(Gastos[[#This Row],[Divisa]]="$", I3533*1, IF(Gastos[[#This Row],[Divisa]]="U$D", I3533*$N$1, IF(Gastos[[#This Row],[Divisa]]="EUR", I3533*$N$2, 0)))</f>
        <v>1984541</v>
      </c>
      <c r="K3533" s="61">
        <f>Gastos[[#This Row],[Importe AR$]]/$N$1</f>
        <v>1309.9280528052805</v>
      </c>
      <c r="M3533" s="76">
        <v>46376</v>
      </c>
      <c r="N3533" s="50">
        <f>IF(Gastos[[#This Row],[Fecha_Cheque]]&gt;0,WEEKNUM(Gastos[[#This Row],[Fecha_Cheque]]),MID(Gastos[[#This Row],[Semana]],6,2))</f>
        <v>52</v>
      </c>
      <c r="O3533" t="s">
        <v>3668</v>
      </c>
      <c r="P3533" t="s">
        <v>27</v>
      </c>
    </row>
    <row r="3534" spans="1:16" hidden="1" x14ac:dyDescent="0.25">
      <c r="A3534" s="3" t="s">
        <v>3641</v>
      </c>
      <c r="B3534" t="s">
        <v>3666</v>
      </c>
      <c r="C3534" t="s">
        <v>3667</v>
      </c>
      <c r="D3534" t="s">
        <v>26</v>
      </c>
      <c r="E3534" t="s">
        <v>31</v>
      </c>
      <c r="F3534">
        <v>1</v>
      </c>
      <c r="G3534" s="3" t="s">
        <v>32</v>
      </c>
      <c r="H3534" s="51" t="s">
        <v>15</v>
      </c>
      <c r="I3534" s="17">
        <v>198755.8</v>
      </c>
      <c r="J3534" s="17">
        <f>IF(Gastos[[#This Row],[Divisa]]="$", I3534*1, IF(Gastos[[#This Row],[Divisa]]="U$D", I3534*$N$1, IF(Gastos[[#This Row],[Divisa]]="EUR", I3534*$N$2, 0)))</f>
        <v>198755.8</v>
      </c>
      <c r="K3534" s="61">
        <f>Gastos[[#This Row],[Importe AR$]]/$N$1</f>
        <v>131.19194719471946</v>
      </c>
      <c r="L3534" t="s">
        <v>340</v>
      </c>
      <c r="M3534" s="76"/>
      <c r="N3534" s="50" t="str">
        <f>IF(Gastos[[#This Row],[Fecha_Cheque]]&gt;0,WEEKNUM(Gastos[[#This Row],[Fecha_Cheque]]),MID(Gastos[[#This Row],[Semana]],6,2))</f>
        <v>27</v>
      </c>
      <c r="O3534" t="s">
        <v>3668</v>
      </c>
      <c r="P3534" t="s">
        <v>27</v>
      </c>
    </row>
    <row r="3535" spans="1:16" hidden="1" x14ac:dyDescent="0.25">
      <c r="A3535" s="3" t="s">
        <v>3718</v>
      </c>
      <c r="B3535" t="s">
        <v>3739</v>
      </c>
      <c r="C3535" t="s">
        <v>2181</v>
      </c>
      <c r="D3535" t="s">
        <v>26</v>
      </c>
      <c r="E3535" t="s">
        <v>62</v>
      </c>
      <c r="F3535">
        <v>1</v>
      </c>
      <c r="G3535" s="3" t="s">
        <v>32</v>
      </c>
      <c r="H3535" s="51" t="s">
        <v>15</v>
      </c>
      <c r="I3535" s="17">
        <v>38798.89</v>
      </c>
      <c r="J3535" s="17">
        <f>IF(Gastos[[#This Row],[Divisa]]="$", I3535*1, IF(Gastos[[#This Row],[Divisa]]="U$D", I3535*$N$1, IF(Gastos[[#This Row],[Divisa]]="EUR", I3535*$N$2, 0)))</f>
        <v>38798.89</v>
      </c>
      <c r="K3535" s="61">
        <f>Gastos[[#This Row],[Importe AR$]]/$N$1</f>
        <v>25.609828382838284</v>
      </c>
      <c r="L3535" t="s">
        <v>340</v>
      </c>
      <c r="M3535" s="76"/>
      <c r="N3535" s="50" t="str">
        <f>IF(Gastos[[#This Row],[Fecha_Cheque]]&gt;0,WEEKNUM(Gastos[[#This Row],[Fecha_Cheque]]),MID(Gastos[[#This Row],[Semana]],6,2))</f>
        <v>28</v>
      </c>
      <c r="O3535" t="s">
        <v>3740</v>
      </c>
      <c r="P3535" t="s">
        <v>27</v>
      </c>
    </row>
    <row r="3536" spans="1:16" hidden="1" x14ac:dyDescent="0.25">
      <c r="A3536" s="3" t="s">
        <v>3440</v>
      </c>
      <c r="B3536" t="s">
        <v>3051</v>
      </c>
      <c r="C3536" t="s">
        <v>2667</v>
      </c>
      <c r="D3536" t="s">
        <v>26</v>
      </c>
      <c r="E3536" t="s">
        <v>42</v>
      </c>
      <c r="F3536">
        <v>2</v>
      </c>
      <c r="G3536" s="3" t="s">
        <v>4</v>
      </c>
      <c r="H3536" s="51" t="s">
        <v>15</v>
      </c>
      <c r="I3536" s="17">
        <v>900000</v>
      </c>
      <c r="J3536" s="17">
        <f>IF(Gastos[[#This Row],[Divisa]]="$", I3536*1, IF(Gastos[[#This Row],[Divisa]]="U$D", I3536*$N$1, IF(Gastos[[#This Row],[Divisa]]="EUR", I3536*$N$2, 0)))</f>
        <v>900000</v>
      </c>
      <c r="K3536" s="61">
        <f>Gastos[[#This Row],[Importe AR$]]/$N$1</f>
        <v>594.05940594059405</v>
      </c>
      <c r="M3536" s="76"/>
      <c r="N3536" s="50" t="str">
        <f>IF(Gastos[[#This Row],[Fecha_Cheque]]&gt;0,WEEKNUM(Gastos[[#This Row],[Fecha_Cheque]]),MID(Gastos[[#This Row],[Semana]],6,2))</f>
        <v>25</v>
      </c>
      <c r="O3536" t="s">
        <v>3577</v>
      </c>
      <c r="P3536" t="s">
        <v>27</v>
      </c>
    </row>
    <row r="3537" spans="1:16" hidden="1" x14ac:dyDescent="0.25">
      <c r="A3537" s="3" t="s">
        <v>3440</v>
      </c>
      <c r="B3537" t="s">
        <v>2127</v>
      </c>
      <c r="C3537" t="s">
        <v>3533</v>
      </c>
      <c r="D3537" t="s">
        <v>26</v>
      </c>
      <c r="E3537" t="s">
        <v>31</v>
      </c>
      <c r="F3537">
        <v>1</v>
      </c>
      <c r="G3537" s="3" t="s">
        <v>32</v>
      </c>
      <c r="H3537" s="51" t="s">
        <v>15</v>
      </c>
      <c r="I3537" s="17">
        <v>80000</v>
      </c>
      <c r="J3537" s="17">
        <f>IF(Gastos[[#This Row],[Divisa]]="$", I3537*1, IF(Gastos[[#This Row],[Divisa]]="U$D", I3537*$N$1, IF(Gastos[[#This Row],[Divisa]]="EUR", I3537*$N$2, 0)))</f>
        <v>80000</v>
      </c>
      <c r="K3537" s="61">
        <f>Gastos[[#This Row],[Importe AR$]]/$N$1</f>
        <v>52.805280528052805</v>
      </c>
      <c r="M3537" s="76">
        <v>46201</v>
      </c>
      <c r="N3537" s="50">
        <f>IF(Gastos[[#This Row],[Fecha_Cheque]]&gt;0,WEEKNUM(Gastos[[#This Row],[Fecha_Cheque]]),MID(Gastos[[#This Row],[Semana]],6,2))</f>
        <v>27</v>
      </c>
      <c r="O3537" t="s">
        <v>3534</v>
      </c>
      <c r="P3537" t="s">
        <v>27</v>
      </c>
    </row>
    <row r="3538" spans="1:16" x14ac:dyDescent="0.25">
      <c r="A3538" s="3" t="s">
        <v>3990</v>
      </c>
      <c r="B3538" t="s">
        <v>449</v>
      </c>
      <c r="C3538" t="s">
        <v>1225</v>
      </c>
      <c r="D3538" t="s">
        <v>26</v>
      </c>
      <c r="E3538" t="s">
        <v>62</v>
      </c>
      <c r="F3538">
        <v>1</v>
      </c>
      <c r="G3538" s="3" t="s">
        <v>32</v>
      </c>
      <c r="H3538" s="53" t="s">
        <v>15</v>
      </c>
      <c r="I3538" s="17">
        <v>14275.28</v>
      </c>
      <c r="J3538" s="17">
        <f>IF(Gastos[[#This Row],[Divisa]]="$", I3538*1, IF(Gastos[[#This Row],[Divisa]]="U$D", I3538*$N$1, IF(Gastos[[#This Row],[Divisa]]="EUR", I3538*$N$2, 0)))</f>
        <v>14275.28</v>
      </c>
      <c r="K3538" s="61">
        <f>Gastos[[#This Row],[Importe AR$]]/$N$1</f>
        <v>9.4226270627062707</v>
      </c>
      <c r="M3538" s="76"/>
      <c r="N3538" s="50" t="str">
        <f>IF(Gastos[[#This Row],[Fecha_Cheque]]&gt;0,WEEKNUM(Gastos[[#This Row],[Fecha_Cheque]]),MID(Gastos[[#This Row],[Semana]],6,2))</f>
        <v>32</v>
      </c>
    </row>
    <row r="3539" spans="1:16" hidden="1" x14ac:dyDescent="0.25">
      <c r="A3539" s="3" t="s">
        <v>3641</v>
      </c>
      <c r="B3539" t="s">
        <v>1026</v>
      </c>
      <c r="C3539" t="s">
        <v>3646</v>
      </c>
      <c r="D3539" t="s">
        <v>26</v>
      </c>
      <c r="E3539" t="s">
        <v>42</v>
      </c>
      <c r="F3539">
        <v>1</v>
      </c>
      <c r="G3539" s="3" t="s">
        <v>4</v>
      </c>
      <c r="H3539" s="51" t="s">
        <v>15</v>
      </c>
      <c r="I3539" s="17">
        <v>9500</v>
      </c>
      <c r="J3539" s="17">
        <f>IF(Gastos[[#This Row],[Divisa]]="$", I3539*1, IF(Gastos[[#This Row],[Divisa]]="U$D", I3539*$N$1, IF(Gastos[[#This Row],[Divisa]]="EUR", I3539*$N$2, 0)))</f>
        <v>9500</v>
      </c>
      <c r="K3539" s="61">
        <f>Gastos[[#This Row],[Importe AR$]]/$N$1</f>
        <v>6.2706270627062706</v>
      </c>
      <c r="M3539" s="76"/>
      <c r="N3539" s="50" t="str">
        <f>IF(Gastos[[#This Row],[Fecha_Cheque]]&gt;0,WEEKNUM(Gastos[[#This Row],[Fecha_Cheque]]),MID(Gastos[[#This Row],[Semana]],6,2))</f>
        <v>27</v>
      </c>
      <c r="O3539" t="s">
        <v>3647</v>
      </c>
      <c r="P3539" t="s">
        <v>27</v>
      </c>
    </row>
    <row r="3540" spans="1:16" hidden="1" x14ac:dyDescent="0.25">
      <c r="A3540" s="3" t="s">
        <v>3591</v>
      </c>
      <c r="B3540" t="s">
        <v>1580</v>
      </c>
      <c r="C3540" t="s">
        <v>155</v>
      </c>
      <c r="D3540" t="s">
        <v>26</v>
      </c>
      <c r="E3540" t="s">
        <v>42</v>
      </c>
      <c r="F3540">
        <v>1</v>
      </c>
      <c r="G3540" s="3" t="s">
        <v>4</v>
      </c>
      <c r="H3540" s="51" t="s">
        <v>15</v>
      </c>
      <c r="I3540" s="17">
        <v>190001.08</v>
      </c>
      <c r="J3540" s="17">
        <f>IF(Gastos[[#This Row],[Divisa]]="$", I3540*1, IF(Gastos[[#This Row],[Divisa]]="U$D", I3540*$N$1, IF(Gastos[[#This Row],[Divisa]]="EUR", I3540*$N$2, 0)))</f>
        <v>190001.08</v>
      </c>
      <c r="K3540" s="61">
        <f>Gastos[[#This Row],[Importe AR$]]/$N$1</f>
        <v>125.41325412541254</v>
      </c>
      <c r="M3540" s="76"/>
      <c r="N3540" s="50" t="str">
        <f>IF(Gastos[[#This Row],[Fecha_Cheque]]&gt;0,WEEKNUM(Gastos[[#This Row],[Fecha_Cheque]]),MID(Gastos[[#This Row],[Semana]],6,2))</f>
        <v>26</v>
      </c>
      <c r="O3540" t="s">
        <v>3623</v>
      </c>
      <c r="P3540" t="s">
        <v>27</v>
      </c>
    </row>
    <row r="3541" spans="1:16" hidden="1" x14ac:dyDescent="0.25">
      <c r="A3541" s="3" t="s">
        <v>3842</v>
      </c>
      <c r="B3541" t="s">
        <v>483</v>
      </c>
      <c r="C3541" t="s">
        <v>3443</v>
      </c>
      <c r="D3541" t="s">
        <v>26</v>
      </c>
      <c r="E3541" t="s">
        <v>42</v>
      </c>
      <c r="F3541">
        <v>2</v>
      </c>
      <c r="G3541" s="3" t="s">
        <v>4</v>
      </c>
      <c r="H3541" s="51" t="s">
        <v>15</v>
      </c>
      <c r="I3541" s="17">
        <v>1000000</v>
      </c>
      <c r="J3541" s="17">
        <f>IF(Gastos[[#This Row],[Divisa]]="$", I3541*1, IF(Gastos[[#This Row],[Divisa]]="U$D", I3541*$N$1, IF(Gastos[[#This Row],[Divisa]]="EUR", I3541*$N$2, 0)))</f>
        <v>1000000</v>
      </c>
      <c r="K3541" s="61">
        <f>Gastos[[#This Row],[Importe AR$]]/$N$1</f>
        <v>660.0660066006601</v>
      </c>
      <c r="L3541" s="8"/>
      <c r="M3541" s="76"/>
      <c r="N3541" s="50" t="str">
        <f>IF(Gastos[[#This Row],[Fecha_Cheque]]&gt;0,WEEKNUM(Gastos[[#This Row],[Fecha_Cheque]]),MID(Gastos[[#This Row],[Semana]],6,2))</f>
        <v>30</v>
      </c>
      <c r="O3541" t="s">
        <v>3902</v>
      </c>
      <c r="P3541" t="s">
        <v>27</v>
      </c>
    </row>
    <row r="3542" spans="1:16" hidden="1" x14ac:dyDescent="0.25">
      <c r="A3542" s="3" t="s">
        <v>3779</v>
      </c>
      <c r="B3542" t="s">
        <v>3788</v>
      </c>
      <c r="C3542" t="s">
        <v>3789</v>
      </c>
      <c r="D3542" t="s">
        <v>26</v>
      </c>
      <c r="E3542" t="s">
        <v>42</v>
      </c>
      <c r="F3542">
        <v>1</v>
      </c>
      <c r="G3542" s="3" t="s">
        <v>4</v>
      </c>
      <c r="H3542" s="51" t="s">
        <v>15</v>
      </c>
      <c r="I3542" s="17">
        <v>100700</v>
      </c>
      <c r="J3542" s="17">
        <f>IF(Gastos[[#This Row],[Divisa]]="$", I3542*1, IF(Gastos[[#This Row],[Divisa]]="U$D", I3542*$N$1, IF(Gastos[[#This Row],[Divisa]]="EUR", I3542*$N$2, 0)))</f>
        <v>100700</v>
      </c>
      <c r="K3542" s="61">
        <f>Gastos[[#This Row],[Importe AR$]]/$N$1</f>
        <v>66.468646864686463</v>
      </c>
      <c r="M3542" s="76"/>
      <c r="N3542" s="50" t="str">
        <f>IF(Gastos[[#This Row],[Fecha_Cheque]]&gt;0,WEEKNUM(Gastos[[#This Row],[Fecha_Cheque]]),MID(Gastos[[#This Row],[Semana]],6,2))</f>
        <v>29</v>
      </c>
      <c r="O3542" t="s">
        <v>3792</v>
      </c>
      <c r="P3542" t="s">
        <v>27</v>
      </c>
    </row>
    <row r="3543" spans="1:16" hidden="1" x14ac:dyDescent="0.25">
      <c r="A3543" s="3" t="s">
        <v>3591</v>
      </c>
      <c r="B3543" t="s">
        <v>2643</v>
      </c>
      <c r="D3543" t="s">
        <v>26</v>
      </c>
      <c r="E3543" t="s">
        <v>31</v>
      </c>
      <c r="F3543">
        <v>1</v>
      </c>
      <c r="G3543" s="3" t="s">
        <v>32</v>
      </c>
      <c r="H3543" s="51" t="s">
        <v>15</v>
      </c>
      <c r="I3543" s="17">
        <v>1217454.25</v>
      </c>
      <c r="J3543" s="17">
        <f>IF(Gastos[[#This Row],[Divisa]]="$", I3543*1, IF(Gastos[[#This Row],[Divisa]]="U$D", I3543*$N$1, IF(Gastos[[#This Row],[Divisa]]="EUR", I3543*$N$2, 0)))</f>
        <v>1217454.25</v>
      </c>
      <c r="K3543" s="61">
        <f>Gastos[[#This Row],[Importe AR$]]/$N$1</f>
        <v>803.60016501650171</v>
      </c>
      <c r="M3543" s="76">
        <v>46226</v>
      </c>
      <c r="N3543" s="50">
        <f>IF(Gastos[[#This Row],[Fecha_Cheque]]&gt;0,WEEKNUM(Gastos[[#This Row],[Fecha_Cheque]]),MID(Gastos[[#This Row],[Semana]],6,2))</f>
        <v>30</v>
      </c>
      <c r="O3543" t="s">
        <v>3604</v>
      </c>
      <c r="P3543" t="s">
        <v>27</v>
      </c>
    </row>
    <row r="3544" spans="1:16" hidden="1" x14ac:dyDescent="0.25">
      <c r="A3544" s="3" t="s">
        <v>3591</v>
      </c>
      <c r="B3544" t="s">
        <v>2643</v>
      </c>
      <c r="D3544" t="s">
        <v>26</v>
      </c>
      <c r="E3544" t="s">
        <v>31</v>
      </c>
      <c r="F3544">
        <v>1</v>
      </c>
      <c r="G3544" s="3" t="s">
        <v>32</v>
      </c>
      <c r="H3544" s="51" t="s">
        <v>15</v>
      </c>
      <c r="I3544" s="17">
        <v>15906.12</v>
      </c>
      <c r="J3544" s="17">
        <f>IF(Gastos[[#This Row],[Divisa]]="$", I3544*1, IF(Gastos[[#This Row],[Divisa]]="U$D", I3544*$N$1, IF(Gastos[[#This Row],[Divisa]]="EUR", I3544*$N$2, 0)))</f>
        <v>15906.12</v>
      </c>
      <c r="K3544" s="61">
        <f>Gastos[[#This Row],[Importe AR$]]/$N$1</f>
        <v>10.499089108910892</v>
      </c>
      <c r="L3544" t="s">
        <v>340</v>
      </c>
      <c r="M3544" s="76"/>
      <c r="N3544" s="50" t="str">
        <f>IF(Gastos[[#This Row],[Fecha_Cheque]]&gt;0,WEEKNUM(Gastos[[#This Row],[Fecha_Cheque]]),MID(Gastos[[#This Row],[Semana]],6,2))</f>
        <v>26</v>
      </c>
      <c r="O3544" t="s">
        <v>3604</v>
      </c>
      <c r="P3544" t="s">
        <v>27</v>
      </c>
    </row>
    <row r="3545" spans="1:16" hidden="1" x14ac:dyDescent="0.25">
      <c r="A3545" s="3" t="s">
        <v>3440</v>
      </c>
      <c r="B3545" t="s">
        <v>3558</v>
      </c>
      <c r="C3545" t="s">
        <v>315</v>
      </c>
      <c r="D3545" t="s">
        <v>26</v>
      </c>
      <c r="E3545" t="s">
        <v>31</v>
      </c>
      <c r="F3545">
        <v>1</v>
      </c>
      <c r="G3545" s="3" t="s">
        <v>5</v>
      </c>
      <c r="H3545" s="51" t="s">
        <v>15</v>
      </c>
      <c r="I3545" s="17">
        <v>48400</v>
      </c>
      <c r="J3545" s="17">
        <f>IF(Gastos[[#This Row],[Divisa]]="$", I3545*1, IF(Gastos[[#This Row],[Divisa]]="U$D", I3545*$N$1, IF(Gastos[[#This Row],[Divisa]]="EUR", I3545*$N$2, 0)))</f>
        <v>48400</v>
      </c>
      <c r="K3545" s="61">
        <f>Gastos[[#This Row],[Importe AR$]]/$N$1</f>
        <v>31.947194719471948</v>
      </c>
      <c r="M3545" s="76"/>
      <c r="N3545" s="50" t="str">
        <f>IF(Gastos[[#This Row],[Fecha_Cheque]]&gt;0,WEEKNUM(Gastos[[#This Row],[Fecha_Cheque]]),MID(Gastos[[#This Row],[Semana]],6,2))</f>
        <v>25</v>
      </c>
      <c r="O3545" t="s">
        <v>3555</v>
      </c>
      <c r="P3545" t="s">
        <v>27</v>
      </c>
    </row>
    <row r="3546" spans="1:16" hidden="1" x14ac:dyDescent="0.25">
      <c r="A3546" s="3" t="s">
        <v>3842</v>
      </c>
      <c r="B3546" t="s">
        <v>483</v>
      </c>
      <c r="C3546" t="s">
        <v>155</v>
      </c>
      <c r="D3546" t="s">
        <v>26</v>
      </c>
      <c r="E3546" t="s">
        <v>42</v>
      </c>
      <c r="F3546">
        <v>1</v>
      </c>
      <c r="G3546" s="3" t="s">
        <v>4</v>
      </c>
      <c r="H3546" s="53" t="s">
        <v>15</v>
      </c>
      <c r="I3546" s="17">
        <v>19999.21</v>
      </c>
      <c r="J3546" s="17">
        <f>IF(Gastos[[#This Row],[Divisa]]="$", I3546*1, IF(Gastos[[#This Row],[Divisa]]="U$D", I3546*$N$1, IF(Gastos[[#This Row],[Divisa]]="EUR", I3546*$N$2, 0)))</f>
        <v>19999.21</v>
      </c>
      <c r="K3546" s="61">
        <f>Gastos[[#This Row],[Importe AR$]]/$N$1</f>
        <v>13.200798679867987</v>
      </c>
      <c r="M3546" s="76"/>
      <c r="N3546" s="50" t="str">
        <f>IF(Gastos[[#This Row],[Fecha_Cheque]]&gt;0,WEEKNUM(Gastos[[#This Row],[Fecha_Cheque]]),MID(Gastos[[#This Row],[Semana]],6,2))</f>
        <v>30</v>
      </c>
      <c r="O3546" t="s">
        <v>3856</v>
      </c>
      <c r="P3546" t="s">
        <v>27</v>
      </c>
    </row>
    <row r="3547" spans="1:16" hidden="1" x14ac:dyDescent="0.25">
      <c r="A3547" s="3" t="s">
        <v>3718</v>
      </c>
      <c r="B3547" t="s">
        <v>871</v>
      </c>
      <c r="C3547" t="s">
        <v>3748</v>
      </c>
      <c r="D3547" t="s">
        <v>26</v>
      </c>
      <c r="E3547" t="s">
        <v>42</v>
      </c>
      <c r="F3547">
        <v>1</v>
      </c>
      <c r="G3547" s="3" t="s">
        <v>4</v>
      </c>
      <c r="H3547" s="51" t="s">
        <v>15</v>
      </c>
      <c r="I3547" s="17">
        <v>11000</v>
      </c>
      <c r="J3547" s="17">
        <f>IF(Gastos[[#This Row],[Divisa]]="$", I3547*1, IF(Gastos[[#This Row],[Divisa]]="U$D", I3547*$N$1, IF(Gastos[[#This Row],[Divisa]]="EUR", I3547*$N$2, 0)))</f>
        <v>11000</v>
      </c>
      <c r="K3547" s="61">
        <f>Gastos[[#This Row],[Importe AR$]]/$N$1</f>
        <v>7.2607260726072607</v>
      </c>
      <c r="M3547" s="76"/>
      <c r="N3547" s="50" t="str">
        <f>IF(Gastos[[#This Row],[Fecha_Cheque]]&gt;0,WEEKNUM(Gastos[[#This Row],[Fecha_Cheque]]),MID(Gastos[[#This Row],[Semana]],6,2))</f>
        <v>28</v>
      </c>
      <c r="O3547" t="s">
        <v>3749</v>
      </c>
      <c r="P3547" t="s">
        <v>27</v>
      </c>
    </row>
    <row r="3548" spans="1:16" hidden="1" x14ac:dyDescent="0.25">
      <c r="A3548" s="3" t="s">
        <v>2740</v>
      </c>
      <c r="B3548" t="s">
        <v>3242</v>
      </c>
      <c r="C3548" t="s">
        <v>3556</v>
      </c>
      <c r="D3548" t="s">
        <v>26</v>
      </c>
      <c r="E3548" t="s">
        <v>31</v>
      </c>
      <c r="F3548">
        <v>1</v>
      </c>
      <c r="G3548" s="3" t="s">
        <v>5</v>
      </c>
      <c r="H3548" s="51" t="s">
        <v>15</v>
      </c>
      <c r="I3548" s="17">
        <v>80000</v>
      </c>
      <c r="J3548" s="17">
        <f>IF(Gastos[[#This Row],[Divisa]]="$", I3548*1, IF(Gastos[[#This Row],[Divisa]]="U$D", I3548*$N$1, IF(Gastos[[#This Row],[Divisa]]="EUR", I3548*$N$2, 0)))</f>
        <v>80000</v>
      </c>
      <c r="K3548" s="61">
        <f>Gastos[[#This Row],[Importe AR$]]/$N$1</f>
        <v>52.805280528052805</v>
      </c>
      <c r="M3548" s="76"/>
      <c r="N3548" s="50" t="str">
        <f>IF(Gastos[[#This Row],[Fecha_Cheque]]&gt;0,WEEKNUM(Gastos[[#This Row],[Fecha_Cheque]]),MID(Gastos[[#This Row],[Semana]],6,2))</f>
        <v>16</v>
      </c>
      <c r="O3548" t="s">
        <v>3557</v>
      </c>
      <c r="P3548" t="s">
        <v>27</v>
      </c>
    </row>
    <row r="3549" spans="1:16" hidden="1" x14ac:dyDescent="0.25">
      <c r="A3549" s="3" t="s">
        <v>3591</v>
      </c>
      <c r="B3549" t="s">
        <v>1719</v>
      </c>
      <c r="C3549" t="s">
        <v>3606</v>
      </c>
      <c r="D3549" t="s">
        <v>26</v>
      </c>
      <c r="E3549" t="s">
        <v>31</v>
      </c>
      <c r="F3549">
        <v>1</v>
      </c>
      <c r="G3549" s="3" t="s">
        <v>32</v>
      </c>
      <c r="H3549" s="51" t="s">
        <v>15</v>
      </c>
      <c r="I3549" s="17">
        <v>592590.98</v>
      </c>
      <c r="J3549" s="17">
        <f>IF(Gastos[[#This Row],[Divisa]]="$", I3549*1, IF(Gastos[[#This Row],[Divisa]]="U$D", I3549*$N$1, IF(Gastos[[#This Row],[Divisa]]="EUR", I3549*$N$2, 0)))</f>
        <v>592590.98</v>
      </c>
      <c r="K3549" s="61">
        <f>Gastos[[#This Row],[Importe AR$]]/$N$1</f>
        <v>391.14916171617159</v>
      </c>
      <c r="M3549" s="76">
        <v>46198</v>
      </c>
      <c r="N3549" s="50">
        <f>IF(Gastos[[#This Row],[Fecha_Cheque]]&gt;0,WEEKNUM(Gastos[[#This Row],[Fecha_Cheque]]),MID(Gastos[[#This Row],[Semana]],6,2))</f>
        <v>26</v>
      </c>
      <c r="O3549" t="s">
        <v>3612</v>
      </c>
      <c r="P3549" t="s">
        <v>27</v>
      </c>
    </row>
    <row r="3550" spans="1:16" hidden="1" x14ac:dyDescent="0.25">
      <c r="A3550" s="3" t="s">
        <v>3591</v>
      </c>
      <c r="B3550" t="s">
        <v>1719</v>
      </c>
      <c r="C3550" t="s">
        <v>3606</v>
      </c>
      <c r="D3550" t="s">
        <v>26</v>
      </c>
      <c r="E3550" t="s">
        <v>31</v>
      </c>
      <c r="F3550">
        <v>1</v>
      </c>
      <c r="G3550" s="3" t="s">
        <v>32</v>
      </c>
      <c r="H3550" s="51" t="s">
        <v>15</v>
      </c>
      <c r="I3550" s="17">
        <v>12093.69</v>
      </c>
      <c r="J3550" s="17">
        <f>IF(Gastos[[#This Row],[Divisa]]="$", I3550*1, IF(Gastos[[#This Row],[Divisa]]="U$D", I3550*$N$1, IF(Gastos[[#This Row],[Divisa]]="EUR", I3550*$N$2, 0)))</f>
        <v>12093.69</v>
      </c>
      <c r="K3550" s="61">
        <f>Gastos[[#This Row],[Importe AR$]]/$N$1</f>
        <v>7.9826336633663368</v>
      </c>
      <c r="L3550" t="s">
        <v>340</v>
      </c>
      <c r="M3550" s="76"/>
      <c r="N3550" s="50" t="str">
        <f>IF(Gastos[[#This Row],[Fecha_Cheque]]&gt;0,WEEKNUM(Gastos[[#This Row],[Fecha_Cheque]]),MID(Gastos[[#This Row],[Semana]],6,2))</f>
        <v>26</v>
      </c>
      <c r="O3550" t="s">
        <v>3612</v>
      </c>
      <c r="P3550" t="s">
        <v>27</v>
      </c>
    </row>
    <row r="3551" spans="1:16" hidden="1" x14ac:dyDescent="0.25">
      <c r="A3551" s="3" t="s">
        <v>3842</v>
      </c>
      <c r="B3551" t="s">
        <v>483</v>
      </c>
      <c r="C3551" t="s">
        <v>155</v>
      </c>
      <c r="D3551" t="s">
        <v>26</v>
      </c>
      <c r="E3551" t="s">
        <v>42</v>
      </c>
      <c r="F3551">
        <v>1</v>
      </c>
      <c r="G3551" s="3" t="s">
        <v>4</v>
      </c>
      <c r="H3551" s="51" t="s">
        <v>15</v>
      </c>
      <c r="I3551" s="17">
        <v>50000.75</v>
      </c>
      <c r="J3551" s="17">
        <f>IF(Gastos[[#This Row],[Divisa]]="$", I3551*1, IF(Gastos[[#This Row],[Divisa]]="U$D", I3551*$N$1, IF(Gastos[[#This Row],[Divisa]]="EUR", I3551*$N$2, 0)))</f>
        <v>50000.75</v>
      </c>
      <c r="K3551" s="61">
        <f>Gastos[[#This Row],[Importe AR$]]/$N$1</f>
        <v>33.003795379537955</v>
      </c>
      <c r="M3551" s="76"/>
      <c r="N3551" s="50" t="str">
        <f>IF(Gastos[[#This Row],[Fecha_Cheque]]&gt;0,WEEKNUM(Gastos[[#This Row],[Fecha_Cheque]]),MID(Gastos[[#This Row],[Semana]],6,2))</f>
        <v>30</v>
      </c>
      <c r="O3551" t="s">
        <v>3857</v>
      </c>
      <c r="P3551" t="s">
        <v>27</v>
      </c>
    </row>
    <row r="3552" spans="1:16" hidden="1" x14ac:dyDescent="0.25">
      <c r="A3552" s="3" t="s">
        <v>3842</v>
      </c>
      <c r="B3552" t="s">
        <v>483</v>
      </c>
      <c r="C3552" t="s">
        <v>155</v>
      </c>
      <c r="D3552" t="s">
        <v>26</v>
      </c>
      <c r="E3552" t="s">
        <v>42</v>
      </c>
      <c r="F3552">
        <v>1</v>
      </c>
      <c r="G3552" s="3" t="s">
        <v>4</v>
      </c>
      <c r="H3552" s="51" t="s">
        <v>15</v>
      </c>
      <c r="I3552" s="17">
        <v>80002.69</v>
      </c>
      <c r="J3552" s="17">
        <f>IF(Gastos[[#This Row],[Divisa]]="$", I3552*1, IF(Gastos[[#This Row],[Divisa]]="U$D", I3552*$N$1, IF(Gastos[[#This Row],[Divisa]]="EUR", I3552*$N$2, 0)))</f>
        <v>80002.69</v>
      </c>
      <c r="K3552" s="61">
        <f>Gastos[[#This Row],[Importe AR$]]/$N$1</f>
        <v>52.807056105610563</v>
      </c>
      <c r="M3552" s="76"/>
      <c r="N3552" s="50" t="str">
        <f>IF(Gastos[[#This Row],[Fecha_Cheque]]&gt;0,WEEKNUM(Gastos[[#This Row],[Fecha_Cheque]]),MID(Gastos[[#This Row],[Semana]],6,2))</f>
        <v>30</v>
      </c>
      <c r="O3552" t="s">
        <v>3858</v>
      </c>
      <c r="P3552" t="s">
        <v>27</v>
      </c>
    </row>
    <row r="3553" spans="1:16" hidden="1" x14ac:dyDescent="0.25">
      <c r="A3553" s="3" t="s">
        <v>3907</v>
      </c>
      <c r="B3553" t="s">
        <v>454</v>
      </c>
      <c r="C3553" t="s">
        <v>3929</v>
      </c>
      <c r="D3553" t="s">
        <v>26</v>
      </c>
      <c r="E3553" t="s">
        <v>42</v>
      </c>
      <c r="F3553">
        <v>1</v>
      </c>
      <c r="G3553" s="3" t="s">
        <v>4</v>
      </c>
      <c r="H3553" s="51" t="s">
        <v>15</v>
      </c>
      <c r="I3553" s="17">
        <v>922987.6</v>
      </c>
      <c r="J3553" s="17">
        <f>IF(Gastos[[#This Row],[Divisa]]="$", I3553*1, IF(Gastos[[#This Row],[Divisa]]="U$D", I3553*$N$1, IF(Gastos[[#This Row],[Divisa]]="EUR", I3553*$N$2, 0)))</f>
        <v>922987.6</v>
      </c>
      <c r="K3553" s="61">
        <f>Gastos[[#This Row],[Importe AR$]]/$N$1</f>
        <v>609.23273927392734</v>
      </c>
      <c r="M3553" s="76"/>
      <c r="N3553" s="50" t="str">
        <f>IF(Gastos[[#This Row],[Fecha_Cheque]]&gt;0,WEEKNUM(Gastos[[#This Row],[Fecha_Cheque]]),MID(Gastos[[#This Row],[Semana]],6,2))</f>
        <v>31</v>
      </c>
      <c r="O3553" t="s">
        <v>3930</v>
      </c>
      <c r="P3553" t="s">
        <v>27</v>
      </c>
    </row>
    <row r="3554" spans="1:16" hidden="1" x14ac:dyDescent="0.25">
      <c r="A3554" s="3" t="s">
        <v>3779</v>
      </c>
      <c r="B3554" t="s">
        <v>871</v>
      </c>
      <c r="C3554" t="s">
        <v>3808</v>
      </c>
      <c r="D3554" t="s">
        <v>26</v>
      </c>
      <c r="E3554" t="s">
        <v>42</v>
      </c>
      <c r="F3554">
        <v>1</v>
      </c>
      <c r="G3554" s="3" t="s">
        <v>4</v>
      </c>
      <c r="H3554" s="51" t="s">
        <v>15</v>
      </c>
      <c r="I3554" s="17">
        <v>164000</v>
      </c>
      <c r="J3554" s="17">
        <f>IF(Gastos[[#This Row],[Divisa]]="$", I3554*1, IF(Gastos[[#This Row],[Divisa]]="U$D", I3554*$N$1, IF(Gastos[[#This Row],[Divisa]]="EUR", I3554*$N$2, 0)))</f>
        <v>164000</v>
      </c>
      <c r="K3554" s="61">
        <f>Gastos[[#This Row],[Importe AR$]]/$N$1</f>
        <v>108.25082508250826</v>
      </c>
      <c r="M3554" s="76"/>
      <c r="N3554" s="50" t="str">
        <f>IF(Gastos[[#This Row],[Fecha_Cheque]]&gt;0,WEEKNUM(Gastos[[#This Row],[Fecha_Cheque]]),MID(Gastos[[#This Row],[Semana]],6,2))</f>
        <v>29</v>
      </c>
      <c r="O3554" t="s">
        <v>3809</v>
      </c>
      <c r="P3554" t="s">
        <v>27</v>
      </c>
    </row>
    <row r="3555" spans="1:16" hidden="1" x14ac:dyDescent="0.25">
      <c r="A3555" s="3" t="s">
        <v>3641</v>
      </c>
      <c r="B3555" t="s">
        <v>1110</v>
      </c>
      <c r="C3555" t="s">
        <v>3669</v>
      </c>
      <c r="D3555" t="s">
        <v>26</v>
      </c>
      <c r="E3555" t="s">
        <v>31</v>
      </c>
      <c r="F3555">
        <v>1</v>
      </c>
      <c r="G3555" s="3" t="s">
        <v>5</v>
      </c>
      <c r="H3555" s="51" t="s">
        <v>15</v>
      </c>
      <c r="I3555" s="17">
        <v>1764906.74</v>
      </c>
      <c r="J3555" s="17">
        <f>IF(Gastos[[#This Row],[Divisa]]="$", I3555*1, IF(Gastos[[#This Row],[Divisa]]="U$D", I3555*$N$1, IF(Gastos[[#This Row],[Divisa]]="EUR", I3555*$N$2, 0)))</f>
        <v>1764906.74</v>
      </c>
      <c r="K3555" s="61">
        <f>Gastos[[#This Row],[Importe AR$]]/$N$1</f>
        <v>1164.9549438943895</v>
      </c>
      <c r="M3555" s="76"/>
      <c r="N3555" s="50" t="str">
        <f>IF(Gastos[[#This Row],[Fecha_Cheque]]&gt;0,WEEKNUM(Gastos[[#This Row],[Fecha_Cheque]]),MID(Gastos[[#This Row],[Semana]],6,2))</f>
        <v>27</v>
      </c>
      <c r="O3555" t="s">
        <v>3689</v>
      </c>
      <c r="P3555" t="s">
        <v>27</v>
      </c>
    </row>
    <row r="3556" spans="1:16" hidden="1" x14ac:dyDescent="0.25">
      <c r="A3556" s="3" t="s">
        <v>3907</v>
      </c>
      <c r="B3556" t="s">
        <v>454</v>
      </c>
      <c r="C3556" t="s">
        <v>3929</v>
      </c>
      <c r="D3556" t="s">
        <v>26</v>
      </c>
      <c r="E3556" t="s">
        <v>42</v>
      </c>
      <c r="F3556">
        <v>1</v>
      </c>
      <c r="G3556" s="3" t="s">
        <v>4</v>
      </c>
      <c r="H3556" s="51" t="s">
        <v>15</v>
      </c>
      <c r="I3556" s="17">
        <v>15512.4</v>
      </c>
      <c r="J3556" s="17">
        <f>IF(Gastos[[#This Row],[Divisa]]="$", I3556*1, IF(Gastos[[#This Row],[Divisa]]="U$D", I3556*$N$1, IF(Gastos[[#This Row],[Divisa]]="EUR", I3556*$N$2, 0)))</f>
        <v>15512.4</v>
      </c>
      <c r="K3556" s="61">
        <f>Gastos[[#This Row],[Importe AR$]]/$N$1</f>
        <v>10.239207920792079</v>
      </c>
      <c r="L3556" t="s">
        <v>340</v>
      </c>
      <c r="M3556" s="76"/>
      <c r="N3556" s="50" t="str">
        <f>IF(Gastos[[#This Row],[Fecha_Cheque]]&gt;0,WEEKNUM(Gastos[[#This Row],[Fecha_Cheque]]),MID(Gastos[[#This Row],[Semana]],6,2))</f>
        <v>31</v>
      </c>
      <c r="O3556" t="s">
        <v>3930</v>
      </c>
      <c r="P3556" t="s">
        <v>27</v>
      </c>
    </row>
    <row r="3557" spans="1:16" hidden="1" x14ac:dyDescent="0.25">
      <c r="A3557" s="3" t="s">
        <v>3641</v>
      </c>
      <c r="B3557" t="s">
        <v>1152</v>
      </c>
      <c r="C3557" t="s">
        <v>3663</v>
      </c>
      <c r="D3557" t="s">
        <v>26</v>
      </c>
      <c r="E3557" t="s">
        <v>31</v>
      </c>
      <c r="F3557">
        <v>1</v>
      </c>
      <c r="G3557" s="3" t="s">
        <v>32</v>
      </c>
      <c r="H3557" s="51" t="s">
        <v>15</v>
      </c>
      <c r="I3557" s="17">
        <v>34857.29</v>
      </c>
      <c r="J3557" s="17">
        <f>IF(Gastos[[#This Row],[Divisa]]="$", I3557*1, IF(Gastos[[#This Row],[Divisa]]="U$D", I3557*$N$1, IF(Gastos[[#This Row],[Divisa]]="EUR", I3557*$N$2, 0)))</f>
        <v>34857.29</v>
      </c>
      <c r="K3557" s="61">
        <f>Gastos[[#This Row],[Importe AR$]]/$N$1</f>
        <v>23.008112211221121</v>
      </c>
      <c r="M3557" s="76">
        <v>46233</v>
      </c>
      <c r="N3557" s="50">
        <f>IF(Gastos[[#This Row],[Fecha_Cheque]]&gt;0,WEEKNUM(Gastos[[#This Row],[Fecha_Cheque]]),MID(Gastos[[#This Row],[Semana]],6,2))</f>
        <v>31</v>
      </c>
      <c r="O3557" t="s">
        <v>3664</v>
      </c>
      <c r="P3557" t="s">
        <v>27</v>
      </c>
    </row>
    <row r="3558" spans="1:16" hidden="1" x14ac:dyDescent="0.25">
      <c r="A3558" s="3" t="s">
        <v>3641</v>
      </c>
      <c r="B3558" t="s">
        <v>1152</v>
      </c>
      <c r="C3558" t="s">
        <v>3669</v>
      </c>
      <c r="D3558" t="s">
        <v>26</v>
      </c>
      <c r="E3558" t="s">
        <v>31</v>
      </c>
      <c r="F3558">
        <v>1</v>
      </c>
      <c r="G3558" s="3" t="s">
        <v>5</v>
      </c>
      <c r="H3558" s="51" t="s">
        <v>15</v>
      </c>
      <c r="I3558" s="17">
        <v>72096.639999999999</v>
      </c>
      <c r="J3558" s="17">
        <f>IF(Gastos[[#This Row],[Divisa]]="$", I3558*1, IF(Gastos[[#This Row],[Divisa]]="U$D", I3558*$N$1, IF(Gastos[[#This Row],[Divisa]]="EUR", I3558*$N$2, 0)))</f>
        <v>72096.639999999999</v>
      </c>
      <c r="K3558" s="61">
        <f>Gastos[[#This Row],[Importe AR$]]/$N$1</f>
        <v>47.58854125412541</v>
      </c>
      <c r="M3558" s="76"/>
      <c r="N3558" s="50" t="str">
        <f>IF(Gastos[[#This Row],[Fecha_Cheque]]&gt;0,WEEKNUM(Gastos[[#This Row],[Fecha_Cheque]]),MID(Gastos[[#This Row],[Semana]],6,2))</f>
        <v>27</v>
      </c>
      <c r="O3558" t="s">
        <v>3691</v>
      </c>
      <c r="P3558" t="s">
        <v>27</v>
      </c>
    </row>
    <row r="3559" spans="1:16" hidden="1" x14ac:dyDescent="0.25">
      <c r="A3559" s="3" t="s">
        <v>3718</v>
      </c>
      <c r="B3559" t="s">
        <v>921</v>
      </c>
      <c r="C3559" t="s">
        <v>118</v>
      </c>
      <c r="D3559" t="s">
        <v>26</v>
      </c>
      <c r="E3559" t="s">
        <v>132</v>
      </c>
      <c r="F3559">
        <v>2</v>
      </c>
      <c r="G3559" s="3" t="s">
        <v>32</v>
      </c>
      <c r="H3559" s="51" t="s">
        <v>15</v>
      </c>
      <c r="I3559" s="17">
        <v>2726733</v>
      </c>
      <c r="J3559" s="17">
        <f>IF(Gastos[[#This Row],[Divisa]]="$", I3559*1, IF(Gastos[[#This Row],[Divisa]]="U$D", I3559*$N$1, IF(Gastos[[#This Row],[Divisa]]="EUR", I3559*$N$2, 0)))</f>
        <v>2726733</v>
      </c>
      <c r="K3559" s="61">
        <f>Gastos[[#This Row],[Importe AR$]]/$N$1</f>
        <v>1799.8237623762377</v>
      </c>
      <c r="M3559" s="76">
        <v>46266</v>
      </c>
      <c r="N3559" s="50">
        <f>IF(Gastos[[#This Row],[Fecha_Cheque]]&gt;0,WEEKNUM(Gastos[[#This Row],[Fecha_Cheque]]),MID(Gastos[[#This Row],[Semana]],6,2))</f>
        <v>36</v>
      </c>
      <c r="O3559" t="s">
        <v>3732</v>
      </c>
      <c r="P3559" t="s">
        <v>27</v>
      </c>
    </row>
    <row r="3560" spans="1:16" hidden="1" x14ac:dyDescent="0.25">
      <c r="A3560" s="3" t="s">
        <v>3718</v>
      </c>
      <c r="B3560" t="s">
        <v>921</v>
      </c>
      <c r="C3560" t="s">
        <v>118</v>
      </c>
      <c r="D3560" t="s">
        <v>26</v>
      </c>
      <c r="E3560" t="s">
        <v>132</v>
      </c>
      <c r="F3560">
        <v>2</v>
      </c>
      <c r="G3560" s="3" t="s">
        <v>32</v>
      </c>
      <c r="H3560" s="51" t="s">
        <v>15</v>
      </c>
      <c r="I3560" s="17">
        <v>2726733</v>
      </c>
      <c r="J3560" s="17">
        <f>IF(Gastos[[#This Row],[Divisa]]="$", I3560*1, IF(Gastos[[#This Row],[Divisa]]="U$D", I3560*$N$1, IF(Gastos[[#This Row],[Divisa]]="EUR", I3560*$N$2, 0)))</f>
        <v>2726733</v>
      </c>
      <c r="K3560" s="61">
        <f>Gastos[[#This Row],[Importe AR$]]/$N$1</f>
        <v>1799.8237623762377</v>
      </c>
      <c r="M3560" s="76">
        <v>46269</v>
      </c>
      <c r="N3560" s="50">
        <f>IF(Gastos[[#This Row],[Fecha_Cheque]]&gt;0,WEEKNUM(Gastos[[#This Row],[Fecha_Cheque]]),MID(Gastos[[#This Row],[Semana]],6,2))</f>
        <v>36</v>
      </c>
      <c r="O3560" t="s">
        <v>3732</v>
      </c>
      <c r="P3560" t="s">
        <v>27</v>
      </c>
    </row>
    <row r="3561" spans="1:16" hidden="1" x14ac:dyDescent="0.25">
      <c r="A3561" s="3" t="s">
        <v>3591</v>
      </c>
      <c r="B3561" t="s">
        <v>1854</v>
      </c>
      <c r="C3561" t="s">
        <v>2667</v>
      </c>
      <c r="D3561" t="s">
        <v>26</v>
      </c>
      <c r="E3561" t="s">
        <v>132</v>
      </c>
      <c r="F3561">
        <v>2</v>
      </c>
      <c r="G3561" s="3" t="s">
        <v>32</v>
      </c>
      <c r="H3561" s="51" t="s">
        <v>2</v>
      </c>
      <c r="I3561" s="17">
        <v>1600</v>
      </c>
      <c r="J3561" s="17">
        <f>IF(Gastos[[#This Row],[Divisa]]="$", I3561*1, IF(Gastos[[#This Row],[Divisa]]="U$D", I3561*$N$1, IF(Gastos[[#This Row],[Divisa]]="EUR", I3561*$N$2, 0)))</f>
        <v>2424000</v>
      </c>
      <c r="K3561" s="61">
        <f>Gastos[[#This Row],[Importe AR$]]/$N$1</f>
        <v>1600</v>
      </c>
      <c r="M3561" s="76"/>
      <c r="N3561" s="50" t="str">
        <f>IF(Gastos[[#This Row],[Fecha_Cheque]]&gt;0,WEEKNUM(Gastos[[#This Row],[Fecha_Cheque]]),MID(Gastos[[#This Row],[Semana]],6,2))</f>
        <v>26</v>
      </c>
      <c r="O3561" t="s">
        <v>3595</v>
      </c>
      <c r="P3561" t="s">
        <v>27</v>
      </c>
    </row>
    <row r="3562" spans="1:16" hidden="1" x14ac:dyDescent="0.25">
      <c r="A3562" s="3" t="s">
        <v>3440</v>
      </c>
      <c r="B3562" t="s">
        <v>3169</v>
      </c>
      <c r="C3562" t="s">
        <v>3170</v>
      </c>
      <c r="D3562" t="s">
        <v>26</v>
      </c>
      <c r="E3562" t="s">
        <v>62</v>
      </c>
      <c r="F3562">
        <v>1</v>
      </c>
      <c r="G3562" s="3" t="s">
        <v>4</v>
      </c>
      <c r="H3562" s="51" t="s">
        <v>15</v>
      </c>
      <c r="I3562" s="17">
        <v>100000</v>
      </c>
      <c r="J3562" s="17">
        <f>IF(Gastos[[#This Row],[Divisa]]="$", I3562*1, IF(Gastos[[#This Row],[Divisa]]="U$D", I3562*$N$1, IF(Gastos[[#This Row],[Divisa]]="EUR", I3562*$N$2, 0)))</f>
        <v>100000</v>
      </c>
      <c r="K3562" s="61">
        <f>Gastos[[#This Row],[Importe AR$]]/$N$1</f>
        <v>66.006600660066013</v>
      </c>
      <c r="M3562" s="76"/>
      <c r="N3562" s="50" t="str">
        <f>IF(Gastos[[#This Row],[Fecha_Cheque]]&gt;0,WEEKNUM(Gastos[[#This Row],[Fecha_Cheque]]),MID(Gastos[[#This Row],[Semana]],6,2))</f>
        <v>25</v>
      </c>
      <c r="O3562" t="s">
        <v>3589</v>
      </c>
      <c r="P3562" t="s">
        <v>27</v>
      </c>
    </row>
    <row r="3563" spans="1:16" x14ac:dyDescent="0.25">
      <c r="A3563" s="3" t="s">
        <v>3990</v>
      </c>
      <c r="B3563" t="s">
        <v>454</v>
      </c>
      <c r="C3563" t="s">
        <v>3929</v>
      </c>
      <c r="D3563" t="s">
        <v>26</v>
      </c>
      <c r="E3563" t="s">
        <v>62</v>
      </c>
      <c r="F3563">
        <v>1</v>
      </c>
      <c r="G3563" s="3" t="s">
        <v>32</v>
      </c>
      <c r="H3563" s="51" t="s">
        <v>15</v>
      </c>
      <c r="I3563" s="17">
        <f>38000+75000</f>
        <v>113000</v>
      </c>
      <c r="J3563" s="17">
        <f>IF(Gastos[[#This Row],[Divisa]]="$", I3563*1, IF(Gastos[[#This Row],[Divisa]]="U$D", I3563*$N$1, IF(Gastos[[#This Row],[Divisa]]="EUR", I3563*$N$2, 0)))</f>
        <v>113000</v>
      </c>
      <c r="K3563" s="61">
        <f>Gastos[[#This Row],[Importe AR$]]/$N$1</f>
        <v>74.587458745874585</v>
      </c>
      <c r="M3563" s="76"/>
      <c r="N3563" s="50" t="str">
        <f>IF(Gastos[[#This Row],[Fecha_Cheque]]&gt;0,WEEKNUM(Gastos[[#This Row],[Fecha_Cheque]]),MID(Gastos[[#This Row],[Semana]],6,2))</f>
        <v>32</v>
      </c>
      <c r="P3563" t="s">
        <v>3991</v>
      </c>
    </row>
    <row r="3564" spans="1:16" x14ac:dyDescent="0.25">
      <c r="A3564" s="3" t="s">
        <v>3990</v>
      </c>
      <c r="B3564" t="s">
        <v>478</v>
      </c>
      <c r="C3564" t="s">
        <v>3919</v>
      </c>
      <c r="D3564" t="s">
        <v>26</v>
      </c>
      <c r="E3564" t="s">
        <v>31</v>
      </c>
      <c r="F3564">
        <v>1</v>
      </c>
      <c r="G3564" s="3" t="s">
        <v>5</v>
      </c>
      <c r="H3564" s="53" t="s">
        <v>15</v>
      </c>
      <c r="I3564" s="17">
        <v>3282681.6</v>
      </c>
      <c r="J3564" s="17">
        <f>IF(Gastos[[#This Row],[Divisa]]="$", I3564*1, IF(Gastos[[#This Row],[Divisa]]="U$D", I3564*$N$1, IF(Gastos[[#This Row],[Divisa]]="EUR", I3564*$N$2, 0)))</f>
        <v>3282681.6</v>
      </c>
      <c r="K3564" s="61">
        <f>Gastos[[#This Row],[Importe AR$]]/$N$1</f>
        <v>2166.7865346534654</v>
      </c>
      <c r="M3564" s="76"/>
      <c r="N3564" s="50" t="str">
        <f>IF(Gastos[[#This Row],[Fecha_Cheque]]&gt;0,WEEKNUM(Gastos[[#This Row],[Fecha_Cheque]]),MID(Gastos[[#This Row],[Semana]],6,2))</f>
        <v>32</v>
      </c>
    </row>
    <row r="3565" spans="1:16" x14ac:dyDescent="0.25">
      <c r="A3565" s="3" t="s">
        <v>3990</v>
      </c>
      <c r="B3565" t="s">
        <v>3155</v>
      </c>
      <c r="C3565" t="s">
        <v>3156</v>
      </c>
      <c r="D3565" t="s">
        <v>26</v>
      </c>
      <c r="E3565" t="s">
        <v>42</v>
      </c>
      <c r="F3565">
        <v>1</v>
      </c>
      <c r="G3565" s="3" t="s">
        <v>4</v>
      </c>
      <c r="H3565" s="53" t="s">
        <v>15</v>
      </c>
      <c r="I3565" s="17">
        <v>250000</v>
      </c>
      <c r="J3565" s="17">
        <f>IF(Gastos[[#This Row],[Divisa]]="$", I3565*1, IF(Gastos[[#This Row],[Divisa]]="U$D", I3565*$N$1, IF(Gastos[[#This Row],[Divisa]]="EUR", I3565*$N$2, 0)))</f>
        <v>250000</v>
      </c>
      <c r="K3565" s="61">
        <f>Gastos[[#This Row],[Importe AR$]]/$N$1</f>
        <v>165.01650165016503</v>
      </c>
      <c r="M3565" s="76"/>
      <c r="N3565" s="50" t="str">
        <f>IF(Gastos[[#This Row],[Fecha_Cheque]]&gt;0,WEEKNUM(Gastos[[#This Row],[Fecha_Cheque]]),MID(Gastos[[#This Row],[Semana]],6,2))</f>
        <v>32</v>
      </c>
      <c r="P3565" t="s">
        <v>3991</v>
      </c>
    </row>
    <row r="3566" spans="1:16" hidden="1" x14ac:dyDescent="0.25">
      <c r="A3566" s="3" t="s">
        <v>3907</v>
      </c>
      <c r="B3566" t="s">
        <v>3020</v>
      </c>
      <c r="C3566" t="s">
        <v>3879</v>
      </c>
      <c r="D3566" t="s">
        <v>26</v>
      </c>
      <c r="E3566" t="s">
        <v>62</v>
      </c>
      <c r="F3566">
        <v>1</v>
      </c>
      <c r="G3566" s="3" t="s">
        <v>32</v>
      </c>
      <c r="H3566" s="51" t="s">
        <v>15</v>
      </c>
      <c r="I3566" s="17">
        <v>2995034.35</v>
      </c>
      <c r="J3566" s="17">
        <f>IF(Gastos[[#This Row],[Divisa]]="$", I3566*1, IF(Gastos[[#This Row],[Divisa]]="U$D", I3566*$N$1, IF(Gastos[[#This Row],[Divisa]]="EUR", I3566*$N$2, 0)))</f>
        <v>2995034.35</v>
      </c>
      <c r="K3566" s="61">
        <f>Gastos[[#This Row],[Importe AR$]]/$N$1</f>
        <v>1976.9203630363038</v>
      </c>
      <c r="M3566" s="76">
        <v>46246</v>
      </c>
      <c r="N3566" s="50">
        <f>IF(Gastos[[#This Row],[Fecha_Cheque]]&gt;0,WEEKNUM(Gastos[[#This Row],[Fecha_Cheque]]),MID(Gastos[[#This Row],[Semana]],6,2))</f>
        <v>33</v>
      </c>
      <c r="O3566" t="s">
        <v>3950</v>
      </c>
      <c r="P3566" t="s">
        <v>27</v>
      </c>
    </row>
    <row r="3567" spans="1:16" hidden="1" x14ac:dyDescent="0.25">
      <c r="A3567" s="3" t="s">
        <v>3641</v>
      </c>
      <c r="B3567" t="s">
        <v>2930</v>
      </c>
      <c r="C3567" t="s">
        <v>3650</v>
      </c>
      <c r="D3567" t="s">
        <v>26</v>
      </c>
      <c r="E3567" t="s">
        <v>42</v>
      </c>
      <c r="F3567">
        <v>1</v>
      </c>
      <c r="G3567" s="3" t="s">
        <v>4</v>
      </c>
      <c r="H3567" s="51" t="s">
        <v>15</v>
      </c>
      <c r="I3567" s="17">
        <v>12060.5</v>
      </c>
      <c r="J3567" s="17">
        <f>IF(Gastos[[#This Row],[Divisa]]="$", I3567*1, IF(Gastos[[#This Row],[Divisa]]="U$D", I3567*$N$1, IF(Gastos[[#This Row],[Divisa]]="EUR", I3567*$N$2, 0)))</f>
        <v>12060.5</v>
      </c>
      <c r="K3567" s="61">
        <f>Gastos[[#This Row],[Importe AR$]]/$N$1</f>
        <v>7.9607260726072608</v>
      </c>
      <c r="M3567" s="76"/>
      <c r="N3567" s="50" t="str">
        <f>IF(Gastos[[#This Row],[Fecha_Cheque]]&gt;0,WEEKNUM(Gastos[[#This Row],[Fecha_Cheque]]),MID(Gastos[[#This Row],[Semana]],6,2))</f>
        <v>27</v>
      </c>
      <c r="O3567" t="s">
        <v>3651</v>
      </c>
      <c r="P3567" t="s">
        <v>27</v>
      </c>
    </row>
    <row r="3568" spans="1:16" hidden="1" x14ac:dyDescent="0.25">
      <c r="A3568" s="3" t="s">
        <v>3440</v>
      </c>
      <c r="B3568" t="s">
        <v>2587</v>
      </c>
      <c r="C3568" t="s">
        <v>1948</v>
      </c>
      <c r="D3568" t="s">
        <v>26</v>
      </c>
      <c r="E3568" t="s">
        <v>31</v>
      </c>
      <c r="F3568">
        <v>1</v>
      </c>
      <c r="G3568" s="3" t="s">
        <v>5</v>
      </c>
      <c r="H3568" s="51" t="s">
        <v>15</v>
      </c>
      <c r="I3568" s="17">
        <v>140400</v>
      </c>
      <c r="J3568" s="17">
        <f>IF(Gastos[[#This Row],[Divisa]]="$", I3568*1, IF(Gastos[[#This Row],[Divisa]]="U$D", I3568*$N$1, IF(Gastos[[#This Row],[Divisa]]="EUR", I3568*$N$2, 0)))</f>
        <v>140400</v>
      </c>
      <c r="K3568" s="61">
        <f>Gastos[[#This Row],[Importe AR$]]/$N$1</f>
        <v>92.67326732673267</v>
      </c>
      <c r="M3568" s="76"/>
      <c r="N3568" s="50" t="str">
        <f>IF(Gastos[[#This Row],[Fecha_Cheque]]&gt;0,WEEKNUM(Gastos[[#This Row],[Fecha_Cheque]]),MID(Gastos[[#This Row],[Semana]],6,2))</f>
        <v>25</v>
      </c>
      <c r="O3568" t="s">
        <v>3537</v>
      </c>
      <c r="P3568" t="s">
        <v>27</v>
      </c>
    </row>
    <row r="3569" spans="1:16" hidden="1" x14ac:dyDescent="0.25">
      <c r="A3569" s="3" t="s">
        <v>3440</v>
      </c>
      <c r="B3569" t="s">
        <v>2587</v>
      </c>
      <c r="C3569" t="s">
        <v>1948</v>
      </c>
      <c r="D3569" t="s">
        <v>26</v>
      </c>
      <c r="E3569" t="s">
        <v>31</v>
      </c>
      <c r="F3569">
        <v>1</v>
      </c>
      <c r="G3569" s="3" t="s">
        <v>5</v>
      </c>
      <c r="H3569" s="51" t="s">
        <v>15</v>
      </c>
      <c r="I3569" s="17">
        <v>72100</v>
      </c>
      <c r="J3569" s="17">
        <f>IF(Gastos[[#This Row],[Divisa]]="$", I3569*1, IF(Gastos[[#This Row],[Divisa]]="U$D", I3569*$N$1, IF(Gastos[[#This Row],[Divisa]]="EUR", I3569*$N$2, 0)))</f>
        <v>72100</v>
      </c>
      <c r="K3569" s="61">
        <f>Gastos[[#This Row],[Importe AR$]]/$N$1</f>
        <v>47.590759075907592</v>
      </c>
      <c r="M3569" s="76"/>
      <c r="N3569" s="50" t="str">
        <f>IF(Gastos[[#This Row],[Fecha_Cheque]]&gt;0,WEEKNUM(Gastos[[#This Row],[Fecha_Cheque]]),MID(Gastos[[#This Row],[Semana]],6,2))</f>
        <v>25</v>
      </c>
      <c r="O3569" t="s">
        <v>3571</v>
      </c>
      <c r="P3569" t="s">
        <v>27</v>
      </c>
    </row>
    <row r="3570" spans="1:16" hidden="1" x14ac:dyDescent="0.25">
      <c r="A3570" s="3" t="s">
        <v>3440</v>
      </c>
      <c r="B3570" t="s">
        <v>3099</v>
      </c>
      <c r="C3570" t="s">
        <v>3573</v>
      </c>
      <c r="D3570" t="s">
        <v>26</v>
      </c>
      <c r="E3570" t="s">
        <v>31</v>
      </c>
      <c r="F3570">
        <v>1</v>
      </c>
      <c r="G3570" s="3" t="s">
        <v>32</v>
      </c>
      <c r="H3570" s="51" t="s">
        <v>15</v>
      </c>
      <c r="I3570" s="17">
        <v>575680</v>
      </c>
      <c r="J3570" s="17">
        <f>IF(Gastos[[#This Row],[Divisa]]="$", I3570*1, IF(Gastos[[#This Row],[Divisa]]="U$D", I3570*$N$1, IF(Gastos[[#This Row],[Divisa]]="EUR", I3570*$N$2, 0)))</f>
        <v>575680</v>
      </c>
      <c r="K3570" s="61">
        <f>Gastos[[#This Row],[Importe AR$]]/$N$1</f>
        <v>379.986798679868</v>
      </c>
      <c r="M3570" s="76">
        <v>46221</v>
      </c>
      <c r="N3570" s="50">
        <f>IF(Gastos[[#This Row],[Fecha_Cheque]]&gt;0,WEEKNUM(Gastos[[#This Row],[Fecha_Cheque]]),MID(Gastos[[#This Row],[Semana]],6,2))</f>
        <v>29</v>
      </c>
      <c r="O3570" t="s">
        <v>3574</v>
      </c>
      <c r="P3570" t="s">
        <v>27</v>
      </c>
    </row>
    <row r="3571" spans="1:16" hidden="1" x14ac:dyDescent="0.25">
      <c r="A3571" s="3" t="s">
        <v>3440</v>
      </c>
      <c r="B3571" t="s">
        <v>3099</v>
      </c>
      <c r="C3571" t="s">
        <v>3573</v>
      </c>
      <c r="D3571" t="s">
        <v>26</v>
      </c>
      <c r="E3571" t="s">
        <v>31</v>
      </c>
      <c r="F3571">
        <v>1</v>
      </c>
      <c r="G3571" s="3" t="s">
        <v>32</v>
      </c>
      <c r="H3571" s="51" t="s">
        <v>15</v>
      </c>
      <c r="I3571" s="17">
        <v>5120</v>
      </c>
      <c r="J3571" s="17">
        <f>IF(Gastos[[#This Row],[Divisa]]="$", I3571*1, IF(Gastos[[#This Row],[Divisa]]="U$D", I3571*$N$1, IF(Gastos[[#This Row],[Divisa]]="EUR", I3571*$N$2, 0)))</f>
        <v>5120</v>
      </c>
      <c r="K3571" s="61">
        <f>Gastos[[#This Row],[Importe AR$]]/$N$1</f>
        <v>3.3795379537953796</v>
      </c>
      <c r="L3571" t="s">
        <v>340</v>
      </c>
      <c r="M3571" s="76"/>
      <c r="N3571" s="50" t="str">
        <f>IF(Gastos[[#This Row],[Fecha_Cheque]]&gt;0,WEEKNUM(Gastos[[#This Row],[Fecha_Cheque]]),MID(Gastos[[#This Row],[Semana]],6,2))</f>
        <v>25</v>
      </c>
      <c r="O3571" t="s">
        <v>3574</v>
      </c>
      <c r="P3571" t="s">
        <v>27</v>
      </c>
    </row>
    <row r="3572" spans="1:16" hidden="1" x14ac:dyDescent="0.25">
      <c r="A3572" s="3" t="s">
        <v>3440</v>
      </c>
      <c r="B3572" t="s">
        <v>1152</v>
      </c>
      <c r="C3572" t="s">
        <v>3575</v>
      </c>
      <c r="D3572" t="s">
        <v>26</v>
      </c>
      <c r="E3572" t="s">
        <v>31</v>
      </c>
      <c r="F3572">
        <v>1</v>
      </c>
      <c r="G3572" s="3" t="s">
        <v>32</v>
      </c>
      <c r="H3572" s="51" t="s">
        <v>15</v>
      </c>
      <c r="I3572" s="17">
        <v>309980.87</v>
      </c>
      <c r="J3572" s="17">
        <f>IF(Gastos[[#This Row],[Divisa]]="$", I3572*1, IF(Gastos[[#This Row],[Divisa]]="U$D", I3572*$N$1, IF(Gastos[[#This Row],[Divisa]]="EUR", I3572*$N$2, 0)))</f>
        <v>309980.87</v>
      </c>
      <c r="K3572" s="61">
        <f>Gastos[[#This Row],[Importe AR$]]/$N$1</f>
        <v>204.60783498349835</v>
      </c>
      <c r="M3572" s="76">
        <v>46192</v>
      </c>
      <c r="N3572" s="50">
        <f>IF(Gastos[[#This Row],[Fecha_Cheque]]&gt;0,WEEKNUM(Gastos[[#This Row],[Fecha_Cheque]]),MID(Gastos[[#This Row],[Semana]],6,2))</f>
        <v>25</v>
      </c>
      <c r="O3572" t="s">
        <v>3576</v>
      </c>
      <c r="P3572" t="s">
        <v>27</v>
      </c>
    </row>
    <row r="3573" spans="1:16" hidden="1" x14ac:dyDescent="0.25">
      <c r="A3573" s="3" t="s">
        <v>3440</v>
      </c>
      <c r="B3573" t="s">
        <v>1152</v>
      </c>
      <c r="C3573" t="s">
        <v>3575</v>
      </c>
      <c r="D3573" t="s">
        <v>26</v>
      </c>
      <c r="E3573" t="s">
        <v>31</v>
      </c>
      <c r="F3573">
        <v>1</v>
      </c>
      <c r="G3573" s="3" t="s">
        <v>32</v>
      </c>
      <c r="H3573" s="51" t="s">
        <v>15</v>
      </c>
      <c r="I3573" s="17">
        <v>3438.74</v>
      </c>
      <c r="J3573" s="17">
        <f>IF(Gastos[[#This Row],[Divisa]]="$", I3573*1, IF(Gastos[[#This Row],[Divisa]]="U$D", I3573*$N$1, IF(Gastos[[#This Row],[Divisa]]="EUR", I3573*$N$2, 0)))</f>
        <v>3438.74</v>
      </c>
      <c r="K3573" s="61">
        <f>Gastos[[#This Row],[Importe AR$]]/$N$1</f>
        <v>2.2697953795379537</v>
      </c>
      <c r="M3573" s="76"/>
      <c r="N3573" s="50" t="str">
        <f>IF(Gastos[[#This Row],[Fecha_Cheque]]&gt;0,WEEKNUM(Gastos[[#This Row],[Fecha_Cheque]]),MID(Gastos[[#This Row],[Semana]],6,2))</f>
        <v>25</v>
      </c>
      <c r="O3573" t="s">
        <v>3576</v>
      </c>
      <c r="P3573" t="s">
        <v>27</v>
      </c>
    </row>
    <row r="3574" spans="1:16" hidden="1" x14ac:dyDescent="0.25">
      <c r="A3574" s="3" t="s">
        <v>3440</v>
      </c>
      <c r="B3574" t="s">
        <v>3297</v>
      </c>
      <c r="C3574" t="s">
        <v>3578</v>
      </c>
      <c r="D3574" t="s">
        <v>26</v>
      </c>
      <c r="E3574" t="s">
        <v>42</v>
      </c>
      <c r="F3574">
        <v>2</v>
      </c>
      <c r="G3574" s="3" t="s">
        <v>4</v>
      </c>
      <c r="H3574" s="51" t="s">
        <v>15</v>
      </c>
      <c r="I3574" s="17">
        <v>400000</v>
      </c>
      <c r="J3574" s="17">
        <f>IF(Gastos[[#This Row],[Divisa]]="$", I3574*1, IF(Gastos[[#This Row],[Divisa]]="U$D", I3574*$N$1, IF(Gastos[[#This Row],[Divisa]]="EUR", I3574*$N$2, 0)))</f>
        <v>400000</v>
      </c>
      <c r="K3574" s="61">
        <f>Gastos[[#This Row],[Importe AR$]]/$N$1</f>
        <v>264.02640264026405</v>
      </c>
      <c r="M3574" s="76"/>
      <c r="N3574" s="50" t="str">
        <f>IF(Gastos[[#This Row],[Fecha_Cheque]]&gt;0,WEEKNUM(Gastos[[#This Row],[Fecha_Cheque]]),MID(Gastos[[#This Row],[Semana]],6,2))</f>
        <v>25</v>
      </c>
      <c r="O3574" t="s">
        <v>3579</v>
      </c>
      <c r="P3574" t="s">
        <v>27</v>
      </c>
    </row>
    <row r="3575" spans="1:16" hidden="1" x14ac:dyDescent="0.25">
      <c r="A3575" s="3" t="s">
        <v>3440</v>
      </c>
      <c r="B3575" t="s">
        <v>2728</v>
      </c>
      <c r="C3575" t="s">
        <v>3578</v>
      </c>
      <c r="D3575" t="s">
        <v>26</v>
      </c>
      <c r="E3575" t="s">
        <v>42</v>
      </c>
      <c r="F3575">
        <v>2</v>
      </c>
      <c r="G3575" s="3" t="s">
        <v>4</v>
      </c>
      <c r="H3575" s="51" t="s">
        <v>15</v>
      </c>
      <c r="I3575" s="17">
        <v>400000</v>
      </c>
      <c r="J3575" s="17">
        <f>IF(Gastos[[#This Row],[Divisa]]="$", I3575*1, IF(Gastos[[#This Row],[Divisa]]="U$D", I3575*$N$1, IF(Gastos[[#This Row],[Divisa]]="EUR", I3575*$N$2, 0)))</f>
        <v>400000</v>
      </c>
      <c r="K3575" s="61">
        <f>Gastos[[#This Row],[Importe AR$]]/$N$1</f>
        <v>264.02640264026405</v>
      </c>
      <c r="M3575" s="76"/>
      <c r="N3575" s="50" t="str">
        <f>IF(Gastos[[#This Row],[Fecha_Cheque]]&gt;0,WEEKNUM(Gastos[[#This Row],[Fecha_Cheque]]),MID(Gastos[[#This Row],[Semana]],6,2))</f>
        <v>25</v>
      </c>
      <c r="O3575" t="s">
        <v>3580</v>
      </c>
      <c r="P3575" t="s">
        <v>27</v>
      </c>
    </row>
    <row r="3576" spans="1:16" hidden="1" x14ac:dyDescent="0.25">
      <c r="A3576" s="3" t="s">
        <v>3440</v>
      </c>
      <c r="B3576" t="s">
        <v>1606</v>
      </c>
      <c r="C3576" t="s">
        <v>3581</v>
      </c>
      <c r="D3576" t="s">
        <v>26</v>
      </c>
      <c r="E3576" t="s">
        <v>42</v>
      </c>
      <c r="F3576">
        <v>2</v>
      </c>
      <c r="G3576" s="3" t="s">
        <v>4</v>
      </c>
      <c r="H3576" s="51" t="s">
        <v>15</v>
      </c>
      <c r="I3576" s="17">
        <v>350000</v>
      </c>
      <c r="J3576" s="17">
        <f>IF(Gastos[[#This Row],[Divisa]]="$", I3576*1, IF(Gastos[[#This Row],[Divisa]]="U$D", I3576*$N$1, IF(Gastos[[#This Row],[Divisa]]="EUR", I3576*$N$2, 0)))</f>
        <v>350000</v>
      </c>
      <c r="K3576" s="61">
        <f>Gastos[[#This Row],[Importe AR$]]/$N$1</f>
        <v>231.02310231023102</v>
      </c>
      <c r="M3576" s="76"/>
      <c r="N3576" s="50" t="str">
        <f>IF(Gastos[[#This Row],[Fecha_Cheque]]&gt;0,WEEKNUM(Gastos[[#This Row],[Fecha_Cheque]]),MID(Gastos[[#This Row],[Semana]],6,2))</f>
        <v>25</v>
      </c>
      <c r="O3576" t="s">
        <v>3582</v>
      </c>
      <c r="P3576" t="s">
        <v>27</v>
      </c>
    </row>
    <row r="3577" spans="1:16" hidden="1" x14ac:dyDescent="0.25">
      <c r="A3577" s="3" t="s">
        <v>3440</v>
      </c>
      <c r="B3577" t="s">
        <v>2922</v>
      </c>
      <c r="C3577" t="s">
        <v>3583</v>
      </c>
      <c r="D3577" t="s">
        <v>26</v>
      </c>
      <c r="E3577" t="s">
        <v>42</v>
      </c>
      <c r="F3577">
        <v>2</v>
      </c>
      <c r="G3577" s="3" t="s">
        <v>4</v>
      </c>
      <c r="H3577" s="51" t="s">
        <v>15</v>
      </c>
      <c r="I3577" s="17">
        <v>500000</v>
      </c>
      <c r="J3577" s="17">
        <f>IF(Gastos[[#This Row],[Divisa]]="$", I3577*1, IF(Gastos[[#This Row],[Divisa]]="U$D", I3577*$N$1, IF(Gastos[[#This Row],[Divisa]]="EUR", I3577*$N$2, 0)))</f>
        <v>500000</v>
      </c>
      <c r="K3577" s="61">
        <f>Gastos[[#This Row],[Importe AR$]]/$N$1</f>
        <v>330.03300330033005</v>
      </c>
      <c r="M3577" s="76"/>
      <c r="N3577" s="50" t="str">
        <f>IF(Gastos[[#This Row],[Fecha_Cheque]]&gt;0,WEEKNUM(Gastos[[#This Row],[Fecha_Cheque]]),MID(Gastos[[#This Row],[Semana]],6,2))</f>
        <v>25</v>
      </c>
      <c r="O3577" t="s">
        <v>3588</v>
      </c>
      <c r="P3577" t="s">
        <v>27</v>
      </c>
    </row>
    <row r="3578" spans="1:16" hidden="1" x14ac:dyDescent="0.25">
      <c r="A3578" s="3" t="s">
        <v>3440</v>
      </c>
      <c r="B3578" t="s">
        <v>1454</v>
      </c>
      <c r="C3578" t="s">
        <v>3586</v>
      </c>
      <c r="D3578" t="s">
        <v>26</v>
      </c>
      <c r="E3578" t="s">
        <v>31</v>
      </c>
      <c r="F3578">
        <v>1</v>
      </c>
      <c r="G3578" s="3" t="s">
        <v>32</v>
      </c>
      <c r="H3578" s="51" t="s">
        <v>15</v>
      </c>
      <c r="I3578" s="17">
        <v>701221.78</v>
      </c>
      <c r="J3578" s="17">
        <f>IF(Gastos[[#This Row],[Divisa]]="$", I3578*1, IF(Gastos[[#This Row],[Divisa]]="U$D", I3578*$N$1, IF(Gastos[[#This Row],[Divisa]]="EUR", I3578*$N$2, 0)))</f>
        <v>701221.78</v>
      </c>
      <c r="K3578" s="61">
        <f>Gastos[[#This Row],[Importe AR$]]/$N$1</f>
        <v>462.85266006600659</v>
      </c>
      <c r="M3578" s="76">
        <v>46222</v>
      </c>
      <c r="N3578" s="50">
        <f>IF(Gastos[[#This Row],[Fecha_Cheque]]&gt;0,WEEKNUM(Gastos[[#This Row],[Fecha_Cheque]]),MID(Gastos[[#This Row],[Semana]],6,2))</f>
        <v>30</v>
      </c>
      <c r="O3578" t="s">
        <v>3587</v>
      </c>
      <c r="P3578" t="s">
        <v>27</v>
      </c>
    </row>
    <row r="3579" spans="1:16" hidden="1" x14ac:dyDescent="0.25">
      <c r="A3579" s="3" t="s">
        <v>3440</v>
      </c>
      <c r="B3579" t="s">
        <v>1454</v>
      </c>
      <c r="C3579" t="s">
        <v>3586</v>
      </c>
      <c r="D3579" t="s">
        <v>26</v>
      </c>
      <c r="E3579" t="s">
        <v>31</v>
      </c>
      <c r="F3579">
        <v>1</v>
      </c>
      <c r="G3579" s="3" t="s">
        <v>32</v>
      </c>
      <c r="H3579" s="51" t="s">
        <v>15</v>
      </c>
      <c r="I3579" s="17">
        <v>7230.02</v>
      </c>
      <c r="J3579" s="17">
        <f>IF(Gastos[[#This Row],[Divisa]]="$", I3579*1, IF(Gastos[[#This Row],[Divisa]]="U$D", I3579*$N$1, IF(Gastos[[#This Row],[Divisa]]="EUR", I3579*$N$2, 0)))</f>
        <v>7230.02</v>
      </c>
      <c r="K3579" s="61">
        <f>Gastos[[#This Row],[Importe AR$]]/$N$1</f>
        <v>4.7722904290429042</v>
      </c>
      <c r="L3579" t="s">
        <v>340</v>
      </c>
      <c r="M3579" s="76"/>
      <c r="N3579" s="50" t="str">
        <f>IF(Gastos[[#This Row],[Fecha_Cheque]]&gt;0,WEEKNUM(Gastos[[#This Row],[Fecha_Cheque]]),MID(Gastos[[#This Row],[Semana]],6,2))</f>
        <v>25</v>
      </c>
      <c r="O3579" t="s">
        <v>3587</v>
      </c>
      <c r="P3579" t="s">
        <v>27</v>
      </c>
    </row>
    <row r="3580" spans="1:16" hidden="1" x14ac:dyDescent="0.25">
      <c r="A3580" s="3" t="s">
        <v>3440</v>
      </c>
      <c r="B3580" t="s">
        <v>2321</v>
      </c>
      <c r="C3580" t="s">
        <v>125</v>
      </c>
      <c r="D3580" t="s">
        <v>26</v>
      </c>
      <c r="E3580" t="s">
        <v>62</v>
      </c>
      <c r="F3580">
        <v>1</v>
      </c>
      <c r="G3580" s="3" t="s">
        <v>5</v>
      </c>
      <c r="H3580" s="51" t="s">
        <v>15</v>
      </c>
      <c r="I3580" s="17">
        <v>964500</v>
      </c>
      <c r="J3580" s="17">
        <f>IF(Gastos[[#This Row],[Divisa]]="$", I3580*1, IF(Gastos[[#This Row],[Divisa]]="U$D", I3580*$N$1, IF(Gastos[[#This Row],[Divisa]]="EUR", I3580*$N$2, 0)))</f>
        <v>964500</v>
      </c>
      <c r="K3580" s="61">
        <f>Gastos[[#This Row],[Importe AR$]]/$N$1</f>
        <v>636.63366336633658</v>
      </c>
      <c r="M3580" s="76"/>
      <c r="N3580" s="50" t="str">
        <f>IF(Gastos[[#This Row],[Fecha_Cheque]]&gt;0,WEEKNUM(Gastos[[#This Row],[Fecha_Cheque]]),MID(Gastos[[#This Row],[Semana]],6,2))</f>
        <v>25</v>
      </c>
      <c r="O3580" t="s">
        <v>3590</v>
      </c>
      <c r="P3580" t="s">
        <v>27</v>
      </c>
    </row>
    <row r="3581" spans="1:16" hidden="1" x14ac:dyDescent="0.25">
      <c r="A3581" s="3" t="s">
        <v>3440</v>
      </c>
      <c r="B3581" t="s">
        <v>2321</v>
      </c>
      <c r="C3581" t="s">
        <v>125</v>
      </c>
      <c r="D3581" t="s">
        <v>26</v>
      </c>
      <c r="E3581" t="s">
        <v>62</v>
      </c>
      <c r="F3581">
        <v>1</v>
      </c>
      <c r="G3581" s="3" t="s">
        <v>5</v>
      </c>
      <c r="H3581" s="51" t="s">
        <v>15</v>
      </c>
      <c r="I3581" s="17">
        <v>48400</v>
      </c>
      <c r="J3581" s="17">
        <f>IF(Gastos[[#This Row],[Divisa]]="$", I3581*1, IF(Gastos[[#This Row],[Divisa]]="U$D", I3581*$N$1, IF(Gastos[[#This Row],[Divisa]]="EUR", I3581*$N$2, 0)))</f>
        <v>48400</v>
      </c>
      <c r="K3581" s="61">
        <f>Gastos[[#This Row],[Importe AR$]]/$N$1</f>
        <v>31.947194719471948</v>
      </c>
      <c r="M3581" s="76"/>
      <c r="N3581" s="50" t="str">
        <f>IF(Gastos[[#This Row],[Fecha_Cheque]]&gt;0,WEEKNUM(Gastos[[#This Row],[Fecha_Cheque]]),MID(Gastos[[#This Row],[Semana]],6,2))</f>
        <v>25</v>
      </c>
      <c r="O3581" t="s">
        <v>3590</v>
      </c>
      <c r="P3581" t="s">
        <v>27</v>
      </c>
    </row>
    <row r="3582" spans="1:16" hidden="1" x14ac:dyDescent="0.25">
      <c r="A3582" s="3" t="s">
        <v>3591</v>
      </c>
      <c r="B3582" t="s">
        <v>1914</v>
      </c>
      <c r="C3582" t="s">
        <v>1915</v>
      </c>
      <c r="D3582" t="s">
        <v>61</v>
      </c>
      <c r="E3582" t="s">
        <v>62</v>
      </c>
      <c r="F3582">
        <v>1</v>
      </c>
      <c r="G3582" s="3" t="s">
        <v>32</v>
      </c>
      <c r="H3582" s="51" t="s">
        <v>15</v>
      </c>
      <c r="I3582" s="17">
        <v>8900000</v>
      </c>
      <c r="J3582" s="17">
        <f>IF(Gastos[[#This Row],[Divisa]]="$", I3582*1, IF(Gastos[[#This Row],[Divisa]]="U$D", I3582*$N$1, IF(Gastos[[#This Row],[Divisa]]="EUR", I3582*$N$2, 0)))</f>
        <v>8900000</v>
      </c>
      <c r="K3582" s="61">
        <f>Gastos[[#This Row],[Importe AR$]]/$N$1</f>
        <v>5874.5874587458748</v>
      </c>
      <c r="M3582" s="76">
        <v>46281</v>
      </c>
      <c r="N3582" s="50">
        <f>IF(Gastos[[#This Row],[Fecha_Cheque]]&gt;0,WEEKNUM(Gastos[[#This Row],[Fecha_Cheque]]),MID(Gastos[[#This Row],[Semana]],6,2))</f>
        <v>38</v>
      </c>
      <c r="O3582" t="s">
        <v>3620</v>
      </c>
      <c r="P3582" t="s">
        <v>27</v>
      </c>
    </row>
    <row r="3583" spans="1:16" hidden="1" x14ac:dyDescent="0.25">
      <c r="A3583" s="3" t="s">
        <v>3591</v>
      </c>
      <c r="B3583" t="s">
        <v>1914</v>
      </c>
      <c r="C3583" t="s">
        <v>1915</v>
      </c>
      <c r="D3583" t="s">
        <v>61</v>
      </c>
      <c r="E3583" t="s">
        <v>62</v>
      </c>
      <c r="F3583">
        <v>1</v>
      </c>
      <c r="G3583" s="3" t="s">
        <v>32</v>
      </c>
      <c r="H3583" s="51" t="s">
        <v>15</v>
      </c>
      <c r="I3583" s="17">
        <v>8900000</v>
      </c>
      <c r="J3583" s="17">
        <f>IF(Gastos[[#This Row],[Divisa]]="$", I3583*1, IF(Gastos[[#This Row],[Divisa]]="U$D", I3583*$N$1, IF(Gastos[[#This Row],[Divisa]]="EUR", I3583*$N$2, 0)))</f>
        <v>8900000</v>
      </c>
      <c r="K3583" s="61">
        <f>Gastos[[#This Row],[Importe AR$]]/$N$1</f>
        <v>5874.5874587458748</v>
      </c>
      <c r="M3583" s="76">
        <v>46288</v>
      </c>
      <c r="N3583" s="50">
        <f>IF(Gastos[[#This Row],[Fecha_Cheque]]&gt;0,WEEKNUM(Gastos[[#This Row],[Fecha_Cheque]]),MID(Gastos[[#This Row],[Semana]],6,2))</f>
        <v>39</v>
      </c>
      <c r="O3583" t="s">
        <v>3620</v>
      </c>
      <c r="P3583" t="s">
        <v>27</v>
      </c>
    </row>
    <row r="3584" spans="1:16" hidden="1" x14ac:dyDescent="0.25">
      <c r="A3584" s="3" t="s">
        <v>3591</v>
      </c>
      <c r="B3584" t="s">
        <v>1914</v>
      </c>
      <c r="C3584" t="s">
        <v>1915</v>
      </c>
      <c r="D3584" t="s">
        <v>61</v>
      </c>
      <c r="E3584" t="s">
        <v>62</v>
      </c>
      <c r="F3584">
        <v>1</v>
      </c>
      <c r="G3584" s="3" t="s">
        <v>32</v>
      </c>
      <c r="H3584" s="51" t="s">
        <v>15</v>
      </c>
      <c r="I3584" s="17">
        <v>8900000</v>
      </c>
      <c r="J3584" s="17">
        <f>IF(Gastos[[#This Row],[Divisa]]="$", I3584*1, IF(Gastos[[#This Row],[Divisa]]="U$D", I3584*$N$1, IF(Gastos[[#This Row],[Divisa]]="EUR", I3584*$N$2, 0)))</f>
        <v>8900000</v>
      </c>
      <c r="K3584" s="61">
        <f>Gastos[[#This Row],[Importe AR$]]/$N$1</f>
        <v>5874.5874587458748</v>
      </c>
      <c r="M3584" s="76">
        <v>46295</v>
      </c>
      <c r="N3584" s="50">
        <f>IF(Gastos[[#This Row],[Fecha_Cheque]]&gt;0,WEEKNUM(Gastos[[#This Row],[Fecha_Cheque]]),MID(Gastos[[#This Row],[Semana]],6,2))</f>
        <v>40</v>
      </c>
      <c r="O3584" t="s">
        <v>3620</v>
      </c>
      <c r="P3584" t="s">
        <v>27</v>
      </c>
    </row>
    <row r="3585" spans="1:16" hidden="1" x14ac:dyDescent="0.25">
      <c r="A3585" s="3" t="s">
        <v>3591</v>
      </c>
      <c r="B3585" t="s">
        <v>1914</v>
      </c>
      <c r="C3585" t="s">
        <v>1915</v>
      </c>
      <c r="D3585" t="s">
        <v>61</v>
      </c>
      <c r="E3585" t="s">
        <v>62</v>
      </c>
      <c r="F3585">
        <v>1</v>
      </c>
      <c r="G3585" s="3" t="s">
        <v>32</v>
      </c>
      <c r="H3585" s="51" t="s">
        <v>15</v>
      </c>
      <c r="I3585" s="17">
        <v>8758802.9600000009</v>
      </c>
      <c r="J3585" s="17">
        <f>IF(Gastos[[#This Row],[Divisa]]="$", I3585*1, IF(Gastos[[#This Row],[Divisa]]="U$D", I3585*$N$1, IF(Gastos[[#This Row],[Divisa]]="EUR", I3585*$N$2, 0)))</f>
        <v>8758802.9600000009</v>
      </c>
      <c r="K3585" s="61">
        <f>Gastos[[#This Row],[Importe AR$]]/$N$1</f>
        <v>5781.3880924092418</v>
      </c>
      <c r="M3585" s="76">
        <v>46265</v>
      </c>
      <c r="N3585" s="50">
        <f>IF(Gastos[[#This Row],[Fecha_Cheque]]&gt;0,WEEKNUM(Gastos[[#This Row],[Fecha_Cheque]]),MID(Gastos[[#This Row],[Semana]],6,2))</f>
        <v>36</v>
      </c>
      <c r="O3585" t="s">
        <v>3620</v>
      </c>
      <c r="P3585" t="s">
        <v>27</v>
      </c>
    </row>
    <row r="3586" spans="1:16" hidden="1" x14ac:dyDescent="0.25">
      <c r="A3586" s="3" t="s">
        <v>3591</v>
      </c>
      <c r="B3586" t="s">
        <v>1914</v>
      </c>
      <c r="C3586" t="s">
        <v>1915</v>
      </c>
      <c r="D3586" t="s">
        <v>61</v>
      </c>
      <c r="E3586" t="s">
        <v>62</v>
      </c>
      <c r="F3586">
        <v>1</v>
      </c>
      <c r="G3586" s="3" t="s">
        <v>32</v>
      </c>
      <c r="H3586" s="51" t="s">
        <v>15</v>
      </c>
      <c r="I3586" s="17">
        <v>8900000</v>
      </c>
      <c r="J3586" s="17">
        <f>IF(Gastos[[#This Row],[Divisa]]="$", I3586*1, IF(Gastos[[#This Row],[Divisa]]="U$D", I3586*$N$1, IF(Gastos[[#This Row],[Divisa]]="EUR", I3586*$N$2, 0)))</f>
        <v>8900000</v>
      </c>
      <c r="K3586" s="61">
        <f>Gastos[[#This Row],[Importe AR$]]/$N$1</f>
        <v>5874.5874587458748</v>
      </c>
      <c r="M3586" s="76">
        <v>46272</v>
      </c>
      <c r="N3586" s="50">
        <f>IF(Gastos[[#This Row],[Fecha_Cheque]]&gt;0,WEEKNUM(Gastos[[#This Row],[Fecha_Cheque]]),MID(Gastos[[#This Row],[Semana]],6,2))</f>
        <v>37</v>
      </c>
      <c r="O3586" t="s">
        <v>3620</v>
      </c>
      <c r="P3586" t="s">
        <v>27</v>
      </c>
    </row>
    <row r="3587" spans="1:16" hidden="1" x14ac:dyDescent="0.25">
      <c r="A3587" s="3" t="s">
        <v>3591</v>
      </c>
      <c r="B3587" t="s">
        <v>1914</v>
      </c>
      <c r="C3587" t="s">
        <v>1915</v>
      </c>
      <c r="D3587" t="s">
        <v>61</v>
      </c>
      <c r="E3587" t="s">
        <v>62</v>
      </c>
      <c r="F3587">
        <v>1</v>
      </c>
      <c r="G3587" s="3" t="s">
        <v>32</v>
      </c>
      <c r="H3587" s="51" t="s">
        <v>15</v>
      </c>
      <c r="I3587" s="17">
        <v>745526.1</v>
      </c>
      <c r="J3587" s="17">
        <f>IF(Gastos[[#This Row],[Divisa]]="$", I3587*1, IF(Gastos[[#This Row],[Divisa]]="U$D", I3587*$N$1, IF(Gastos[[#This Row],[Divisa]]="EUR", I3587*$N$2, 0)))</f>
        <v>745526.1</v>
      </c>
      <c r="K3587" s="61">
        <f>Gastos[[#This Row],[Importe AR$]]/$N$1</f>
        <v>492.09643564356435</v>
      </c>
      <c r="L3587" t="s">
        <v>340</v>
      </c>
      <c r="M3587" s="76"/>
      <c r="N3587" s="50" t="str">
        <f>IF(Gastos[[#This Row],[Fecha_Cheque]]&gt;0,WEEKNUM(Gastos[[#This Row],[Fecha_Cheque]]),MID(Gastos[[#This Row],[Semana]],6,2))</f>
        <v>26</v>
      </c>
      <c r="O3587" t="s">
        <v>3620</v>
      </c>
      <c r="P3587" t="s">
        <v>27</v>
      </c>
    </row>
    <row r="3588" spans="1:16" hidden="1" x14ac:dyDescent="0.25">
      <c r="A3588" s="3" t="s">
        <v>3591</v>
      </c>
      <c r="B3588" t="s">
        <v>3385</v>
      </c>
      <c r="C3588" t="s">
        <v>1948</v>
      </c>
      <c r="D3588" t="s">
        <v>26</v>
      </c>
      <c r="E3588" t="s">
        <v>42</v>
      </c>
      <c r="F3588">
        <v>1</v>
      </c>
      <c r="G3588" s="3" t="s">
        <v>4</v>
      </c>
      <c r="H3588" s="51" t="s">
        <v>15</v>
      </c>
      <c r="I3588" s="17">
        <v>15900</v>
      </c>
      <c r="J3588" s="17">
        <f>IF(Gastos[[#This Row],[Divisa]]="$", I3588*1, IF(Gastos[[#This Row],[Divisa]]="U$D", I3588*$N$1, IF(Gastos[[#This Row],[Divisa]]="EUR", I3588*$N$2, 0)))</f>
        <v>15900</v>
      </c>
      <c r="K3588" s="61">
        <f>Gastos[[#This Row],[Importe AR$]]/$N$1</f>
        <v>10.495049504950495</v>
      </c>
      <c r="M3588" s="76"/>
      <c r="N3588" s="50" t="str">
        <f>IF(Gastos[[#This Row],[Fecha_Cheque]]&gt;0,WEEKNUM(Gastos[[#This Row],[Fecha_Cheque]]),MID(Gastos[[#This Row],[Semana]],6,2))</f>
        <v>26</v>
      </c>
      <c r="O3588" t="s">
        <v>3594</v>
      </c>
      <c r="P3588" t="s">
        <v>27</v>
      </c>
    </row>
    <row r="3589" spans="1:16" hidden="1" x14ac:dyDescent="0.25">
      <c r="A3589" s="3" t="s">
        <v>2740</v>
      </c>
      <c r="B3589" t="s">
        <v>3599</v>
      </c>
      <c r="C3589" t="s">
        <v>3600</v>
      </c>
      <c r="D3589" t="s">
        <v>26</v>
      </c>
      <c r="E3589" t="s">
        <v>62</v>
      </c>
      <c r="F3589">
        <v>1</v>
      </c>
      <c r="G3589" s="3" t="s">
        <v>32</v>
      </c>
      <c r="H3589" s="51" t="s">
        <v>15</v>
      </c>
      <c r="I3589" s="17">
        <v>2000000</v>
      </c>
      <c r="J3589" s="17">
        <f>IF(Gastos[[#This Row],[Divisa]]="$", I3589*1, IF(Gastos[[#This Row],[Divisa]]="U$D", I3589*$N$1, IF(Gastos[[#This Row],[Divisa]]="EUR", I3589*$N$2, 0)))</f>
        <v>2000000</v>
      </c>
      <c r="K3589" s="61">
        <f>Gastos[[#This Row],[Importe AR$]]/$N$1</f>
        <v>1320.1320132013202</v>
      </c>
      <c r="M3589" s="76">
        <v>46179</v>
      </c>
      <c r="N3589" s="50">
        <f>IF(Gastos[[#This Row],[Fecha_Cheque]]&gt;0,WEEKNUM(Gastos[[#This Row],[Fecha_Cheque]]),MID(Gastos[[#This Row],[Semana]],6,2))</f>
        <v>23</v>
      </c>
      <c r="O3589" t="s">
        <v>3601</v>
      </c>
      <c r="P3589" t="s">
        <v>27</v>
      </c>
    </row>
    <row r="3590" spans="1:16" hidden="1" x14ac:dyDescent="0.25">
      <c r="A3590" s="3" t="s">
        <v>2740</v>
      </c>
      <c r="B3590" t="s">
        <v>3599</v>
      </c>
      <c r="C3590" t="s">
        <v>3600</v>
      </c>
      <c r="D3590" t="s">
        <v>26</v>
      </c>
      <c r="E3590" t="s">
        <v>62</v>
      </c>
      <c r="F3590">
        <v>1</v>
      </c>
      <c r="G3590" s="3" t="s">
        <v>32</v>
      </c>
      <c r="H3590" s="51" t="s">
        <v>15</v>
      </c>
      <c r="I3590" s="17">
        <v>2000000</v>
      </c>
      <c r="J3590" s="17">
        <f>IF(Gastos[[#This Row],[Divisa]]="$", I3590*1, IF(Gastos[[#This Row],[Divisa]]="U$D", I3590*$N$1, IF(Gastos[[#This Row],[Divisa]]="EUR", I3590*$N$2, 0)))</f>
        <v>2000000</v>
      </c>
      <c r="K3590" s="61">
        <f>Gastos[[#This Row],[Importe AR$]]/$N$1</f>
        <v>1320.1320132013202</v>
      </c>
      <c r="M3590" s="76">
        <v>46186</v>
      </c>
      <c r="N3590" s="50">
        <f>IF(Gastos[[#This Row],[Fecha_Cheque]]&gt;0,WEEKNUM(Gastos[[#This Row],[Fecha_Cheque]]),MID(Gastos[[#This Row],[Semana]],6,2))</f>
        <v>24</v>
      </c>
      <c r="O3590" t="s">
        <v>3601</v>
      </c>
      <c r="P3590" t="s">
        <v>27</v>
      </c>
    </row>
    <row r="3591" spans="1:16" hidden="1" x14ac:dyDescent="0.25">
      <c r="A3591" s="3" t="s">
        <v>2740</v>
      </c>
      <c r="B3591" t="s">
        <v>3599</v>
      </c>
      <c r="C3591" t="s">
        <v>3600</v>
      </c>
      <c r="D3591" t="s">
        <v>26</v>
      </c>
      <c r="E3591" t="s">
        <v>62</v>
      </c>
      <c r="F3591">
        <v>1</v>
      </c>
      <c r="G3591" s="3" t="s">
        <v>32</v>
      </c>
      <c r="H3591" s="51" t="s">
        <v>15</v>
      </c>
      <c r="I3591" s="17">
        <v>2000000</v>
      </c>
      <c r="J3591" s="17">
        <f>IF(Gastos[[#This Row],[Divisa]]="$", I3591*1, IF(Gastos[[#This Row],[Divisa]]="U$D", I3591*$N$1, IF(Gastos[[#This Row],[Divisa]]="EUR", I3591*$N$2, 0)))</f>
        <v>2000000</v>
      </c>
      <c r="K3591" s="61">
        <f>Gastos[[#This Row],[Importe AR$]]/$N$1</f>
        <v>1320.1320132013202</v>
      </c>
      <c r="M3591" s="76">
        <v>46193</v>
      </c>
      <c r="N3591" s="50">
        <f>IF(Gastos[[#This Row],[Fecha_Cheque]]&gt;0,WEEKNUM(Gastos[[#This Row],[Fecha_Cheque]]),MID(Gastos[[#This Row],[Semana]],6,2))</f>
        <v>25</v>
      </c>
      <c r="O3591" t="s">
        <v>3601</v>
      </c>
      <c r="P3591" t="s">
        <v>27</v>
      </c>
    </row>
    <row r="3592" spans="1:16" hidden="1" x14ac:dyDescent="0.25">
      <c r="A3592" s="3" t="s">
        <v>2740</v>
      </c>
      <c r="B3592" t="s">
        <v>3599</v>
      </c>
      <c r="C3592" t="s">
        <v>3600</v>
      </c>
      <c r="D3592" t="s">
        <v>26</v>
      </c>
      <c r="E3592" t="s">
        <v>62</v>
      </c>
      <c r="F3592">
        <v>1</v>
      </c>
      <c r="G3592" s="3" t="s">
        <v>32</v>
      </c>
      <c r="H3592" s="51" t="s">
        <v>15</v>
      </c>
      <c r="I3592" s="17">
        <v>1908354</v>
      </c>
      <c r="J3592" s="17">
        <f>IF(Gastos[[#This Row],[Divisa]]="$", I3592*1, IF(Gastos[[#This Row],[Divisa]]="U$D", I3592*$N$1, IF(Gastos[[#This Row],[Divisa]]="EUR", I3592*$N$2, 0)))</f>
        <v>1908354</v>
      </c>
      <c r="K3592" s="61">
        <f>Gastos[[#This Row],[Importe AR$]]/$N$1</f>
        <v>1259.639603960396</v>
      </c>
      <c r="M3592" s="76">
        <v>46200</v>
      </c>
      <c r="N3592" s="50">
        <f>IF(Gastos[[#This Row],[Fecha_Cheque]]&gt;0,WEEKNUM(Gastos[[#This Row],[Fecha_Cheque]]),MID(Gastos[[#This Row],[Semana]],6,2))</f>
        <v>26</v>
      </c>
      <c r="O3592" t="s">
        <v>3601</v>
      </c>
      <c r="P3592" t="s">
        <v>27</v>
      </c>
    </row>
    <row r="3593" spans="1:16" hidden="1" x14ac:dyDescent="0.25">
      <c r="A3593" s="3" t="s">
        <v>2740</v>
      </c>
      <c r="B3593" t="s">
        <v>3599</v>
      </c>
      <c r="C3593" t="s">
        <v>3600</v>
      </c>
      <c r="D3593" t="s">
        <v>26</v>
      </c>
      <c r="E3593" t="s">
        <v>62</v>
      </c>
      <c r="F3593">
        <v>1</v>
      </c>
      <c r="G3593" s="3" t="s">
        <v>32</v>
      </c>
      <c r="H3593" s="51" t="s">
        <v>15</v>
      </c>
      <c r="I3593" s="17">
        <v>1683449</v>
      </c>
      <c r="J3593" s="17">
        <f>IF(Gastos[[#This Row],[Divisa]]="$", I3593*1, IF(Gastos[[#This Row],[Divisa]]="U$D", I3593*$N$1, IF(Gastos[[#This Row],[Divisa]]="EUR", I3593*$N$2, 0)))</f>
        <v>1683449</v>
      </c>
      <c r="K3593" s="61">
        <f>Gastos[[#This Row],[Importe AR$]]/$N$1</f>
        <v>1111.1874587458747</v>
      </c>
      <c r="M3593" s="76">
        <v>46207</v>
      </c>
      <c r="N3593" s="50">
        <f>IF(Gastos[[#This Row],[Fecha_Cheque]]&gt;0,WEEKNUM(Gastos[[#This Row],[Fecha_Cheque]]),MID(Gastos[[#This Row],[Semana]],6,2))</f>
        <v>27</v>
      </c>
      <c r="O3593" t="s">
        <v>3601</v>
      </c>
      <c r="P3593" t="s">
        <v>27</v>
      </c>
    </row>
    <row r="3594" spans="1:16" hidden="1" x14ac:dyDescent="0.25">
      <c r="A3594" s="3" t="s">
        <v>2740</v>
      </c>
      <c r="B3594" t="s">
        <v>3599</v>
      </c>
      <c r="C3594" t="s">
        <v>3600</v>
      </c>
      <c r="D3594" t="s">
        <v>26</v>
      </c>
      <c r="E3594" t="s">
        <v>62</v>
      </c>
      <c r="F3594">
        <v>1</v>
      </c>
      <c r="G3594" s="3" t="s">
        <v>32</v>
      </c>
      <c r="H3594" s="51" t="s">
        <v>15</v>
      </c>
      <c r="I3594" s="17">
        <v>800000</v>
      </c>
      <c r="J3594" s="17">
        <f>IF(Gastos[[#This Row],[Divisa]]="$", I3594*1, IF(Gastos[[#This Row],[Divisa]]="U$D", I3594*$N$1, IF(Gastos[[#This Row],[Divisa]]="EUR", I3594*$N$2, 0)))</f>
        <v>800000</v>
      </c>
      <c r="K3594" s="61">
        <f>Gastos[[#This Row],[Importe AR$]]/$N$1</f>
        <v>528.0528052805281</v>
      </c>
      <c r="M3594" s="76">
        <v>46217</v>
      </c>
      <c r="N3594" s="50">
        <f>IF(Gastos[[#This Row],[Fecha_Cheque]]&gt;0,WEEKNUM(Gastos[[#This Row],[Fecha_Cheque]]),MID(Gastos[[#This Row],[Semana]],6,2))</f>
        <v>29</v>
      </c>
      <c r="O3594" t="s">
        <v>3601</v>
      </c>
      <c r="P3594" t="s">
        <v>27</v>
      </c>
    </row>
    <row r="3595" spans="1:16" hidden="1" x14ac:dyDescent="0.25">
      <c r="A3595" s="3" t="s">
        <v>2740</v>
      </c>
      <c r="B3595" t="s">
        <v>3599</v>
      </c>
      <c r="C3595" t="s">
        <v>3600</v>
      </c>
      <c r="D3595" t="s">
        <v>26</v>
      </c>
      <c r="E3595" t="s">
        <v>62</v>
      </c>
      <c r="F3595">
        <v>1</v>
      </c>
      <c r="G3595" s="3" t="s">
        <v>32</v>
      </c>
      <c r="H3595" s="51" t="s">
        <v>15</v>
      </c>
      <c r="I3595" s="17">
        <v>1010000</v>
      </c>
      <c r="J3595" s="17">
        <f>IF(Gastos[[#This Row],[Divisa]]="$", I3595*1, IF(Gastos[[#This Row],[Divisa]]="U$D", I3595*$N$1, IF(Gastos[[#This Row],[Divisa]]="EUR", I3595*$N$2, 0)))</f>
        <v>1010000</v>
      </c>
      <c r="K3595" s="61">
        <f>Gastos[[#This Row],[Importe AR$]]/$N$1</f>
        <v>666.66666666666663</v>
      </c>
      <c r="M3595" s="76">
        <v>46218</v>
      </c>
      <c r="N3595" s="50">
        <f>IF(Gastos[[#This Row],[Fecha_Cheque]]&gt;0,WEEKNUM(Gastos[[#This Row],[Fecha_Cheque]]),MID(Gastos[[#This Row],[Semana]],6,2))</f>
        <v>29</v>
      </c>
      <c r="O3595" t="s">
        <v>3601</v>
      </c>
      <c r="P3595" t="s">
        <v>27</v>
      </c>
    </row>
    <row r="3596" spans="1:16" hidden="1" x14ac:dyDescent="0.25">
      <c r="A3596" s="3" t="s">
        <v>2740</v>
      </c>
      <c r="B3596" t="s">
        <v>3599</v>
      </c>
      <c r="C3596" t="s">
        <v>3600</v>
      </c>
      <c r="D3596" t="s">
        <v>26</v>
      </c>
      <c r="E3596" t="s">
        <v>62</v>
      </c>
      <c r="F3596">
        <v>1</v>
      </c>
      <c r="G3596" s="3" t="s">
        <v>32</v>
      </c>
      <c r="H3596" s="51" t="s">
        <v>15</v>
      </c>
      <c r="I3596" s="17">
        <v>1463700</v>
      </c>
      <c r="J3596" s="17">
        <f>IF(Gastos[[#This Row],[Divisa]]="$", I3596*1, IF(Gastos[[#This Row],[Divisa]]="U$D", I3596*$N$1, IF(Gastos[[#This Row],[Divisa]]="EUR", I3596*$N$2, 0)))</f>
        <v>1463700</v>
      </c>
      <c r="K3596" s="61">
        <f>Gastos[[#This Row],[Importe AR$]]/$N$1</f>
        <v>966.13861386138615</v>
      </c>
      <c r="M3596" s="76">
        <v>46219</v>
      </c>
      <c r="N3596" s="50">
        <f>IF(Gastos[[#This Row],[Fecha_Cheque]]&gt;0,WEEKNUM(Gastos[[#This Row],[Fecha_Cheque]]),MID(Gastos[[#This Row],[Semana]],6,2))</f>
        <v>29</v>
      </c>
      <c r="O3596" t="s">
        <v>3601</v>
      </c>
      <c r="P3596" t="s">
        <v>27</v>
      </c>
    </row>
    <row r="3597" spans="1:16" hidden="1" x14ac:dyDescent="0.25">
      <c r="A3597" s="3" t="s">
        <v>2740</v>
      </c>
      <c r="B3597" t="s">
        <v>3599</v>
      </c>
      <c r="C3597" t="s">
        <v>3600</v>
      </c>
      <c r="D3597" t="s">
        <v>26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200000</v>
      </c>
      <c r="J3597" s="17">
        <f>IF(Gastos[[#This Row],[Divisa]]="$", I3597*1, IF(Gastos[[#This Row],[Divisa]]="U$D", I3597*$N$1, IF(Gastos[[#This Row],[Divisa]]="EUR", I3597*$N$2, 0)))</f>
        <v>200000</v>
      </c>
      <c r="K3597" s="61">
        <f>Gastos[[#This Row],[Importe AR$]]/$N$1</f>
        <v>132.01320132013203</v>
      </c>
      <c r="M3597" s="76">
        <v>46223</v>
      </c>
      <c r="N3597" s="50">
        <f>IF(Gastos[[#This Row],[Fecha_Cheque]]&gt;0,WEEKNUM(Gastos[[#This Row],[Fecha_Cheque]]),MID(Gastos[[#This Row],[Semana]],6,2))</f>
        <v>30</v>
      </c>
      <c r="O3597" t="s">
        <v>3601</v>
      </c>
      <c r="P3597" t="s">
        <v>27</v>
      </c>
    </row>
    <row r="3598" spans="1:16" hidden="1" x14ac:dyDescent="0.25">
      <c r="A3598" s="3" t="s">
        <v>2740</v>
      </c>
      <c r="B3598" t="s">
        <v>3599</v>
      </c>
      <c r="C3598" t="s">
        <v>3600</v>
      </c>
      <c r="D3598" t="s">
        <v>26</v>
      </c>
      <c r="E3598" t="s">
        <v>62</v>
      </c>
      <c r="F3598">
        <v>1</v>
      </c>
      <c r="G3598" s="3" t="s">
        <v>32</v>
      </c>
      <c r="H3598" s="51" t="s">
        <v>15</v>
      </c>
      <c r="I3598" s="17">
        <v>800000</v>
      </c>
      <c r="J3598" s="17">
        <f>IF(Gastos[[#This Row],[Divisa]]="$", I3598*1, IF(Gastos[[#This Row],[Divisa]]="U$D", I3598*$N$1, IF(Gastos[[#This Row],[Divisa]]="EUR", I3598*$N$2, 0)))</f>
        <v>800000</v>
      </c>
      <c r="K3598" s="61">
        <f>Gastos[[#This Row],[Importe AR$]]/$N$1</f>
        <v>528.0528052805281</v>
      </c>
      <c r="M3598" s="76">
        <v>46223</v>
      </c>
      <c r="N3598" s="50">
        <f>IF(Gastos[[#This Row],[Fecha_Cheque]]&gt;0,WEEKNUM(Gastos[[#This Row],[Fecha_Cheque]]),MID(Gastos[[#This Row],[Semana]],6,2))</f>
        <v>30</v>
      </c>
      <c r="O3598" t="s">
        <v>3601</v>
      </c>
      <c r="P3598" t="s">
        <v>27</v>
      </c>
    </row>
    <row r="3599" spans="1:16" hidden="1" x14ac:dyDescent="0.25">
      <c r="A3599" s="3" t="s">
        <v>2740</v>
      </c>
      <c r="B3599" t="s">
        <v>3599</v>
      </c>
      <c r="C3599" t="s">
        <v>3600</v>
      </c>
      <c r="D3599" t="s">
        <v>26</v>
      </c>
      <c r="E3599" t="s">
        <v>62</v>
      </c>
      <c r="F3599">
        <v>1</v>
      </c>
      <c r="G3599" s="3" t="s">
        <v>32</v>
      </c>
      <c r="H3599" s="51" t="s">
        <v>15</v>
      </c>
      <c r="I3599" s="17">
        <v>411360</v>
      </c>
      <c r="J3599" s="17">
        <f>IF(Gastos[[#This Row],[Divisa]]="$", I3599*1, IF(Gastos[[#This Row],[Divisa]]="U$D", I3599*$N$1, IF(Gastos[[#This Row],[Divisa]]="EUR", I3599*$N$2, 0)))</f>
        <v>411360</v>
      </c>
      <c r="K3599" s="61">
        <f>Gastos[[#This Row],[Importe AR$]]/$N$1</f>
        <v>271.52475247524751</v>
      </c>
      <c r="M3599" s="76">
        <v>46223</v>
      </c>
      <c r="N3599" s="50">
        <f>IF(Gastos[[#This Row],[Fecha_Cheque]]&gt;0,WEEKNUM(Gastos[[#This Row],[Fecha_Cheque]]),MID(Gastos[[#This Row],[Semana]],6,2))</f>
        <v>30</v>
      </c>
      <c r="O3599" t="s">
        <v>3601</v>
      </c>
      <c r="P3599" t="s">
        <v>27</v>
      </c>
    </row>
    <row r="3600" spans="1:16" hidden="1" x14ac:dyDescent="0.25">
      <c r="A3600" s="3" t="s">
        <v>2740</v>
      </c>
      <c r="B3600" t="s">
        <v>3599</v>
      </c>
      <c r="C3600" t="s">
        <v>3600</v>
      </c>
      <c r="D3600" t="s">
        <v>26</v>
      </c>
      <c r="E3600" t="s">
        <v>62</v>
      </c>
      <c r="F3600">
        <v>1</v>
      </c>
      <c r="G3600" s="3" t="s">
        <v>32</v>
      </c>
      <c r="H3600" s="51" t="s">
        <v>15</v>
      </c>
      <c r="I3600" s="17">
        <v>3210000</v>
      </c>
      <c r="J3600" s="17">
        <f>IF(Gastos[[#This Row],[Divisa]]="$", I3600*1, IF(Gastos[[#This Row],[Divisa]]="U$D", I3600*$N$1, IF(Gastos[[#This Row],[Divisa]]="EUR", I3600*$N$2, 0)))</f>
        <v>3210000</v>
      </c>
      <c r="K3600" s="61">
        <f>Gastos[[#This Row],[Importe AR$]]/$N$1</f>
        <v>2118.8118811881186</v>
      </c>
      <c r="M3600" s="76">
        <v>46224</v>
      </c>
      <c r="N3600" s="50">
        <f>IF(Gastos[[#This Row],[Fecha_Cheque]]&gt;0,WEEKNUM(Gastos[[#This Row],[Fecha_Cheque]]),MID(Gastos[[#This Row],[Semana]],6,2))</f>
        <v>30</v>
      </c>
      <c r="O3600" t="s">
        <v>3601</v>
      </c>
      <c r="P3600" t="s">
        <v>27</v>
      </c>
    </row>
    <row r="3601" spans="1:16" hidden="1" x14ac:dyDescent="0.25">
      <c r="A3601" s="3" t="s">
        <v>2740</v>
      </c>
      <c r="B3601" t="s">
        <v>3599</v>
      </c>
      <c r="C3601" t="s">
        <v>3600</v>
      </c>
      <c r="D3601" t="s">
        <v>26</v>
      </c>
      <c r="E3601" t="s">
        <v>62</v>
      </c>
      <c r="F3601">
        <v>1</v>
      </c>
      <c r="G3601" s="3" t="s">
        <v>32</v>
      </c>
      <c r="H3601" s="51" t="s">
        <v>15</v>
      </c>
      <c r="I3601" s="17">
        <v>550000</v>
      </c>
      <c r="J3601" s="17">
        <f>IF(Gastos[[#This Row],[Divisa]]="$", I3601*1, IF(Gastos[[#This Row],[Divisa]]="U$D", I3601*$N$1, IF(Gastos[[#This Row],[Divisa]]="EUR", I3601*$N$2, 0)))</f>
        <v>550000</v>
      </c>
      <c r="K3601" s="61">
        <f>Gastos[[#This Row],[Importe AR$]]/$N$1</f>
        <v>363.03630363036302</v>
      </c>
      <c r="M3601" s="76">
        <v>46224</v>
      </c>
      <c r="N3601" s="50">
        <f>IF(Gastos[[#This Row],[Fecha_Cheque]]&gt;0,WEEKNUM(Gastos[[#This Row],[Fecha_Cheque]]),MID(Gastos[[#This Row],[Semana]],6,2))</f>
        <v>30</v>
      </c>
      <c r="O3601" t="s">
        <v>3601</v>
      </c>
      <c r="P3601" t="s">
        <v>27</v>
      </c>
    </row>
    <row r="3602" spans="1:16" hidden="1" x14ac:dyDescent="0.25">
      <c r="A3602" s="3" t="s">
        <v>2740</v>
      </c>
      <c r="B3602" t="s">
        <v>3599</v>
      </c>
      <c r="C3602" t="s">
        <v>3600</v>
      </c>
      <c r="D3602" t="s">
        <v>26</v>
      </c>
      <c r="E3602" t="s">
        <v>62</v>
      </c>
      <c r="F3602">
        <v>1</v>
      </c>
      <c r="G3602" s="3" t="s">
        <v>32</v>
      </c>
      <c r="H3602" s="51" t="s">
        <v>15</v>
      </c>
      <c r="I3602" s="17">
        <v>1550000</v>
      </c>
      <c r="J3602" s="17">
        <f>IF(Gastos[[#This Row],[Divisa]]="$", I3602*1, IF(Gastos[[#This Row],[Divisa]]="U$D", I3602*$N$1, IF(Gastos[[#This Row],[Divisa]]="EUR", I3602*$N$2, 0)))</f>
        <v>1550000</v>
      </c>
      <c r="K3602" s="61">
        <f>Gastos[[#This Row],[Importe AR$]]/$N$1</f>
        <v>1023.1023102310231</v>
      </c>
      <c r="M3602" s="76">
        <v>46224</v>
      </c>
      <c r="N3602" s="50">
        <f>IF(Gastos[[#This Row],[Fecha_Cheque]]&gt;0,WEEKNUM(Gastos[[#This Row],[Fecha_Cheque]]),MID(Gastos[[#This Row],[Semana]],6,2))</f>
        <v>30</v>
      </c>
      <c r="O3602" t="s">
        <v>3601</v>
      </c>
      <c r="P3602" t="s">
        <v>27</v>
      </c>
    </row>
    <row r="3603" spans="1:16" hidden="1" x14ac:dyDescent="0.25">
      <c r="A3603" s="3" t="s">
        <v>2740</v>
      </c>
      <c r="B3603" t="s">
        <v>3599</v>
      </c>
      <c r="C3603" t="s">
        <v>3600</v>
      </c>
      <c r="D3603" t="s">
        <v>26</v>
      </c>
      <c r="E3603" t="s">
        <v>62</v>
      </c>
      <c r="F3603">
        <v>1</v>
      </c>
      <c r="G3603" s="3" t="s">
        <v>32</v>
      </c>
      <c r="H3603" s="51" t="s">
        <v>15</v>
      </c>
      <c r="I3603" s="17">
        <v>7000000</v>
      </c>
      <c r="J3603" s="17">
        <f>IF(Gastos[[#This Row],[Divisa]]="$", I3603*1, IF(Gastos[[#This Row],[Divisa]]="U$D", I3603*$N$1, IF(Gastos[[#This Row],[Divisa]]="EUR", I3603*$N$2, 0)))</f>
        <v>7000000</v>
      </c>
      <c r="K3603" s="61">
        <f>Gastos[[#This Row],[Importe AR$]]/$N$1</f>
        <v>4620.4620462046205</v>
      </c>
      <c r="M3603" s="76">
        <v>46225</v>
      </c>
      <c r="N3603" s="50">
        <f>IF(Gastos[[#This Row],[Fecha_Cheque]]&gt;0,WEEKNUM(Gastos[[#This Row],[Fecha_Cheque]]),MID(Gastos[[#This Row],[Semana]],6,2))</f>
        <v>30</v>
      </c>
      <c r="O3603" t="s">
        <v>3601</v>
      </c>
      <c r="P3603" t="s">
        <v>27</v>
      </c>
    </row>
    <row r="3604" spans="1:16" hidden="1" x14ac:dyDescent="0.25">
      <c r="A3604" s="3" t="s">
        <v>2740</v>
      </c>
      <c r="B3604" t="s">
        <v>3599</v>
      </c>
      <c r="C3604" t="s">
        <v>3600</v>
      </c>
      <c r="D3604" t="s">
        <v>26</v>
      </c>
      <c r="E3604" t="s">
        <v>62</v>
      </c>
      <c r="F3604">
        <v>1</v>
      </c>
      <c r="G3604" s="3" t="s">
        <v>32</v>
      </c>
      <c r="H3604" s="51" t="s">
        <v>15</v>
      </c>
      <c r="I3604" s="17">
        <v>5043137</v>
      </c>
      <c r="J3604" s="17">
        <f>IF(Gastos[[#This Row],[Divisa]]="$", I3604*1, IF(Gastos[[#This Row],[Divisa]]="U$D", I3604*$N$1, IF(Gastos[[#This Row],[Divisa]]="EUR", I3604*$N$2, 0)))</f>
        <v>5043137</v>
      </c>
      <c r="K3604" s="61">
        <f>Gastos[[#This Row],[Importe AR$]]/$N$1</f>
        <v>3328.8033003300329</v>
      </c>
      <c r="M3604" s="76">
        <v>46203</v>
      </c>
      <c r="N3604" s="50">
        <f>IF(Gastos[[#This Row],[Fecha_Cheque]]&gt;0,WEEKNUM(Gastos[[#This Row],[Fecha_Cheque]]),MID(Gastos[[#This Row],[Semana]],6,2))</f>
        <v>27</v>
      </c>
      <c r="O3604" t="s">
        <v>3601</v>
      </c>
      <c r="P3604" t="s">
        <v>27</v>
      </c>
    </row>
    <row r="3605" spans="1:16" hidden="1" x14ac:dyDescent="0.25">
      <c r="A3605" s="3" t="s">
        <v>3591</v>
      </c>
      <c r="B3605" t="s">
        <v>1979</v>
      </c>
      <c r="C3605" t="s">
        <v>155</v>
      </c>
      <c r="D3605" t="s">
        <v>26</v>
      </c>
      <c r="E3605" t="s">
        <v>42</v>
      </c>
      <c r="F3605">
        <v>1</v>
      </c>
      <c r="G3605" s="3" t="s">
        <v>4</v>
      </c>
      <c r="H3605" s="51" t="s">
        <v>15</v>
      </c>
      <c r="I3605" s="17">
        <v>94999.93</v>
      </c>
      <c r="J3605" s="17">
        <f>IF(Gastos[[#This Row],[Divisa]]="$", I3605*1, IF(Gastos[[#This Row],[Divisa]]="U$D", I3605*$N$1, IF(Gastos[[#This Row],[Divisa]]="EUR", I3605*$N$2, 0)))</f>
        <v>94999.93</v>
      </c>
      <c r="K3605" s="61">
        <f>Gastos[[#This Row],[Importe AR$]]/$N$1</f>
        <v>62.70622442244224</v>
      </c>
      <c r="M3605" s="76"/>
      <c r="N3605" s="50" t="str">
        <f>IF(Gastos[[#This Row],[Fecha_Cheque]]&gt;0,WEEKNUM(Gastos[[#This Row],[Fecha_Cheque]]),MID(Gastos[[#This Row],[Semana]],6,2))</f>
        <v>26</v>
      </c>
      <c r="O3605" t="s">
        <v>3624</v>
      </c>
      <c r="P3605" t="s">
        <v>27</v>
      </c>
    </row>
    <row r="3606" spans="1:16" hidden="1" x14ac:dyDescent="0.25">
      <c r="A3606" s="3" t="s">
        <v>3718</v>
      </c>
      <c r="B3606" t="s">
        <v>3764</v>
      </c>
      <c r="C3606" t="s">
        <v>3765</v>
      </c>
      <c r="D3606" t="s">
        <v>26</v>
      </c>
      <c r="E3606" t="s">
        <v>42</v>
      </c>
      <c r="F3606">
        <v>2</v>
      </c>
      <c r="G3606" s="3" t="s">
        <v>4</v>
      </c>
      <c r="H3606" s="51" t="s">
        <v>15</v>
      </c>
      <c r="I3606" s="17">
        <v>150000</v>
      </c>
      <c r="J3606" s="17">
        <f>IF(Gastos[[#This Row],[Divisa]]="$", I3606*1, IF(Gastos[[#This Row],[Divisa]]="U$D", I3606*$N$1, IF(Gastos[[#This Row],[Divisa]]="EUR", I3606*$N$2, 0)))</f>
        <v>150000</v>
      </c>
      <c r="K3606" s="61">
        <f>Gastos[[#This Row],[Importe AR$]]/$N$1</f>
        <v>99.009900990099013</v>
      </c>
      <c r="M3606" s="76"/>
      <c r="N3606" s="50" t="str">
        <f>IF(Gastos[[#This Row],[Fecha_Cheque]]&gt;0,WEEKNUM(Gastos[[#This Row],[Fecha_Cheque]]),MID(Gastos[[#This Row],[Semana]],6,2))</f>
        <v>28</v>
      </c>
      <c r="O3606" t="s">
        <v>3766</v>
      </c>
      <c r="P3606" t="s">
        <v>27</v>
      </c>
    </row>
    <row r="3607" spans="1:16" hidden="1" x14ac:dyDescent="0.25">
      <c r="A3607" s="3" t="s">
        <v>3591</v>
      </c>
      <c r="B3607" t="s">
        <v>2014</v>
      </c>
      <c r="C3607" t="s">
        <v>3605</v>
      </c>
      <c r="D3607" t="s">
        <v>26</v>
      </c>
      <c r="E3607" t="s">
        <v>31</v>
      </c>
      <c r="F3607">
        <v>1</v>
      </c>
      <c r="G3607" s="3" t="s">
        <v>32</v>
      </c>
      <c r="H3607" s="51" t="s">
        <v>15</v>
      </c>
      <c r="I3607" s="17">
        <v>72141.17</v>
      </c>
      <c r="J3607" s="17">
        <f>IF(Gastos[[#This Row],[Divisa]]="$", I3607*1, IF(Gastos[[#This Row],[Divisa]]="U$D", I3607*$N$1, IF(Gastos[[#This Row],[Divisa]]="EUR", I3607*$N$2, 0)))</f>
        <v>72141.17</v>
      </c>
      <c r="K3607" s="61">
        <f>Gastos[[#This Row],[Importe AR$]]/$N$1</f>
        <v>47.61793399339934</v>
      </c>
      <c r="M3607" s="76">
        <v>46213</v>
      </c>
      <c r="N3607" s="50">
        <f>IF(Gastos[[#This Row],[Fecha_Cheque]]&gt;0,WEEKNUM(Gastos[[#This Row],[Fecha_Cheque]]),MID(Gastos[[#This Row],[Semana]],6,2))</f>
        <v>28</v>
      </c>
      <c r="O3607" t="s">
        <v>3611</v>
      </c>
      <c r="P3607" t="s">
        <v>27</v>
      </c>
    </row>
    <row r="3608" spans="1:16" hidden="1" x14ac:dyDescent="0.25">
      <c r="A3608" s="3" t="s">
        <v>3779</v>
      </c>
      <c r="B3608" t="s">
        <v>921</v>
      </c>
      <c r="C3608" t="s">
        <v>118</v>
      </c>
      <c r="D3608" t="s">
        <v>26</v>
      </c>
      <c r="E3608" t="s">
        <v>132</v>
      </c>
      <c r="F3608">
        <v>1</v>
      </c>
      <c r="G3608" s="3" t="s">
        <v>32</v>
      </c>
      <c r="H3608" s="51" t="s">
        <v>15</v>
      </c>
      <c r="I3608" s="17">
        <v>1000000</v>
      </c>
      <c r="J3608" s="17">
        <f>IF(Gastos[[#This Row],[Divisa]]="$", I3608*1, IF(Gastos[[#This Row],[Divisa]]="U$D", I3608*$N$1, IF(Gastos[[#This Row],[Divisa]]="EUR", I3608*$N$2, 0)))</f>
        <v>1000000</v>
      </c>
      <c r="K3608" s="61">
        <f>Gastos[[#This Row],[Importe AR$]]/$N$1</f>
        <v>660.0660066006601</v>
      </c>
      <c r="M3608" s="76">
        <v>46252</v>
      </c>
      <c r="N3608" s="50">
        <f>IF(Gastos[[#This Row],[Fecha_Cheque]]&gt;0,WEEKNUM(Gastos[[#This Row],[Fecha_Cheque]]),MID(Gastos[[#This Row],[Semana]],6,2))</f>
        <v>34</v>
      </c>
      <c r="O3608" t="s">
        <v>3796</v>
      </c>
      <c r="P3608" t="s">
        <v>27</v>
      </c>
    </row>
    <row r="3609" spans="1:16" hidden="1" x14ac:dyDescent="0.25">
      <c r="A3609" s="3" t="s">
        <v>3779</v>
      </c>
      <c r="B3609" t="s">
        <v>921</v>
      </c>
      <c r="C3609" t="s">
        <v>118</v>
      </c>
      <c r="D3609" t="s">
        <v>26</v>
      </c>
      <c r="E3609" t="s">
        <v>132</v>
      </c>
      <c r="F3609">
        <v>1</v>
      </c>
      <c r="G3609" s="3" t="s">
        <v>32</v>
      </c>
      <c r="H3609" s="51" t="s">
        <v>15</v>
      </c>
      <c r="I3609" s="17">
        <v>3748280</v>
      </c>
      <c r="J3609" s="17">
        <f>IF(Gastos[[#This Row],[Divisa]]="$", I3609*1, IF(Gastos[[#This Row],[Divisa]]="U$D", I3609*$N$1, IF(Gastos[[#This Row],[Divisa]]="EUR", I3609*$N$2, 0)))</f>
        <v>3748280</v>
      </c>
      <c r="K3609" s="61">
        <f>Gastos[[#This Row],[Importe AR$]]/$N$1</f>
        <v>2474.1122112211219</v>
      </c>
      <c r="M3609" s="76">
        <v>46256</v>
      </c>
      <c r="N3609" s="50">
        <f>IF(Gastos[[#This Row],[Fecha_Cheque]]&gt;0,WEEKNUM(Gastos[[#This Row],[Fecha_Cheque]]),MID(Gastos[[#This Row],[Semana]],6,2))</f>
        <v>34</v>
      </c>
      <c r="O3609" t="s">
        <v>3796</v>
      </c>
      <c r="P3609" t="s">
        <v>27</v>
      </c>
    </row>
    <row r="3610" spans="1:16" hidden="1" x14ac:dyDescent="0.25">
      <c r="A3610" s="3" t="s">
        <v>3718</v>
      </c>
      <c r="B3610" t="s">
        <v>1026</v>
      </c>
      <c r="C3610" t="s">
        <v>3750</v>
      </c>
      <c r="D3610" t="s">
        <v>26</v>
      </c>
      <c r="E3610" t="s">
        <v>42</v>
      </c>
      <c r="F3610">
        <v>1</v>
      </c>
      <c r="G3610" s="3" t="s">
        <v>4</v>
      </c>
      <c r="H3610" s="51" t="s">
        <v>15</v>
      </c>
      <c r="I3610" s="17">
        <v>11000</v>
      </c>
      <c r="J3610" s="17">
        <f>IF(Gastos[[#This Row],[Divisa]]="$", I3610*1, IF(Gastos[[#This Row],[Divisa]]="U$D", I3610*$N$1, IF(Gastos[[#This Row],[Divisa]]="EUR", I3610*$N$2, 0)))</f>
        <v>11000</v>
      </c>
      <c r="K3610" s="61">
        <f>Gastos[[#This Row],[Importe AR$]]/$N$1</f>
        <v>7.2607260726072607</v>
      </c>
      <c r="M3610" s="76"/>
      <c r="N3610" s="50" t="str">
        <f>IF(Gastos[[#This Row],[Fecha_Cheque]]&gt;0,WEEKNUM(Gastos[[#This Row],[Fecha_Cheque]]),MID(Gastos[[#This Row],[Semana]],6,2))</f>
        <v>28</v>
      </c>
      <c r="O3610" t="s">
        <v>3751</v>
      </c>
      <c r="P3610" t="s">
        <v>27</v>
      </c>
    </row>
    <row r="3611" spans="1:16" hidden="1" x14ac:dyDescent="0.25">
      <c r="A3611" s="3" t="s">
        <v>3591</v>
      </c>
      <c r="B3611" t="s">
        <v>3051</v>
      </c>
      <c r="C3611" t="s">
        <v>2667</v>
      </c>
      <c r="D3611" t="s">
        <v>26</v>
      </c>
      <c r="E3611" t="s">
        <v>62</v>
      </c>
      <c r="F3611">
        <v>2</v>
      </c>
      <c r="G3611" s="3" t="s">
        <v>32</v>
      </c>
      <c r="H3611" s="51" t="s">
        <v>15</v>
      </c>
      <c r="I3611" s="17">
        <v>2000000</v>
      </c>
      <c r="J3611" s="17">
        <f>IF(Gastos[[#This Row],[Divisa]]="$", I3611*1, IF(Gastos[[#This Row],[Divisa]]="U$D", I3611*$N$1, IF(Gastos[[#This Row],[Divisa]]="EUR", I3611*$N$2, 0)))</f>
        <v>2000000</v>
      </c>
      <c r="K3611" s="61">
        <f>Gastos[[#This Row],[Importe AR$]]/$N$1</f>
        <v>1320.1320132013202</v>
      </c>
      <c r="M3611" s="76">
        <v>46242</v>
      </c>
      <c r="N3611" s="50">
        <f>IF(Gastos[[#This Row],[Fecha_Cheque]]&gt;0,WEEKNUM(Gastos[[#This Row],[Fecha_Cheque]]),MID(Gastos[[#This Row],[Semana]],6,2))</f>
        <v>32</v>
      </c>
      <c r="O3611" t="s">
        <v>3630</v>
      </c>
      <c r="P3611" t="s">
        <v>27</v>
      </c>
    </row>
    <row r="3612" spans="1:16" hidden="1" x14ac:dyDescent="0.25">
      <c r="A3612" s="3" t="s">
        <v>3591</v>
      </c>
      <c r="B3612" t="s">
        <v>3051</v>
      </c>
      <c r="C3612" t="s">
        <v>2667</v>
      </c>
      <c r="D3612" t="s">
        <v>26</v>
      </c>
      <c r="E3612" t="s">
        <v>42</v>
      </c>
      <c r="F3612">
        <v>2</v>
      </c>
      <c r="G3612" s="3" t="s">
        <v>4</v>
      </c>
      <c r="H3612" s="51" t="s">
        <v>15</v>
      </c>
      <c r="I3612" s="17">
        <v>1000000</v>
      </c>
      <c r="J3612" s="17">
        <f>IF(Gastos[[#This Row],[Divisa]]="$", I3612*1, IF(Gastos[[#This Row],[Divisa]]="U$D", I3612*$N$1, IF(Gastos[[#This Row],[Divisa]]="EUR", I3612*$N$2, 0)))</f>
        <v>1000000</v>
      </c>
      <c r="K3612" s="61">
        <f>Gastos[[#This Row],[Importe AR$]]/$N$1</f>
        <v>660.0660066006601</v>
      </c>
      <c r="M3612" s="76"/>
      <c r="N3612" s="50" t="str">
        <f>IF(Gastos[[#This Row],[Fecha_Cheque]]&gt;0,WEEKNUM(Gastos[[#This Row],[Fecha_Cheque]]),MID(Gastos[[#This Row],[Semana]],6,2))</f>
        <v>26</v>
      </c>
      <c r="O3612" t="s">
        <v>3630</v>
      </c>
      <c r="P3612" t="s">
        <v>27</v>
      </c>
    </row>
    <row r="3613" spans="1:16" hidden="1" x14ac:dyDescent="0.25">
      <c r="A3613" s="3" t="s">
        <v>3907</v>
      </c>
      <c r="B3613" t="s">
        <v>3020</v>
      </c>
      <c r="C3613" t="s">
        <v>3879</v>
      </c>
      <c r="D3613" t="s">
        <v>26</v>
      </c>
      <c r="E3613" t="s">
        <v>62</v>
      </c>
      <c r="F3613">
        <v>1</v>
      </c>
      <c r="G3613" s="3" t="s">
        <v>4</v>
      </c>
      <c r="H3613" s="51" t="s">
        <v>15</v>
      </c>
      <c r="I3613" s="17">
        <v>55420.69</v>
      </c>
      <c r="J3613" s="17">
        <f>IF(Gastos[[#This Row],[Divisa]]="$", I3613*1, IF(Gastos[[#This Row],[Divisa]]="U$D", I3613*$N$1, IF(Gastos[[#This Row],[Divisa]]="EUR", I3613*$N$2, 0)))</f>
        <v>55420.69</v>
      </c>
      <c r="K3613" s="61">
        <f>Gastos[[#This Row],[Importe AR$]]/$N$1</f>
        <v>36.581313531353139</v>
      </c>
      <c r="L3613" t="s">
        <v>340</v>
      </c>
      <c r="M3613" s="76"/>
      <c r="N3613" s="50" t="str">
        <f>IF(Gastos[[#This Row],[Fecha_Cheque]]&gt;0,WEEKNUM(Gastos[[#This Row],[Fecha_Cheque]]),MID(Gastos[[#This Row],[Semana]],6,2))</f>
        <v>31</v>
      </c>
      <c r="O3613" t="s">
        <v>3950</v>
      </c>
      <c r="P3613" t="s">
        <v>27</v>
      </c>
    </row>
    <row r="3614" spans="1:16" x14ac:dyDescent="0.25">
      <c r="A3614" s="3" t="s">
        <v>3990</v>
      </c>
      <c r="B3614" t="s">
        <v>3020</v>
      </c>
      <c r="C3614" t="s">
        <v>3879</v>
      </c>
      <c r="D3614" t="s">
        <v>26</v>
      </c>
      <c r="E3614" t="s">
        <v>62</v>
      </c>
      <c r="F3614">
        <v>1</v>
      </c>
      <c r="G3614" s="3" t="s">
        <v>4</v>
      </c>
      <c r="H3614" s="51" t="s">
        <v>15</v>
      </c>
      <c r="I3614" s="17">
        <v>0</v>
      </c>
      <c r="J3614" s="17">
        <f>IF(Gastos[[#This Row],[Divisa]]="$", I3614*1, IF(Gastos[[#This Row],[Divisa]]="U$D", I3614*$N$1, IF(Gastos[[#This Row],[Divisa]]="EUR", I3614*$N$2, 0)))</f>
        <v>0</v>
      </c>
      <c r="K3614" s="61">
        <f>Gastos[[#This Row],[Importe AR$]]/$N$1</f>
        <v>0</v>
      </c>
      <c r="L3614" t="s">
        <v>3949</v>
      </c>
      <c r="M3614" s="76"/>
      <c r="N3614" s="50" t="str">
        <f>IF(Gastos[[#This Row],[Fecha_Cheque]]&gt;0,WEEKNUM(Gastos[[#This Row],[Fecha_Cheque]]),MID(Gastos[[#This Row],[Semana]],6,2))</f>
        <v>32</v>
      </c>
    </row>
    <row r="3615" spans="1:16" x14ac:dyDescent="0.25">
      <c r="A3615" s="3" t="s">
        <v>3990</v>
      </c>
      <c r="B3615" t="s">
        <v>503</v>
      </c>
      <c r="C3615" t="s">
        <v>3998</v>
      </c>
      <c r="D3615" t="s">
        <v>26</v>
      </c>
      <c r="E3615" t="s">
        <v>42</v>
      </c>
      <c r="F3615">
        <v>1</v>
      </c>
      <c r="G3615" s="3" t="s">
        <v>4</v>
      </c>
      <c r="H3615" s="51" t="s">
        <v>15</v>
      </c>
      <c r="I3615" s="17">
        <v>59000</v>
      </c>
      <c r="J3615" s="17">
        <f>IF(Gastos[[#This Row],[Divisa]]="$", I3615*1, IF(Gastos[[#This Row],[Divisa]]="U$D", I3615*$N$1, IF(Gastos[[#This Row],[Divisa]]="EUR", I3615*$N$2, 0)))</f>
        <v>59000</v>
      </c>
      <c r="K3615" s="61">
        <f>Gastos[[#This Row],[Importe AR$]]/$N$1</f>
        <v>38.943894389438945</v>
      </c>
      <c r="M3615" s="76"/>
      <c r="N3615" s="50" t="str">
        <f>IF(Gastos[[#This Row],[Fecha_Cheque]]&gt;0,WEEKNUM(Gastos[[#This Row],[Fecha_Cheque]]),MID(Gastos[[#This Row],[Semana]],6,2))</f>
        <v>32</v>
      </c>
      <c r="O3615" t="s">
        <v>3999</v>
      </c>
      <c r="P3615" t="s">
        <v>27</v>
      </c>
    </row>
    <row r="3616" spans="1:16" x14ac:dyDescent="0.25">
      <c r="A3616" s="3" t="s">
        <v>3990</v>
      </c>
      <c r="B3616" t="s">
        <v>2890</v>
      </c>
      <c r="C3616" t="s">
        <v>3005</v>
      </c>
      <c r="D3616" t="s">
        <v>26</v>
      </c>
      <c r="E3616" t="s">
        <v>62</v>
      </c>
      <c r="F3616">
        <v>1</v>
      </c>
      <c r="G3616" s="3" t="s">
        <v>32</v>
      </c>
      <c r="H3616" s="51" t="s">
        <v>15</v>
      </c>
      <c r="I3616" s="17">
        <v>192199</v>
      </c>
      <c r="J3616" s="17">
        <f>IF(Gastos[[#This Row],[Divisa]]="$", I3616*1, IF(Gastos[[#This Row],[Divisa]]="U$D", I3616*$N$1, IF(Gastos[[#This Row],[Divisa]]="EUR", I3616*$N$2, 0)))</f>
        <v>192199</v>
      </c>
      <c r="K3616" s="61">
        <f>Gastos[[#This Row],[Importe AR$]]/$N$1</f>
        <v>126.86402640264026</v>
      </c>
      <c r="M3616" s="76"/>
      <c r="N3616" s="50" t="str">
        <f>IF(Gastos[[#This Row],[Fecha_Cheque]]&gt;0,WEEKNUM(Gastos[[#This Row],[Fecha_Cheque]]),MID(Gastos[[#This Row],[Semana]],6,2))</f>
        <v>32</v>
      </c>
    </row>
    <row r="3617" spans="1:16" hidden="1" x14ac:dyDescent="0.25">
      <c r="A3617" s="3" t="s">
        <v>3591</v>
      </c>
      <c r="B3617" t="s">
        <v>2153</v>
      </c>
      <c r="C3617" t="s">
        <v>155</v>
      </c>
      <c r="D3617" t="s">
        <v>26</v>
      </c>
      <c r="E3617" t="s">
        <v>42</v>
      </c>
      <c r="F3617">
        <v>1</v>
      </c>
      <c r="G3617" s="3" t="s">
        <v>4</v>
      </c>
      <c r="H3617" s="51" t="s">
        <v>15</v>
      </c>
      <c r="I3617" s="17">
        <v>50000</v>
      </c>
      <c r="J3617" s="17">
        <f>IF(Gastos[[#This Row],[Divisa]]="$", I3617*1, IF(Gastos[[#This Row],[Divisa]]="U$D", I3617*$N$1, IF(Gastos[[#This Row],[Divisa]]="EUR", I3617*$N$2, 0)))</f>
        <v>50000</v>
      </c>
      <c r="K3617" s="61">
        <f>Gastos[[#This Row],[Importe AR$]]/$N$1</f>
        <v>33.003300330033007</v>
      </c>
      <c r="M3617" s="76"/>
      <c r="N3617" s="50" t="str">
        <f>IF(Gastos[[#This Row],[Fecha_Cheque]]&gt;0,WEEKNUM(Gastos[[#This Row],[Fecha_Cheque]]),MID(Gastos[[#This Row],[Semana]],6,2))</f>
        <v>26</v>
      </c>
      <c r="O3617" t="s">
        <v>3625</v>
      </c>
      <c r="P3617" t="s">
        <v>27</v>
      </c>
    </row>
    <row r="3618" spans="1:16" x14ac:dyDescent="0.25">
      <c r="A3618" s="3" t="s">
        <v>3990</v>
      </c>
      <c r="B3618" t="s">
        <v>2890</v>
      </c>
      <c r="C3618" t="s">
        <v>3005</v>
      </c>
      <c r="D3618" t="s">
        <v>26</v>
      </c>
      <c r="E3618" t="s">
        <v>62</v>
      </c>
      <c r="F3618">
        <v>1</v>
      </c>
      <c r="G3618" s="3" t="s">
        <v>32</v>
      </c>
      <c r="H3618" s="51" t="s">
        <v>15</v>
      </c>
      <c r="I3618" s="17">
        <f>75000+870000</f>
        <v>945000</v>
      </c>
      <c r="J3618" s="17">
        <f>IF(Gastos[[#This Row],[Divisa]]="$", I3618*1, IF(Gastos[[#This Row],[Divisa]]="U$D", I3618*$N$1, IF(Gastos[[#This Row],[Divisa]]="EUR", I3618*$N$2, 0)))</f>
        <v>945000</v>
      </c>
      <c r="K3618" s="61">
        <f>Gastos[[#This Row],[Importe AR$]]/$N$1</f>
        <v>623.76237623762381</v>
      </c>
      <c r="L3618" s="99"/>
      <c r="M3618" s="100"/>
      <c r="N3618" s="101" t="str">
        <f>IF(Gastos[[#This Row],[Fecha_Cheque]]&gt;0,WEEKNUM(Gastos[[#This Row],[Fecha_Cheque]]),MID(Gastos[[#This Row],[Semana]],6,2))</f>
        <v>32</v>
      </c>
      <c r="O3618" s="99"/>
      <c r="P3618" s="99"/>
    </row>
    <row r="3619" spans="1:16" x14ac:dyDescent="0.25">
      <c r="A3619" s="3" t="s">
        <v>3990</v>
      </c>
      <c r="B3619" t="s">
        <v>568</v>
      </c>
      <c r="C3619" t="s">
        <v>569</v>
      </c>
      <c r="D3619" t="s">
        <v>26</v>
      </c>
      <c r="E3619" t="s">
        <v>62</v>
      </c>
      <c r="F3619">
        <v>1</v>
      </c>
      <c r="G3619" s="3" t="s">
        <v>32</v>
      </c>
      <c r="H3619" s="53" t="s">
        <v>15</v>
      </c>
      <c r="I3619" s="17">
        <v>15053191.1</v>
      </c>
      <c r="J3619" s="17">
        <f>IF(Gastos[[#This Row],[Divisa]]="$", I3619*1, IF(Gastos[[#This Row],[Divisa]]="U$D", I3619*$N$1, IF(Gastos[[#This Row],[Divisa]]="EUR", I3619*$N$2, 0)))</f>
        <v>15053191.1</v>
      </c>
      <c r="K3619" s="61">
        <f>Gastos[[#This Row],[Importe AR$]]/$N$1</f>
        <v>9936.0997359735975</v>
      </c>
      <c r="M3619" s="76"/>
      <c r="N3619" s="50" t="str">
        <f>IF(Gastos[[#This Row],[Fecha_Cheque]]&gt;0,WEEKNUM(Gastos[[#This Row],[Fecha_Cheque]]),MID(Gastos[[#This Row],[Semana]],6,2))</f>
        <v>32</v>
      </c>
    </row>
    <row r="3620" spans="1:16" x14ac:dyDescent="0.25">
      <c r="A3620" s="3" t="s">
        <v>3990</v>
      </c>
      <c r="B3620" t="s">
        <v>483</v>
      </c>
      <c r="C3620" t="s">
        <v>155</v>
      </c>
      <c r="D3620" t="s">
        <v>26</v>
      </c>
      <c r="E3620" t="s">
        <v>42</v>
      </c>
      <c r="F3620">
        <v>1</v>
      </c>
      <c r="G3620" s="3" t="s">
        <v>4</v>
      </c>
      <c r="H3620" s="53" t="s">
        <v>15</v>
      </c>
      <c r="I3620" s="17">
        <v>6000</v>
      </c>
      <c r="J3620" s="17">
        <f>IF(Gastos[[#This Row],[Divisa]]="$", I3620*1, IF(Gastos[[#This Row],[Divisa]]="U$D", I3620*$N$1, IF(Gastos[[#This Row],[Divisa]]="EUR", I3620*$N$2, 0)))</f>
        <v>6000</v>
      </c>
      <c r="K3620" s="61">
        <f>Gastos[[#This Row],[Importe AR$]]/$N$1</f>
        <v>3.9603960396039604</v>
      </c>
      <c r="L3620" t="s">
        <v>3177</v>
      </c>
      <c r="M3620" s="76"/>
      <c r="N3620" s="50" t="str">
        <f>IF(Gastos[[#This Row],[Fecha_Cheque]]&gt;0,WEEKNUM(Gastos[[#This Row],[Fecha_Cheque]]),MID(Gastos[[#This Row],[Semana]],6,2))</f>
        <v>32</v>
      </c>
    </row>
    <row r="3621" spans="1:16" hidden="1" x14ac:dyDescent="0.25">
      <c r="A3621" s="3" t="s">
        <v>3641</v>
      </c>
      <c r="B3621" t="s">
        <v>1347</v>
      </c>
      <c r="C3621" t="s">
        <v>3669</v>
      </c>
      <c r="D3621" t="s">
        <v>26</v>
      </c>
      <c r="E3621" t="s">
        <v>31</v>
      </c>
      <c r="F3621">
        <v>1</v>
      </c>
      <c r="G3621" s="3" t="s">
        <v>5</v>
      </c>
      <c r="H3621" s="51" t="s">
        <v>15</v>
      </c>
      <c r="I3621" s="17">
        <v>4324632.55</v>
      </c>
      <c r="J3621" s="17">
        <f>IF(Gastos[[#This Row],[Divisa]]="$", I3621*1, IF(Gastos[[#This Row],[Divisa]]="U$D", I3621*$N$1, IF(Gastos[[#This Row],[Divisa]]="EUR", I3621*$N$2, 0)))</f>
        <v>4324632.55</v>
      </c>
      <c r="K3621" s="61">
        <f>Gastos[[#This Row],[Importe AR$]]/$N$1</f>
        <v>2854.5429372937292</v>
      </c>
      <c r="M3621" s="76"/>
      <c r="N3621" s="50" t="str">
        <f>IF(Gastos[[#This Row],[Fecha_Cheque]]&gt;0,WEEKNUM(Gastos[[#This Row],[Fecha_Cheque]]),MID(Gastos[[#This Row],[Semana]],6,2))</f>
        <v>27</v>
      </c>
      <c r="O3621" t="s">
        <v>3678</v>
      </c>
      <c r="P3621" t="s">
        <v>27</v>
      </c>
    </row>
    <row r="3622" spans="1:16" x14ac:dyDescent="0.25">
      <c r="A3622" s="3" t="s">
        <v>3990</v>
      </c>
      <c r="B3622" t="s">
        <v>483</v>
      </c>
      <c r="C3622" t="s">
        <v>155</v>
      </c>
      <c r="D3622" t="s">
        <v>26</v>
      </c>
      <c r="E3622" t="s">
        <v>42</v>
      </c>
      <c r="F3622">
        <v>1</v>
      </c>
      <c r="G3622" s="3" t="s">
        <v>4</v>
      </c>
      <c r="H3622" s="53" t="s">
        <v>15</v>
      </c>
      <c r="I3622" s="17">
        <v>190000</v>
      </c>
      <c r="J3622" s="17">
        <f>IF(Gastos[[#This Row],[Divisa]]="$", I3622*1, IF(Gastos[[#This Row],[Divisa]]="U$D", I3622*$N$1, IF(Gastos[[#This Row],[Divisa]]="EUR", I3622*$N$2, 0)))</f>
        <v>190000</v>
      </c>
      <c r="K3622" s="61">
        <f>Gastos[[#This Row],[Importe AR$]]/$N$1</f>
        <v>125.41254125412541</v>
      </c>
      <c r="L3622" s="99"/>
      <c r="M3622" s="100"/>
      <c r="N3622" s="101" t="str">
        <f>IF(Gastos[[#This Row],[Fecha_Cheque]]&gt;0,WEEKNUM(Gastos[[#This Row],[Fecha_Cheque]]),MID(Gastos[[#This Row],[Semana]],6,2))</f>
        <v>32</v>
      </c>
      <c r="O3622" s="99"/>
      <c r="P3622" s="99" t="s">
        <v>3991</v>
      </c>
    </row>
    <row r="3623" spans="1:16" x14ac:dyDescent="0.25">
      <c r="A3623" s="3" t="s">
        <v>3990</v>
      </c>
      <c r="B3623" t="s">
        <v>483</v>
      </c>
      <c r="C3623" t="s">
        <v>3443</v>
      </c>
      <c r="D3623" t="s">
        <v>26</v>
      </c>
      <c r="E3623" t="s">
        <v>42</v>
      </c>
      <c r="F3623">
        <v>2</v>
      </c>
      <c r="G3623" s="3" t="s">
        <v>4</v>
      </c>
      <c r="H3623" s="51" t="s">
        <v>15</v>
      </c>
      <c r="I3623" s="17">
        <v>0</v>
      </c>
      <c r="J3623" s="17">
        <f>IF(Gastos[[#This Row],[Divisa]]="$", I3623*1, IF(Gastos[[#This Row],[Divisa]]="U$D", I3623*$N$1, IF(Gastos[[#This Row],[Divisa]]="EUR", I3623*$N$2, 0)))</f>
        <v>0</v>
      </c>
      <c r="K3623" s="61">
        <f>Gastos[[#This Row],[Importe AR$]]/$N$1</f>
        <v>0</v>
      </c>
      <c r="L3623" s="17"/>
      <c r="M3623" s="76"/>
      <c r="N3623" s="50" t="str">
        <f>IF(Gastos[[#This Row],[Fecha_Cheque]]&gt;0,WEEKNUM(Gastos[[#This Row],[Fecha_Cheque]]),MID(Gastos[[#This Row],[Semana]],6,2))</f>
        <v>32</v>
      </c>
    </row>
    <row r="3624" spans="1:16" x14ac:dyDescent="0.25">
      <c r="A3624" s="3" t="s">
        <v>3990</v>
      </c>
      <c r="B3624" t="s">
        <v>3914</v>
      </c>
      <c r="C3624" t="s">
        <v>3915</v>
      </c>
      <c r="D3624" t="s">
        <v>26</v>
      </c>
      <c r="E3624" t="s">
        <v>31</v>
      </c>
      <c r="F3624">
        <v>1</v>
      </c>
      <c r="G3624" s="3" t="s">
        <v>32</v>
      </c>
      <c r="H3624" s="51" t="s">
        <v>15</v>
      </c>
      <c r="I3624" s="17">
        <v>101421716</v>
      </c>
      <c r="J3624" s="17">
        <f>IF(Gastos[[#This Row],[Divisa]]="$", I3624*1, IF(Gastos[[#This Row],[Divisa]]="U$D", I3624*$N$1, IF(Gastos[[#This Row],[Divisa]]="EUR", I3624*$N$2, 0)))</f>
        <v>101421716</v>
      </c>
      <c r="K3624" s="61">
        <f>Gastos[[#This Row],[Importe AR$]]/$N$1</f>
        <v>66945.027062706271</v>
      </c>
      <c r="M3624" s="76"/>
      <c r="N3624" s="50" t="str">
        <f>IF(Gastos[[#This Row],[Fecha_Cheque]]&gt;0,WEEKNUM(Gastos[[#This Row],[Fecha_Cheque]]),MID(Gastos[[#This Row],[Semana]],6,2))</f>
        <v>32</v>
      </c>
    </row>
    <row r="3625" spans="1:16" x14ac:dyDescent="0.25">
      <c r="A3625" s="3" t="s">
        <v>3990</v>
      </c>
      <c r="B3625" t="s">
        <v>607</v>
      </c>
      <c r="C3625" t="s">
        <v>3196</v>
      </c>
      <c r="D3625" t="s">
        <v>26</v>
      </c>
      <c r="E3625" t="s">
        <v>62</v>
      </c>
      <c r="F3625">
        <v>1</v>
      </c>
      <c r="G3625" s="3" t="s">
        <v>32</v>
      </c>
      <c r="H3625" s="51" t="s">
        <v>3</v>
      </c>
      <c r="I3625" s="17">
        <v>79085.14</v>
      </c>
      <c r="J3625" s="17">
        <f>IF(Gastos[[#This Row],[Divisa]]="$", I3625*1, IF(Gastos[[#This Row],[Divisa]]="U$D", I3625*$N$1, IF(Gastos[[#This Row],[Divisa]]="EUR", I3625*$N$2, 0)))</f>
        <v>139980697.80000001</v>
      </c>
      <c r="K3625" s="61">
        <f>Gastos[[#This Row],[Importe AR$]]/$N$1</f>
        <v>92396.500198019814</v>
      </c>
      <c r="L3625">
        <v>79085.14</v>
      </c>
      <c r="M3625" s="76"/>
      <c r="N3625" s="50" t="str">
        <f>IF(Gastos[[#This Row],[Fecha_Cheque]]&gt;0,WEEKNUM(Gastos[[#This Row],[Fecha_Cheque]]),MID(Gastos[[#This Row],[Semana]],6,2))</f>
        <v>32</v>
      </c>
    </row>
    <row r="3626" spans="1:16" x14ac:dyDescent="0.25">
      <c r="A3626" s="3" t="s">
        <v>3990</v>
      </c>
      <c r="B3626" t="s">
        <v>643</v>
      </c>
      <c r="C3626" t="s">
        <v>648</v>
      </c>
      <c r="D3626" t="s">
        <v>26</v>
      </c>
      <c r="E3626" t="s">
        <v>62</v>
      </c>
      <c r="F3626">
        <v>1</v>
      </c>
      <c r="G3626" s="3" t="s">
        <v>32</v>
      </c>
      <c r="H3626" s="53" t="s">
        <v>15</v>
      </c>
      <c r="I3626" s="17">
        <v>0</v>
      </c>
      <c r="J3626" s="17">
        <f>IF(Gastos[[#This Row],[Divisa]]="$", I3626*1, IF(Gastos[[#This Row],[Divisa]]="U$D", I3626*$N$1, IF(Gastos[[#This Row],[Divisa]]="EUR", I3626*$N$2, 0)))</f>
        <v>0</v>
      </c>
      <c r="K3626" s="61">
        <f>Gastos[[#This Row],[Importe AR$]]/$N$1</f>
        <v>0</v>
      </c>
      <c r="M3626" s="76"/>
      <c r="N3626" s="50" t="str">
        <f>IF(Gastos[[#This Row],[Fecha_Cheque]]&gt;0,WEEKNUM(Gastos[[#This Row],[Fecha_Cheque]]),MID(Gastos[[#This Row],[Semana]],6,2))</f>
        <v>32</v>
      </c>
    </row>
    <row r="3627" spans="1:16" x14ac:dyDescent="0.25">
      <c r="A3627" s="3" t="s">
        <v>3990</v>
      </c>
      <c r="B3627" t="s">
        <v>3228</v>
      </c>
      <c r="C3627" t="s">
        <v>2838</v>
      </c>
      <c r="D3627" t="s">
        <v>26</v>
      </c>
      <c r="E3627" t="s">
        <v>91</v>
      </c>
      <c r="F3627">
        <v>1</v>
      </c>
      <c r="G3627" s="3" t="s">
        <v>5</v>
      </c>
      <c r="H3627" s="51" t="s">
        <v>15</v>
      </c>
      <c r="I3627" s="17">
        <v>399779.52</v>
      </c>
      <c r="J3627" s="17">
        <f>IF(Gastos[[#This Row],[Divisa]]="$", I3627*1, IF(Gastos[[#This Row],[Divisa]]="U$D", I3627*$N$1, IF(Gastos[[#This Row],[Divisa]]="EUR", I3627*$N$2, 0)))</f>
        <v>399779.52</v>
      </c>
      <c r="K3627" s="61">
        <f>Gastos[[#This Row],[Importe AR$]]/$N$1</f>
        <v>263.88087128712874</v>
      </c>
      <c r="M3627" s="76"/>
      <c r="N3627" s="50" t="str">
        <f>IF(Gastos[[#This Row],[Fecha_Cheque]]&gt;0,WEEKNUM(Gastos[[#This Row],[Fecha_Cheque]]),MID(Gastos[[#This Row],[Semana]],6,2))</f>
        <v>32</v>
      </c>
    </row>
    <row r="3628" spans="1:16" hidden="1" x14ac:dyDescent="0.25">
      <c r="A3628" s="3" t="s">
        <v>3641</v>
      </c>
      <c r="B3628" t="s">
        <v>3642</v>
      </c>
      <c r="C3628" t="s">
        <v>3643</v>
      </c>
      <c r="D3628" t="s">
        <v>26</v>
      </c>
      <c r="E3628" t="s">
        <v>42</v>
      </c>
      <c r="F3628">
        <v>1</v>
      </c>
      <c r="G3628" s="3" t="s">
        <v>4</v>
      </c>
      <c r="H3628" s="51" t="s">
        <v>15</v>
      </c>
      <c r="I3628" s="17">
        <v>39509.919999999998</v>
      </c>
      <c r="J3628" s="17">
        <f>IF(Gastos[[#This Row],[Divisa]]="$", I3628*1, IF(Gastos[[#This Row],[Divisa]]="U$D", I3628*$N$1, IF(Gastos[[#This Row],[Divisa]]="EUR", I3628*$N$2, 0)))</f>
        <v>39509.919999999998</v>
      </c>
      <c r="K3628" s="61">
        <f>Gastos[[#This Row],[Importe AR$]]/$N$1</f>
        <v>26.079155115511551</v>
      </c>
      <c r="M3628" s="76"/>
      <c r="N3628" s="50" t="str">
        <f>IF(Gastos[[#This Row],[Fecha_Cheque]]&gt;0,WEEKNUM(Gastos[[#This Row],[Fecha_Cheque]]),MID(Gastos[[#This Row],[Semana]],6,2))</f>
        <v>27</v>
      </c>
      <c r="O3628" t="s">
        <v>3648</v>
      </c>
      <c r="P3628" t="s">
        <v>27</v>
      </c>
    </row>
    <row r="3629" spans="1:16" hidden="1" x14ac:dyDescent="0.25">
      <c r="A3629" s="3" t="s">
        <v>3591</v>
      </c>
      <c r="B3629" t="s">
        <v>2226</v>
      </c>
      <c r="C3629" t="s">
        <v>3634</v>
      </c>
      <c r="D3629" t="s">
        <v>26</v>
      </c>
      <c r="E3629" t="s">
        <v>42</v>
      </c>
      <c r="F3629">
        <v>2</v>
      </c>
      <c r="G3629" s="3" t="s">
        <v>4</v>
      </c>
      <c r="H3629" s="51" t="s">
        <v>15</v>
      </c>
      <c r="I3629" s="17">
        <v>190000</v>
      </c>
      <c r="J3629" s="17">
        <f>IF(Gastos[[#This Row],[Divisa]]="$", I3629*1, IF(Gastos[[#This Row],[Divisa]]="U$D", I3629*$N$1, IF(Gastos[[#This Row],[Divisa]]="EUR", I3629*$N$2, 0)))</f>
        <v>190000</v>
      </c>
      <c r="K3629" s="61">
        <f>Gastos[[#This Row],[Importe AR$]]/$N$1</f>
        <v>125.41254125412541</v>
      </c>
      <c r="M3629" s="76"/>
      <c r="N3629" s="50" t="str">
        <f>IF(Gastos[[#This Row],[Fecha_Cheque]]&gt;0,WEEKNUM(Gastos[[#This Row],[Fecha_Cheque]]),MID(Gastos[[#This Row],[Semana]],6,2))</f>
        <v>26</v>
      </c>
      <c r="O3629" t="s">
        <v>3635</v>
      </c>
      <c r="P3629" t="s">
        <v>27</v>
      </c>
    </row>
    <row r="3630" spans="1:16" hidden="1" x14ac:dyDescent="0.25">
      <c r="A3630" s="3" t="s">
        <v>3591</v>
      </c>
      <c r="B3630" t="s">
        <v>954</v>
      </c>
      <c r="C3630" t="s">
        <v>3638</v>
      </c>
      <c r="D3630" t="s">
        <v>26</v>
      </c>
      <c r="E3630" t="s">
        <v>91</v>
      </c>
      <c r="F3630">
        <v>1</v>
      </c>
      <c r="G3630" s="3" t="s">
        <v>5</v>
      </c>
      <c r="H3630" s="51" t="s">
        <v>15</v>
      </c>
      <c r="I3630" s="17">
        <v>170000</v>
      </c>
      <c r="J3630" s="17">
        <f>IF(Gastos[[#This Row],[Divisa]]="$", I3630*1, IF(Gastos[[#This Row],[Divisa]]="U$D", I3630*$N$1, IF(Gastos[[#This Row],[Divisa]]="EUR", I3630*$N$2, 0)))</f>
        <v>170000</v>
      </c>
      <c r="K3630" s="61">
        <f>Gastos[[#This Row],[Importe AR$]]/$N$1</f>
        <v>112.21122112211221</v>
      </c>
      <c r="M3630" s="76"/>
      <c r="N3630" s="50" t="str">
        <f>IF(Gastos[[#This Row],[Fecha_Cheque]]&gt;0,WEEKNUM(Gastos[[#This Row],[Fecha_Cheque]]),MID(Gastos[[#This Row],[Semana]],6,2))</f>
        <v>26</v>
      </c>
      <c r="O3630" t="s">
        <v>3639</v>
      </c>
      <c r="P3630" t="s">
        <v>27</v>
      </c>
    </row>
    <row r="3631" spans="1:16" hidden="1" x14ac:dyDescent="0.25">
      <c r="A3631" s="3" t="s">
        <v>3591</v>
      </c>
      <c r="B3631" t="s">
        <v>2288</v>
      </c>
      <c r="C3631" t="s">
        <v>3636</v>
      </c>
      <c r="D3631" t="s">
        <v>26</v>
      </c>
      <c r="E3631" t="s">
        <v>91</v>
      </c>
      <c r="F3631">
        <v>1</v>
      </c>
      <c r="G3631" s="3" t="s">
        <v>5</v>
      </c>
      <c r="H3631" s="51" t="s">
        <v>15</v>
      </c>
      <c r="I3631" s="17">
        <v>1572885</v>
      </c>
      <c r="J3631" s="17">
        <f>IF(Gastos[[#This Row],[Divisa]]="$", I3631*1, IF(Gastos[[#This Row],[Divisa]]="U$D", I3631*$N$1, IF(Gastos[[#This Row],[Divisa]]="EUR", I3631*$N$2, 0)))</f>
        <v>1572885</v>
      </c>
      <c r="K3631" s="61">
        <f>Gastos[[#This Row],[Importe AR$]]/$N$1</f>
        <v>1038.2079207920792</v>
      </c>
      <c r="M3631" s="76"/>
      <c r="N3631" s="50" t="str">
        <f>IF(Gastos[[#This Row],[Fecha_Cheque]]&gt;0,WEEKNUM(Gastos[[#This Row],[Fecha_Cheque]]),MID(Gastos[[#This Row],[Semana]],6,2))</f>
        <v>26</v>
      </c>
      <c r="O3631" t="s">
        <v>3637</v>
      </c>
      <c r="P3631" t="s">
        <v>27</v>
      </c>
    </row>
    <row r="3632" spans="1:16" hidden="1" x14ac:dyDescent="0.25">
      <c r="A3632" s="3" t="s">
        <v>3641</v>
      </c>
      <c r="B3632" t="s">
        <v>3024</v>
      </c>
      <c r="C3632" t="s">
        <v>3703</v>
      </c>
      <c r="D3632" t="s">
        <v>26</v>
      </c>
      <c r="E3632" t="s">
        <v>42</v>
      </c>
      <c r="F3632">
        <v>1</v>
      </c>
      <c r="G3632" s="3" t="s">
        <v>4</v>
      </c>
      <c r="H3632" s="51" t="s">
        <v>15</v>
      </c>
      <c r="I3632" s="17">
        <v>70600</v>
      </c>
      <c r="J3632" s="17">
        <f>IF(Gastos[[#This Row],[Divisa]]="$", I3632*1, IF(Gastos[[#This Row],[Divisa]]="U$D", I3632*$N$1, IF(Gastos[[#This Row],[Divisa]]="EUR", I3632*$N$2, 0)))</f>
        <v>70600</v>
      </c>
      <c r="K3632" s="61">
        <f>Gastos[[#This Row],[Importe AR$]]/$N$1</f>
        <v>46.600660066006604</v>
      </c>
      <c r="M3632" s="76"/>
      <c r="N3632" s="50" t="str">
        <f>IF(Gastos[[#This Row],[Fecha_Cheque]]&gt;0,WEEKNUM(Gastos[[#This Row],[Fecha_Cheque]]),MID(Gastos[[#This Row],[Semana]],6,2))</f>
        <v>27</v>
      </c>
      <c r="O3632" t="s">
        <v>3704</v>
      </c>
      <c r="P3632" t="s">
        <v>27</v>
      </c>
    </row>
    <row r="3633" spans="1:16" hidden="1" x14ac:dyDescent="0.25">
      <c r="A3633" s="3" t="s">
        <v>3641</v>
      </c>
      <c r="B3633" t="s">
        <v>1422</v>
      </c>
      <c r="C3633" t="s">
        <v>3669</v>
      </c>
      <c r="D3633" t="s">
        <v>26</v>
      </c>
      <c r="E3633" t="s">
        <v>31</v>
      </c>
      <c r="F3633">
        <v>1</v>
      </c>
      <c r="G3633" s="3" t="s">
        <v>5</v>
      </c>
      <c r="H3633" s="51" t="s">
        <v>15</v>
      </c>
      <c r="I3633" s="17">
        <v>1186719.71</v>
      </c>
      <c r="J3633" s="17">
        <f>IF(Gastos[[#This Row],[Divisa]]="$", I3633*1, IF(Gastos[[#This Row],[Divisa]]="U$D", I3633*$N$1, IF(Gastos[[#This Row],[Divisa]]="EUR", I3633*$N$2, 0)))</f>
        <v>1186719.71</v>
      </c>
      <c r="K3633" s="61">
        <f>Gastos[[#This Row],[Importe AR$]]/$N$1</f>
        <v>783.31333993399335</v>
      </c>
      <c r="M3633" s="76"/>
      <c r="N3633" s="50" t="str">
        <f>IF(Gastos[[#This Row],[Fecha_Cheque]]&gt;0,WEEKNUM(Gastos[[#This Row],[Fecha_Cheque]]),MID(Gastos[[#This Row],[Semana]],6,2))</f>
        <v>27</v>
      </c>
      <c r="O3633" t="s">
        <v>3679</v>
      </c>
      <c r="P3633" t="s">
        <v>27</v>
      </c>
    </row>
    <row r="3634" spans="1:16" hidden="1" x14ac:dyDescent="0.25">
      <c r="A3634" s="3" t="s">
        <v>3641</v>
      </c>
      <c r="B3634" t="s">
        <v>3359</v>
      </c>
      <c r="C3634" t="s">
        <v>3669</v>
      </c>
      <c r="D3634" t="s">
        <v>26</v>
      </c>
      <c r="E3634" t="s">
        <v>31</v>
      </c>
      <c r="F3634">
        <v>1</v>
      </c>
      <c r="G3634" s="3" t="s">
        <v>5</v>
      </c>
      <c r="H3634" s="51" t="s">
        <v>15</v>
      </c>
      <c r="I3634" s="17">
        <v>93032.8</v>
      </c>
      <c r="J3634" s="17">
        <f>IF(Gastos[[#This Row],[Divisa]]="$", I3634*1, IF(Gastos[[#This Row],[Divisa]]="U$D", I3634*$N$1, IF(Gastos[[#This Row],[Divisa]]="EUR", I3634*$N$2, 0)))</f>
        <v>93032.8</v>
      </c>
      <c r="K3634" s="61">
        <f>Gastos[[#This Row],[Importe AR$]]/$N$1</f>
        <v>61.407788778877887</v>
      </c>
      <c r="M3634" s="76"/>
      <c r="N3634" s="50" t="str">
        <f>IF(Gastos[[#This Row],[Fecha_Cheque]]&gt;0,WEEKNUM(Gastos[[#This Row],[Fecha_Cheque]]),MID(Gastos[[#This Row],[Semana]],6,2))</f>
        <v>27</v>
      </c>
      <c r="O3634" t="s">
        <v>3673</v>
      </c>
      <c r="P3634" t="s">
        <v>27</v>
      </c>
    </row>
    <row r="3635" spans="1:16" hidden="1" x14ac:dyDescent="0.25">
      <c r="A3635" s="3" t="s">
        <v>3641</v>
      </c>
      <c r="B3635" t="s">
        <v>3359</v>
      </c>
      <c r="C3635" t="s">
        <v>3669</v>
      </c>
      <c r="D3635" t="s">
        <v>26</v>
      </c>
      <c r="E3635" t="s">
        <v>31</v>
      </c>
      <c r="F3635">
        <v>1</v>
      </c>
      <c r="G3635" s="3" t="s">
        <v>5</v>
      </c>
      <c r="H3635" s="51" t="s">
        <v>15</v>
      </c>
      <c r="I3635" s="17">
        <v>4651640</v>
      </c>
      <c r="J3635" s="17">
        <f>IF(Gastos[[#This Row],[Divisa]]="$", I3635*1, IF(Gastos[[#This Row],[Divisa]]="U$D", I3635*$N$1, IF(Gastos[[#This Row],[Divisa]]="EUR", I3635*$N$2, 0)))</f>
        <v>4651640</v>
      </c>
      <c r="K3635" s="61">
        <f>Gastos[[#This Row],[Importe AR$]]/$N$1</f>
        <v>3070.3894389438942</v>
      </c>
      <c r="M3635" s="76"/>
      <c r="N3635" s="50" t="str">
        <f>IF(Gastos[[#This Row],[Fecha_Cheque]]&gt;0,WEEKNUM(Gastos[[#This Row],[Fecha_Cheque]]),MID(Gastos[[#This Row],[Semana]],6,2))</f>
        <v>27</v>
      </c>
      <c r="O3635" t="s">
        <v>3680</v>
      </c>
      <c r="P3635" t="s">
        <v>27</v>
      </c>
    </row>
    <row r="3636" spans="1:16" hidden="1" x14ac:dyDescent="0.25">
      <c r="A3636" s="3" t="s">
        <v>3641</v>
      </c>
      <c r="B3636" t="s">
        <v>3359</v>
      </c>
      <c r="D3636" t="s">
        <v>26</v>
      </c>
      <c r="E3636" t="s">
        <v>31</v>
      </c>
      <c r="F3636">
        <v>1</v>
      </c>
      <c r="G3636" s="3" t="s">
        <v>32</v>
      </c>
      <c r="H3636" s="51" t="s">
        <v>15</v>
      </c>
      <c r="I3636" s="17">
        <v>4000000</v>
      </c>
      <c r="J3636" s="17">
        <f>IF(Gastos[[#This Row],[Divisa]]="$", I3636*1, IF(Gastos[[#This Row],[Divisa]]="U$D", I3636*$N$1, IF(Gastos[[#This Row],[Divisa]]="EUR", I3636*$N$2, 0)))</f>
        <v>4000000</v>
      </c>
      <c r="K3636" s="61">
        <f>Gastos[[#This Row],[Importe AR$]]/$N$1</f>
        <v>2640.2640264026404</v>
      </c>
      <c r="M3636" s="76">
        <v>46196</v>
      </c>
      <c r="N3636" s="50">
        <f>IF(Gastos[[#This Row],[Fecha_Cheque]]&gt;0,WEEKNUM(Gastos[[#This Row],[Fecha_Cheque]]),MID(Gastos[[#This Row],[Semana]],6,2))</f>
        <v>26</v>
      </c>
      <c r="O3636" t="s">
        <v>3697</v>
      </c>
      <c r="P3636" t="s">
        <v>27</v>
      </c>
    </row>
    <row r="3637" spans="1:16" hidden="1" x14ac:dyDescent="0.25">
      <c r="A3637" s="3" t="s">
        <v>3641</v>
      </c>
      <c r="B3637" t="s">
        <v>3359</v>
      </c>
      <c r="D3637" t="s">
        <v>26</v>
      </c>
      <c r="E3637" t="s">
        <v>31</v>
      </c>
      <c r="F3637">
        <v>1</v>
      </c>
      <c r="G3637" s="3" t="s">
        <v>32</v>
      </c>
      <c r="H3637" s="51" t="s">
        <v>15</v>
      </c>
      <c r="I3637" s="17">
        <v>80000</v>
      </c>
      <c r="J3637" s="17">
        <f>IF(Gastos[[#This Row],[Divisa]]="$", I3637*1, IF(Gastos[[#This Row],[Divisa]]="U$D", I3637*$N$1, IF(Gastos[[#This Row],[Divisa]]="EUR", I3637*$N$2, 0)))</f>
        <v>80000</v>
      </c>
      <c r="K3637" s="61">
        <f>Gastos[[#This Row],[Importe AR$]]/$N$1</f>
        <v>52.805280528052805</v>
      </c>
      <c r="L3637" t="s">
        <v>340</v>
      </c>
      <c r="M3637" s="76"/>
      <c r="N3637" s="50" t="str">
        <f>IF(Gastos[[#This Row],[Fecha_Cheque]]&gt;0,WEEKNUM(Gastos[[#This Row],[Fecha_Cheque]]),MID(Gastos[[#This Row],[Semana]],6,2))</f>
        <v>27</v>
      </c>
      <c r="O3637" t="s">
        <v>3697</v>
      </c>
      <c r="P3637" t="s">
        <v>27</v>
      </c>
    </row>
    <row r="3638" spans="1:16" hidden="1" x14ac:dyDescent="0.25">
      <c r="A3638" s="3" t="s">
        <v>3641</v>
      </c>
      <c r="B3638" t="s">
        <v>1462</v>
      </c>
      <c r="C3638" t="s">
        <v>155</v>
      </c>
      <c r="D3638" t="s">
        <v>26</v>
      </c>
      <c r="E3638" t="s">
        <v>42</v>
      </c>
      <c r="F3638">
        <v>1</v>
      </c>
      <c r="G3638" s="3" t="s">
        <v>4</v>
      </c>
      <c r="H3638" s="51" t="s">
        <v>15</v>
      </c>
      <c r="I3638" s="17">
        <v>97960.01</v>
      </c>
      <c r="J3638" s="17">
        <f>IF(Gastos[[#This Row],[Divisa]]="$", I3638*1, IF(Gastos[[#This Row],[Divisa]]="U$D", I3638*$N$1, IF(Gastos[[#This Row],[Divisa]]="EUR", I3638*$N$2, 0)))</f>
        <v>97960.01</v>
      </c>
      <c r="K3638" s="61">
        <f>Gastos[[#This Row],[Importe AR$]]/$N$1</f>
        <v>64.660072607260716</v>
      </c>
      <c r="M3638" s="76"/>
      <c r="N3638" s="50" t="str">
        <f>IF(Gastos[[#This Row],[Fecha_Cheque]]&gt;0,WEEKNUM(Gastos[[#This Row],[Fecha_Cheque]]),MID(Gastos[[#This Row],[Semana]],6,2))</f>
        <v>27</v>
      </c>
      <c r="O3638" t="s">
        <v>3699</v>
      </c>
      <c r="P3638" t="s">
        <v>27</v>
      </c>
    </row>
    <row r="3639" spans="1:16" hidden="1" x14ac:dyDescent="0.25">
      <c r="A3639" s="3" t="s">
        <v>3641</v>
      </c>
      <c r="B3639" t="s">
        <v>1462</v>
      </c>
      <c r="C3639" t="s">
        <v>155</v>
      </c>
      <c r="D3639" t="s">
        <v>26</v>
      </c>
      <c r="E3639" t="s">
        <v>42</v>
      </c>
      <c r="F3639">
        <v>1</v>
      </c>
      <c r="G3639" s="3" t="s">
        <v>4</v>
      </c>
      <c r="H3639" s="51" t="s">
        <v>15</v>
      </c>
      <c r="I3639" s="17">
        <v>97800</v>
      </c>
      <c r="J3639" s="17">
        <f>IF(Gastos[[#This Row],[Divisa]]="$", I3639*1, IF(Gastos[[#This Row],[Divisa]]="U$D", I3639*$N$1, IF(Gastos[[#This Row],[Divisa]]="EUR", I3639*$N$2, 0)))</f>
        <v>97800</v>
      </c>
      <c r="K3639" s="61">
        <f>Gastos[[#This Row],[Importe AR$]]/$N$1</f>
        <v>64.554455445544548</v>
      </c>
      <c r="M3639" s="76"/>
      <c r="N3639" s="50" t="str">
        <f>IF(Gastos[[#This Row],[Fecha_Cheque]]&gt;0,WEEKNUM(Gastos[[#This Row],[Fecha_Cheque]]),MID(Gastos[[#This Row],[Semana]],6,2))</f>
        <v>27</v>
      </c>
      <c r="O3639" t="s">
        <v>3700</v>
      </c>
      <c r="P3639" t="s">
        <v>27</v>
      </c>
    </row>
    <row r="3640" spans="1:16" hidden="1" x14ac:dyDescent="0.25">
      <c r="A3640" s="3" t="s">
        <v>3591</v>
      </c>
      <c r="B3640" t="s">
        <v>2508</v>
      </c>
      <c r="C3640" t="s">
        <v>3613</v>
      </c>
      <c r="D3640" t="s">
        <v>26</v>
      </c>
      <c r="E3640" t="s">
        <v>225</v>
      </c>
      <c r="F3640">
        <v>1</v>
      </c>
      <c r="G3640" s="3" t="s">
        <v>32</v>
      </c>
      <c r="H3640" s="51" t="s">
        <v>15</v>
      </c>
      <c r="I3640" s="17">
        <v>1069423.8899999999</v>
      </c>
      <c r="J3640" s="17">
        <f>IF(Gastos[[#This Row],[Divisa]]="$", I3640*1, IF(Gastos[[#This Row],[Divisa]]="U$D", I3640*$N$1, IF(Gastos[[#This Row],[Divisa]]="EUR", I3640*$N$2, 0)))</f>
        <v>1069423.8899999999</v>
      </c>
      <c r="K3640" s="61">
        <f>Gastos[[#This Row],[Importe AR$]]/$N$1</f>
        <v>705.89035643564353</v>
      </c>
      <c r="M3640" s="76">
        <v>46228</v>
      </c>
      <c r="N3640" s="50">
        <f>IF(Gastos[[#This Row],[Fecha_Cheque]]&gt;0,WEEKNUM(Gastos[[#This Row],[Fecha_Cheque]]),MID(Gastos[[#This Row],[Semana]],6,2))</f>
        <v>30</v>
      </c>
      <c r="O3640" t="s">
        <v>3614</v>
      </c>
      <c r="P3640" t="s">
        <v>27</v>
      </c>
    </row>
    <row r="3641" spans="1:16" hidden="1" x14ac:dyDescent="0.25">
      <c r="A3641" s="3" t="s">
        <v>3591</v>
      </c>
      <c r="B3641" t="s">
        <v>2508</v>
      </c>
      <c r="C3641" t="s">
        <v>3613</v>
      </c>
      <c r="D3641" t="s">
        <v>26</v>
      </c>
      <c r="E3641" t="s">
        <v>225</v>
      </c>
      <c r="F3641">
        <v>1</v>
      </c>
      <c r="G3641" s="3" t="s">
        <v>32</v>
      </c>
      <c r="H3641" s="51" t="s">
        <v>15</v>
      </c>
      <c r="I3641" s="17">
        <v>17973.509999999998</v>
      </c>
      <c r="J3641" s="17">
        <f>IF(Gastos[[#This Row],[Divisa]]="$", I3641*1, IF(Gastos[[#This Row],[Divisa]]="U$D", I3641*$N$1, IF(Gastos[[#This Row],[Divisa]]="EUR", I3641*$N$2, 0)))</f>
        <v>17973.509999999998</v>
      </c>
      <c r="K3641" s="61">
        <f>Gastos[[#This Row],[Importe AR$]]/$N$1</f>
        <v>11.863702970297028</v>
      </c>
      <c r="L3641" t="s">
        <v>340</v>
      </c>
      <c r="M3641" s="76"/>
      <c r="N3641" s="50" t="str">
        <f>IF(Gastos[[#This Row],[Fecha_Cheque]]&gt;0,WEEKNUM(Gastos[[#This Row],[Fecha_Cheque]]),MID(Gastos[[#This Row],[Semana]],6,2))</f>
        <v>26</v>
      </c>
      <c r="O3641" t="s">
        <v>3614</v>
      </c>
      <c r="P3641" t="s">
        <v>27</v>
      </c>
    </row>
    <row r="3642" spans="1:16" hidden="1" x14ac:dyDescent="0.25">
      <c r="A3642" s="3" t="s">
        <v>3641</v>
      </c>
      <c r="B3642" t="s">
        <v>1462</v>
      </c>
      <c r="C3642" t="s">
        <v>155</v>
      </c>
      <c r="D3642" t="s">
        <v>26</v>
      </c>
      <c r="E3642" t="s">
        <v>42</v>
      </c>
      <c r="F3642">
        <v>1</v>
      </c>
      <c r="G3642" s="3" t="s">
        <v>4</v>
      </c>
      <c r="H3642" s="51" t="s">
        <v>15</v>
      </c>
      <c r="I3642" s="17">
        <v>98160</v>
      </c>
      <c r="J3642" s="17">
        <f>IF(Gastos[[#This Row],[Divisa]]="$", I3642*1, IF(Gastos[[#This Row],[Divisa]]="U$D", I3642*$N$1, IF(Gastos[[#This Row],[Divisa]]="EUR", I3642*$N$2, 0)))</f>
        <v>98160</v>
      </c>
      <c r="K3642" s="61">
        <f>Gastos[[#This Row],[Importe AR$]]/$N$1</f>
        <v>64.792079207920793</v>
      </c>
      <c r="M3642" s="76"/>
      <c r="N3642" s="50" t="str">
        <f>IF(Gastos[[#This Row],[Fecha_Cheque]]&gt;0,WEEKNUM(Gastos[[#This Row],[Fecha_Cheque]]),MID(Gastos[[#This Row],[Semana]],6,2))</f>
        <v>27</v>
      </c>
      <c r="O3642" t="s">
        <v>3701</v>
      </c>
      <c r="P3642" t="s">
        <v>27</v>
      </c>
    </row>
    <row r="3643" spans="1:16" x14ac:dyDescent="0.25">
      <c r="A3643" s="3" t="s">
        <v>3990</v>
      </c>
      <c r="B3643" t="s">
        <v>692</v>
      </c>
      <c r="C3643" t="s">
        <v>422</v>
      </c>
      <c r="D3643" t="s">
        <v>26</v>
      </c>
      <c r="E3643" t="s">
        <v>91</v>
      </c>
      <c r="F3643">
        <v>1</v>
      </c>
      <c r="G3643" s="3" t="s">
        <v>5</v>
      </c>
      <c r="H3643" s="51" t="s">
        <v>15</v>
      </c>
      <c r="I3643" s="17">
        <v>228237.97</v>
      </c>
      <c r="J3643" s="17">
        <f>IF(Gastos[[#This Row],[Divisa]]="$", I3643*1, IF(Gastos[[#This Row],[Divisa]]="U$D", I3643*$N$1, IF(Gastos[[#This Row],[Divisa]]="EUR", I3643*$N$2, 0)))</f>
        <v>228237.97</v>
      </c>
      <c r="K3643" s="61">
        <f>Gastos[[#This Row],[Importe AR$]]/$N$1</f>
        <v>150.65212541254127</v>
      </c>
      <c r="M3643" s="76"/>
      <c r="N3643" s="50" t="str">
        <f>IF(Gastos[[#This Row],[Fecha_Cheque]]&gt;0,WEEKNUM(Gastos[[#This Row],[Fecha_Cheque]]),MID(Gastos[[#This Row],[Semana]],6,2))</f>
        <v>32</v>
      </c>
      <c r="P3643" t="s">
        <v>3991</v>
      </c>
    </row>
    <row r="3644" spans="1:16" x14ac:dyDescent="0.25">
      <c r="A3644" s="3" t="s">
        <v>3990</v>
      </c>
      <c r="B3644" t="s">
        <v>3236</v>
      </c>
      <c r="C3644" t="s">
        <v>3237</v>
      </c>
      <c r="D3644" t="s">
        <v>26</v>
      </c>
      <c r="E3644" t="s">
        <v>91</v>
      </c>
      <c r="F3644">
        <v>1</v>
      </c>
      <c r="G3644" s="3" t="s">
        <v>5</v>
      </c>
      <c r="H3644" s="53" t="s">
        <v>15</v>
      </c>
      <c r="I3644" s="17">
        <v>228237.97</v>
      </c>
      <c r="J3644" s="17">
        <f>IF(Gastos[[#This Row],[Divisa]]="$", I3644*1, IF(Gastos[[#This Row],[Divisa]]="U$D", I3644*$N$1, IF(Gastos[[#This Row],[Divisa]]="EUR", I3644*$N$2, 0)))</f>
        <v>228237.97</v>
      </c>
      <c r="K3644" s="61">
        <f>Gastos[[#This Row],[Importe AR$]]/$N$1</f>
        <v>150.65212541254127</v>
      </c>
      <c r="M3644" s="76"/>
      <c r="N3644" s="50" t="str">
        <f>IF(Gastos[[#This Row],[Fecha_Cheque]]&gt;0,WEEKNUM(Gastos[[#This Row],[Fecha_Cheque]]),MID(Gastos[[#This Row],[Semana]],6,2))</f>
        <v>32</v>
      </c>
    </row>
    <row r="3645" spans="1:16" hidden="1" x14ac:dyDescent="0.25">
      <c r="A3645" s="3" t="s">
        <v>3842</v>
      </c>
      <c r="B3645" t="s">
        <v>1026</v>
      </c>
      <c r="C3645" t="s">
        <v>3859</v>
      </c>
      <c r="D3645" t="s">
        <v>26</v>
      </c>
      <c r="E3645" t="s">
        <v>42</v>
      </c>
      <c r="F3645">
        <v>1</v>
      </c>
      <c r="G3645" s="3" t="s">
        <v>4</v>
      </c>
      <c r="H3645" s="51" t="s">
        <v>15</v>
      </c>
      <c r="I3645" s="17">
        <v>68400</v>
      </c>
      <c r="J3645" s="17">
        <f>IF(Gastos[[#This Row],[Divisa]]="$", I3645*1, IF(Gastos[[#This Row],[Divisa]]="U$D", I3645*$N$1, IF(Gastos[[#This Row],[Divisa]]="EUR", I3645*$N$2, 0)))</f>
        <v>68400</v>
      </c>
      <c r="K3645" s="61">
        <f>Gastos[[#This Row],[Importe AR$]]/$N$1</f>
        <v>45.148514851485146</v>
      </c>
      <c r="M3645" s="76"/>
      <c r="N3645" s="50" t="str">
        <f>IF(Gastos[[#This Row],[Fecha_Cheque]]&gt;0,WEEKNUM(Gastos[[#This Row],[Fecha_Cheque]]),MID(Gastos[[#This Row],[Semana]],6,2))</f>
        <v>30</v>
      </c>
      <c r="O3645" t="s">
        <v>3860</v>
      </c>
      <c r="P3645" t="s">
        <v>27</v>
      </c>
    </row>
    <row r="3646" spans="1:16" hidden="1" x14ac:dyDescent="0.25">
      <c r="A3646" s="3" t="s">
        <v>3779</v>
      </c>
      <c r="B3646" t="s">
        <v>1128</v>
      </c>
      <c r="C3646" t="s">
        <v>1089</v>
      </c>
      <c r="D3646" t="s">
        <v>26</v>
      </c>
      <c r="E3646" t="s">
        <v>62</v>
      </c>
      <c r="F3646">
        <v>1</v>
      </c>
      <c r="G3646" s="3" t="s">
        <v>32</v>
      </c>
      <c r="H3646" s="53" t="s">
        <v>15</v>
      </c>
      <c r="I3646" s="17">
        <v>1246636.3999999999</v>
      </c>
      <c r="J3646" s="17">
        <f>IF(Gastos[[#This Row],[Divisa]]="$", I3646*1, IF(Gastos[[#This Row],[Divisa]]="U$D", I3646*$N$1, IF(Gastos[[#This Row],[Divisa]]="EUR", I3646*$N$2, 0)))</f>
        <v>1246636.3999999999</v>
      </c>
      <c r="K3646" s="61">
        <f>Gastos[[#This Row],[Importe AR$]]/$N$1</f>
        <v>822.862310231023</v>
      </c>
      <c r="M3646" s="76">
        <v>46240</v>
      </c>
      <c r="N3646" s="50">
        <f>IF(Gastos[[#This Row],[Fecha_Cheque]]&gt;0,WEEKNUM(Gastos[[#This Row],[Fecha_Cheque]]),MID(Gastos[[#This Row],[Semana]],6,2))</f>
        <v>32</v>
      </c>
      <c r="O3646" t="s">
        <v>3791</v>
      </c>
      <c r="P3646" t="s">
        <v>27</v>
      </c>
    </row>
    <row r="3647" spans="1:16" hidden="1" x14ac:dyDescent="0.25">
      <c r="A3647" s="3" t="s">
        <v>3779</v>
      </c>
      <c r="B3647" t="s">
        <v>1128</v>
      </c>
      <c r="C3647" t="s">
        <v>1089</v>
      </c>
      <c r="D3647" t="s">
        <v>26</v>
      </c>
      <c r="E3647" t="s">
        <v>62</v>
      </c>
      <c r="F3647">
        <v>1</v>
      </c>
      <c r="G3647" s="3" t="s">
        <v>32</v>
      </c>
      <c r="H3647" s="53" t="s">
        <v>15</v>
      </c>
      <c r="I3647" s="17">
        <v>1537459.06</v>
      </c>
      <c r="J3647" s="17">
        <f>IF(Gastos[[#This Row],[Divisa]]="$", I3647*1, IF(Gastos[[#This Row],[Divisa]]="U$D", I3647*$N$1, IF(Gastos[[#This Row],[Divisa]]="EUR", I3647*$N$2, 0)))</f>
        <v>1537459.06</v>
      </c>
      <c r="K3647" s="61">
        <f>Gastos[[#This Row],[Importe AR$]]/$N$1</f>
        <v>1014.8244620462046</v>
      </c>
      <c r="M3647" s="76">
        <v>46269</v>
      </c>
      <c r="N3647" s="50">
        <f>IF(Gastos[[#This Row],[Fecha_Cheque]]&gt;0,WEEKNUM(Gastos[[#This Row],[Fecha_Cheque]]),MID(Gastos[[#This Row],[Semana]],6,2))</f>
        <v>36</v>
      </c>
      <c r="O3647" t="s">
        <v>3791</v>
      </c>
      <c r="P3647" t="s">
        <v>27</v>
      </c>
    </row>
    <row r="3648" spans="1:16" hidden="1" x14ac:dyDescent="0.25">
      <c r="A3648" s="3" t="s">
        <v>3779</v>
      </c>
      <c r="B3648" t="s">
        <v>1128</v>
      </c>
      <c r="C3648" t="s">
        <v>1089</v>
      </c>
      <c r="D3648" t="s">
        <v>26</v>
      </c>
      <c r="E3648" t="s">
        <v>62</v>
      </c>
      <c r="F3648">
        <v>1</v>
      </c>
      <c r="G3648" s="3" t="s">
        <v>32</v>
      </c>
      <c r="H3648" s="53" t="s">
        <v>15</v>
      </c>
      <c r="I3648" s="17">
        <v>1537459.06</v>
      </c>
      <c r="J3648" s="17">
        <f>IF(Gastos[[#This Row],[Divisa]]="$", I3648*1, IF(Gastos[[#This Row],[Divisa]]="U$D", I3648*$N$1, IF(Gastos[[#This Row],[Divisa]]="EUR", I3648*$N$2, 0)))</f>
        <v>1537459.06</v>
      </c>
      <c r="K3648" s="61">
        <f>Gastos[[#This Row],[Importe AR$]]/$N$1</f>
        <v>1014.8244620462046</v>
      </c>
      <c r="M3648" s="76">
        <v>46283</v>
      </c>
      <c r="N3648" s="50">
        <f>IF(Gastos[[#This Row],[Fecha_Cheque]]&gt;0,WEEKNUM(Gastos[[#This Row],[Fecha_Cheque]]),MID(Gastos[[#This Row],[Semana]],6,2))</f>
        <v>38</v>
      </c>
      <c r="O3648" t="s">
        <v>3791</v>
      </c>
      <c r="P3648" t="s">
        <v>27</v>
      </c>
    </row>
    <row r="3649" spans="1:16" hidden="1" x14ac:dyDescent="0.25">
      <c r="A3649" s="3" t="s">
        <v>3779</v>
      </c>
      <c r="B3649" t="s">
        <v>1128</v>
      </c>
      <c r="C3649" t="s">
        <v>1089</v>
      </c>
      <c r="D3649" t="s">
        <v>26</v>
      </c>
      <c r="E3649" t="s">
        <v>62</v>
      </c>
      <c r="F3649">
        <v>1</v>
      </c>
      <c r="G3649" s="3" t="s">
        <v>32</v>
      </c>
      <c r="H3649" s="53" t="s">
        <v>15</v>
      </c>
      <c r="I3649" s="17">
        <v>1537459.06</v>
      </c>
      <c r="J3649" s="17">
        <f>IF(Gastos[[#This Row],[Divisa]]="$", I3649*1, IF(Gastos[[#This Row],[Divisa]]="U$D", I3649*$N$1, IF(Gastos[[#This Row],[Divisa]]="EUR", I3649*$N$2, 0)))</f>
        <v>1537459.06</v>
      </c>
      <c r="K3649" s="61">
        <f>Gastos[[#This Row],[Importe AR$]]/$N$1</f>
        <v>1014.8244620462046</v>
      </c>
      <c r="M3649" s="76">
        <v>46304</v>
      </c>
      <c r="N3649" s="50">
        <f>IF(Gastos[[#This Row],[Fecha_Cheque]]&gt;0,WEEKNUM(Gastos[[#This Row],[Fecha_Cheque]]),MID(Gastos[[#This Row],[Semana]],6,2))</f>
        <v>41</v>
      </c>
      <c r="O3649" t="s">
        <v>3791</v>
      </c>
      <c r="P3649" t="s">
        <v>27</v>
      </c>
    </row>
    <row r="3650" spans="1:16" hidden="1" x14ac:dyDescent="0.25">
      <c r="A3650" s="3" t="s">
        <v>3718</v>
      </c>
      <c r="B3650" t="s">
        <v>3048</v>
      </c>
      <c r="C3650" t="s">
        <v>155</v>
      </c>
      <c r="D3650" t="s">
        <v>26</v>
      </c>
      <c r="E3650" t="s">
        <v>42</v>
      </c>
      <c r="F3650">
        <v>1</v>
      </c>
      <c r="G3650" s="3" t="s">
        <v>32</v>
      </c>
      <c r="H3650" s="51" t="s">
        <v>15</v>
      </c>
      <c r="I3650" s="17">
        <v>70000.03</v>
      </c>
      <c r="J3650" s="17">
        <f>IF(Gastos[[#This Row],[Divisa]]="$", I3650*1, IF(Gastos[[#This Row],[Divisa]]="U$D", I3650*$N$1, IF(Gastos[[#This Row],[Divisa]]="EUR", I3650*$N$2, 0)))</f>
        <v>70000.03</v>
      </c>
      <c r="K3650" s="61">
        <f>Gastos[[#This Row],[Importe AR$]]/$N$1</f>
        <v>46.204640264026402</v>
      </c>
      <c r="M3650" s="76"/>
      <c r="N3650" s="50" t="str">
        <f>IF(Gastos[[#This Row],[Fecha_Cheque]]&gt;0,WEEKNUM(Gastos[[#This Row],[Fecha_Cheque]]),MID(Gastos[[#This Row],[Semana]],6,2))</f>
        <v>28</v>
      </c>
      <c r="O3650" t="s">
        <v>3723</v>
      </c>
      <c r="P3650" t="s">
        <v>27</v>
      </c>
    </row>
    <row r="3651" spans="1:16" hidden="1" x14ac:dyDescent="0.25">
      <c r="A3651" s="3" t="s">
        <v>3641</v>
      </c>
      <c r="B3651" t="s">
        <v>2908</v>
      </c>
      <c r="C3651" t="s">
        <v>1948</v>
      </c>
      <c r="D3651" t="s">
        <v>26</v>
      </c>
      <c r="E3651" t="s">
        <v>42</v>
      </c>
      <c r="F3651">
        <v>1</v>
      </c>
      <c r="G3651" s="3" t="s">
        <v>4</v>
      </c>
      <c r="H3651" s="51" t="s">
        <v>15</v>
      </c>
      <c r="I3651" s="17">
        <v>112050.25</v>
      </c>
      <c r="J3651" s="17">
        <f>IF(Gastos[[#This Row],[Divisa]]="$", I3651*1, IF(Gastos[[#This Row],[Divisa]]="U$D", I3651*$N$1, IF(Gastos[[#This Row],[Divisa]]="EUR", I3651*$N$2, 0)))</f>
        <v>112050.25</v>
      </c>
      <c r="K3651" s="61">
        <f>Gastos[[#This Row],[Importe AR$]]/$N$1</f>
        <v>73.960561056105604</v>
      </c>
      <c r="M3651" s="76"/>
      <c r="N3651" s="50" t="str">
        <f>IF(Gastos[[#This Row],[Fecha_Cheque]]&gt;0,WEEKNUM(Gastos[[#This Row],[Fecha_Cheque]]),MID(Gastos[[#This Row],[Semana]],6,2))</f>
        <v>27</v>
      </c>
      <c r="O3651" t="s">
        <v>3653</v>
      </c>
      <c r="P3651" t="s">
        <v>27</v>
      </c>
    </row>
    <row r="3652" spans="1:16" hidden="1" x14ac:dyDescent="0.25">
      <c r="A3652" s="3" t="s">
        <v>3591</v>
      </c>
      <c r="B3652" t="s">
        <v>2501</v>
      </c>
      <c r="C3652" t="s">
        <v>3644</v>
      </c>
      <c r="D3652" t="s">
        <v>26</v>
      </c>
      <c r="E3652" t="s">
        <v>31</v>
      </c>
      <c r="F3652">
        <v>1</v>
      </c>
      <c r="G3652" s="3" t="s">
        <v>32</v>
      </c>
      <c r="H3652" s="51" t="s">
        <v>15</v>
      </c>
      <c r="I3652" s="17">
        <v>3249467.2</v>
      </c>
      <c r="J3652" s="17">
        <f>IF(Gastos[[#This Row],[Divisa]]="$", I3652*1, IF(Gastos[[#This Row],[Divisa]]="U$D", I3652*$N$1, IF(Gastos[[#This Row],[Divisa]]="EUR", I3652*$N$2, 0)))</f>
        <v>3249467.2</v>
      </c>
      <c r="K3652" s="61">
        <f>Gastos[[#This Row],[Importe AR$]]/$N$1</f>
        <v>2144.8628382838283</v>
      </c>
      <c r="M3652" s="76">
        <v>46232</v>
      </c>
      <c r="N3652" s="50">
        <f>IF(Gastos[[#This Row],[Fecha_Cheque]]&gt;0,WEEKNUM(Gastos[[#This Row],[Fecha_Cheque]]),MID(Gastos[[#This Row],[Semana]],6,2))</f>
        <v>31</v>
      </c>
      <c r="O3652" t="s">
        <v>3645</v>
      </c>
      <c r="P3652" t="s">
        <v>27</v>
      </c>
    </row>
    <row r="3653" spans="1:16" hidden="1" x14ac:dyDescent="0.25">
      <c r="A3653" s="3" t="s">
        <v>3591</v>
      </c>
      <c r="B3653" t="s">
        <v>2501</v>
      </c>
      <c r="C3653" t="s">
        <v>3644</v>
      </c>
      <c r="D3653" t="s">
        <v>26</v>
      </c>
      <c r="E3653" t="s">
        <v>31</v>
      </c>
      <c r="F3653">
        <v>1</v>
      </c>
      <c r="G3653" s="3" t="s">
        <v>32</v>
      </c>
      <c r="H3653" s="51" t="s">
        <v>15</v>
      </c>
      <c r="I3653" s="17">
        <v>50057.599999999999</v>
      </c>
      <c r="J3653" s="17">
        <f>IF(Gastos[[#This Row],[Divisa]]="$", I3653*1, IF(Gastos[[#This Row],[Divisa]]="U$D", I3653*$N$1, IF(Gastos[[#This Row],[Divisa]]="EUR", I3653*$N$2, 0)))</f>
        <v>50057.599999999999</v>
      </c>
      <c r="K3653" s="61">
        <f>Gastos[[#This Row],[Importe AR$]]/$N$1</f>
        <v>33.041320132013198</v>
      </c>
      <c r="L3653" t="s">
        <v>340</v>
      </c>
      <c r="M3653" s="76"/>
      <c r="N3653" s="50" t="str">
        <f>IF(Gastos[[#This Row],[Fecha_Cheque]]&gt;0,WEEKNUM(Gastos[[#This Row],[Fecha_Cheque]]),MID(Gastos[[#This Row],[Semana]],6,2))</f>
        <v>26</v>
      </c>
      <c r="O3653" t="s">
        <v>3645</v>
      </c>
      <c r="P3653" t="s">
        <v>27</v>
      </c>
    </row>
    <row r="3654" spans="1:16" hidden="1" x14ac:dyDescent="0.25">
      <c r="A3654" s="3" t="s">
        <v>3641</v>
      </c>
      <c r="B3654" t="s">
        <v>3040</v>
      </c>
      <c r="C3654" t="s">
        <v>1948</v>
      </c>
      <c r="D3654" t="s">
        <v>26</v>
      </c>
      <c r="E3654" t="s">
        <v>42</v>
      </c>
      <c r="F3654">
        <v>1</v>
      </c>
      <c r="G3654" s="3" t="s">
        <v>4</v>
      </c>
      <c r="H3654" s="51" t="s">
        <v>15</v>
      </c>
      <c r="I3654" s="17">
        <v>30825</v>
      </c>
      <c r="J3654" s="17">
        <f>IF(Gastos[[#This Row],[Divisa]]="$", I3654*1, IF(Gastos[[#This Row],[Divisa]]="U$D", I3654*$N$1, IF(Gastos[[#This Row],[Divisa]]="EUR", I3654*$N$2, 0)))</f>
        <v>30825</v>
      </c>
      <c r="K3654" s="61">
        <f>Gastos[[#This Row],[Importe AR$]]/$N$1</f>
        <v>20.346534653465348</v>
      </c>
      <c r="M3654" s="76"/>
      <c r="N3654" s="50" t="str">
        <f>IF(Gastos[[#This Row],[Fecha_Cheque]]&gt;0,WEEKNUM(Gastos[[#This Row],[Fecha_Cheque]]),MID(Gastos[[#This Row],[Semana]],6,2))</f>
        <v>27</v>
      </c>
      <c r="O3654" t="s">
        <v>3652</v>
      </c>
      <c r="P3654" t="s">
        <v>27</v>
      </c>
    </row>
    <row r="3655" spans="1:16" hidden="1" x14ac:dyDescent="0.25">
      <c r="A3655" s="3" t="s">
        <v>3641</v>
      </c>
      <c r="B3655" t="s">
        <v>3238</v>
      </c>
      <c r="C3655" t="s">
        <v>3669</v>
      </c>
      <c r="D3655" t="s">
        <v>26</v>
      </c>
      <c r="E3655" t="s">
        <v>31</v>
      </c>
      <c r="F3655">
        <v>1</v>
      </c>
      <c r="G3655" s="3" t="s">
        <v>5</v>
      </c>
      <c r="H3655" s="51" t="s">
        <v>15</v>
      </c>
      <c r="I3655" s="17">
        <v>563801</v>
      </c>
      <c r="J3655" s="17">
        <f>IF(Gastos[[#This Row],[Divisa]]="$", I3655*1, IF(Gastos[[#This Row],[Divisa]]="U$D", I3655*$N$1, IF(Gastos[[#This Row],[Divisa]]="EUR", I3655*$N$2, 0)))</f>
        <v>563801</v>
      </c>
      <c r="K3655" s="61">
        <f>Gastos[[#This Row],[Importe AR$]]/$N$1</f>
        <v>372.14587458745876</v>
      </c>
      <c r="M3655" s="76"/>
      <c r="N3655" s="50" t="str">
        <f>IF(Gastos[[#This Row],[Fecha_Cheque]]&gt;0,WEEKNUM(Gastos[[#This Row],[Fecha_Cheque]]),MID(Gastos[[#This Row],[Semana]],6,2))</f>
        <v>27</v>
      </c>
      <c r="O3655" t="s">
        <v>3681</v>
      </c>
      <c r="P3655" t="s">
        <v>27</v>
      </c>
    </row>
    <row r="3656" spans="1:16" hidden="1" x14ac:dyDescent="0.25">
      <c r="A3656" s="3" t="s">
        <v>3779</v>
      </c>
      <c r="B3656" t="s">
        <v>1128</v>
      </c>
      <c r="C3656" t="s">
        <v>1089</v>
      </c>
      <c r="D3656" t="s">
        <v>26</v>
      </c>
      <c r="E3656" t="s">
        <v>62</v>
      </c>
      <c r="F3656">
        <v>1</v>
      </c>
      <c r="G3656" s="3" t="s">
        <v>32</v>
      </c>
      <c r="H3656" s="53" t="s">
        <v>15</v>
      </c>
      <c r="I3656" s="17">
        <v>1537459.07</v>
      </c>
      <c r="J3656" s="17">
        <f>IF(Gastos[[#This Row],[Divisa]]="$", I3656*1, IF(Gastos[[#This Row],[Divisa]]="U$D", I3656*$N$1, IF(Gastos[[#This Row],[Divisa]]="EUR", I3656*$N$2, 0)))</f>
        <v>1537459.07</v>
      </c>
      <c r="K3656" s="61">
        <f>Gastos[[#This Row],[Importe AR$]]/$N$1</f>
        <v>1014.8244686468647</v>
      </c>
      <c r="M3656" s="76">
        <v>46318</v>
      </c>
      <c r="N3656" s="50">
        <f>IF(Gastos[[#This Row],[Fecha_Cheque]]&gt;0,WEEKNUM(Gastos[[#This Row],[Fecha_Cheque]]),MID(Gastos[[#This Row],[Semana]],6,2))</f>
        <v>43</v>
      </c>
      <c r="O3656" t="s">
        <v>3791</v>
      </c>
      <c r="P3656" t="s">
        <v>27</v>
      </c>
    </row>
    <row r="3657" spans="1:16" hidden="1" x14ac:dyDescent="0.25">
      <c r="A3657" s="3" t="s">
        <v>3718</v>
      </c>
      <c r="B3657" t="s">
        <v>2930</v>
      </c>
      <c r="C3657" t="s">
        <v>1948</v>
      </c>
      <c r="D3657" t="s">
        <v>26</v>
      </c>
      <c r="E3657" t="s">
        <v>42</v>
      </c>
      <c r="F3657">
        <v>1</v>
      </c>
      <c r="G3657" s="3" t="s">
        <v>4</v>
      </c>
      <c r="H3657" s="51" t="s">
        <v>15</v>
      </c>
      <c r="I3657" s="17">
        <v>18999.91</v>
      </c>
      <c r="J3657" s="17">
        <f>IF(Gastos[[#This Row],[Divisa]]="$", I3657*1, IF(Gastos[[#This Row],[Divisa]]="U$D", I3657*$N$1, IF(Gastos[[#This Row],[Divisa]]="EUR", I3657*$N$2, 0)))</f>
        <v>18999.91</v>
      </c>
      <c r="K3657" s="61">
        <f>Gastos[[#This Row],[Importe AR$]]/$N$1</f>
        <v>12.541194719471948</v>
      </c>
      <c r="M3657" s="76"/>
      <c r="N3657" s="50" t="str">
        <f>IF(Gastos[[#This Row],[Fecha_Cheque]]&gt;0,WEEKNUM(Gastos[[#This Row],[Fecha_Cheque]]),MID(Gastos[[#This Row],[Semana]],6,2))</f>
        <v>28</v>
      </c>
      <c r="O3657" t="s">
        <v>3752</v>
      </c>
      <c r="P3657" t="s">
        <v>27</v>
      </c>
    </row>
    <row r="3658" spans="1:16" hidden="1" x14ac:dyDescent="0.25">
      <c r="A3658" s="3" t="s">
        <v>3779</v>
      </c>
      <c r="B3658" t="s">
        <v>1128</v>
      </c>
      <c r="C3658" t="s">
        <v>1089</v>
      </c>
      <c r="D3658" t="s">
        <v>26</v>
      </c>
      <c r="E3658" t="s">
        <v>62</v>
      </c>
      <c r="F3658">
        <v>1</v>
      </c>
      <c r="G3658" s="3" t="s">
        <v>32</v>
      </c>
      <c r="H3658" s="53" t="s">
        <v>15</v>
      </c>
      <c r="I3658" s="17">
        <v>119755.15</v>
      </c>
      <c r="J3658" s="17">
        <f>IF(Gastos[[#This Row],[Divisa]]="$", I3658*1, IF(Gastos[[#This Row],[Divisa]]="U$D", I3658*$N$1, IF(Gastos[[#This Row],[Divisa]]="EUR", I3658*$N$2, 0)))</f>
        <v>119755.15</v>
      </c>
      <c r="K3658" s="61">
        <f>Gastos[[#This Row],[Importe AR$]]/$N$1</f>
        <v>79.046303630363028</v>
      </c>
      <c r="L3658" t="s">
        <v>340</v>
      </c>
      <c r="M3658" s="76"/>
      <c r="N3658" s="50" t="str">
        <f>IF(Gastos[[#This Row],[Fecha_Cheque]]&gt;0,WEEKNUM(Gastos[[#This Row],[Fecha_Cheque]]),MID(Gastos[[#This Row],[Semana]],6,2))</f>
        <v>29</v>
      </c>
      <c r="O3658" t="s">
        <v>3791</v>
      </c>
      <c r="P3658" t="s">
        <v>27</v>
      </c>
    </row>
    <row r="3659" spans="1:16" hidden="1" x14ac:dyDescent="0.25">
      <c r="A3659" s="3" t="s">
        <v>3907</v>
      </c>
      <c r="B3659" t="s">
        <v>2875</v>
      </c>
      <c r="C3659" t="s">
        <v>3973</v>
      </c>
      <c r="D3659" t="s">
        <v>26</v>
      </c>
      <c r="E3659" t="s">
        <v>42</v>
      </c>
      <c r="F3659">
        <v>1</v>
      </c>
      <c r="G3659" s="3" t="s">
        <v>4</v>
      </c>
      <c r="H3659" s="51" t="s">
        <v>15</v>
      </c>
      <c r="I3659" s="17">
        <v>158565</v>
      </c>
      <c r="J3659" s="17">
        <f>IF(Gastos[[#This Row],[Divisa]]="$", I3659*1, IF(Gastos[[#This Row],[Divisa]]="U$D", I3659*$N$1, IF(Gastos[[#This Row],[Divisa]]="EUR", I3659*$N$2, 0)))</f>
        <v>158565</v>
      </c>
      <c r="K3659" s="61">
        <f>Gastos[[#This Row],[Importe AR$]]/$N$1</f>
        <v>104.66336633663366</v>
      </c>
      <c r="M3659" s="76"/>
      <c r="N3659" s="50" t="str">
        <f>IF(Gastos[[#This Row],[Fecha_Cheque]]&gt;0,WEEKNUM(Gastos[[#This Row],[Fecha_Cheque]]),MID(Gastos[[#This Row],[Semana]],6,2))</f>
        <v>31</v>
      </c>
      <c r="O3659" t="s">
        <v>3974</v>
      </c>
      <c r="P3659" t="s">
        <v>27</v>
      </c>
    </row>
    <row r="3660" spans="1:16" x14ac:dyDescent="0.25">
      <c r="A3660" s="3" t="s">
        <v>3990</v>
      </c>
      <c r="B3660" t="s">
        <v>3884</v>
      </c>
      <c r="C3660" t="s">
        <v>3885</v>
      </c>
      <c r="D3660" t="s">
        <v>26</v>
      </c>
      <c r="E3660" t="s">
        <v>31</v>
      </c>
      <c r="F3660">
        <v>1</v>
      </c>
      <c r="G3660" s="3" t="s">
        <v>32</v>
      </c>
      <c r="H3660" s="51" t="s">
        <v>2</v>
      </c>
      <c r="I3660" s="17">
        <v>8743.4599999999991</v>
      </c>
      <c r="J3660" s="17">
        <f>IF(Gastos[[#This Row],[Divisa]]="$", I3660*1, IF(Gastos[[#This Row],[Divisa]]="U$D", I3660*$N$1, IF(Gastos[[#This Row],[Divisa]]="EUR", I3660*$N$2, 0)))</f>
        <v>13246341.899999999</v>
      </c>
      <c r="K3660" s="61">
        <f>Gastos[[#This Row],[Importe AR$]]/$N$1</f>
        <v>8743.4599999999991</v>
      </c>
      <c r="M3660" s="76"/>
      <c r="N3660" s="50" t="str">
        <f>IF(Gastos[[#This Row],[Fecha_Cheque]]&gt;0,WEEKNUM(Gastos[[#This Row],[Fecha_Cheque]]),MID(Gastos[[#This Row],[Semana]],6,2))</f>
        <v>32</v>
      </c>
    </row>
    <row r="3661" spans="1:16" hidden="1" x14ac:dyDescent="0.25">
      <c r="A3661" s="3" t="s">
        <v>3641</v>
      </c>
      <c r="B3661" t="s">
        <v>1580</v>
      </c>
      <c r="C3661" t="s">
        <v>2477</v>
      </c>
      <c r="D3661" t="s">
        <v>26</v>
      </c>
      <c r="E3661" t="s">
        <v>42</v>
      </c>
      <c r="F3661">
        <v>2</v>
      </c>
      <c r="G3661" s="3" t="s">
        <v>4</v>
      </c>
      <c r="H3661" s="51" t="s">
        <v>15</v>
      </c>
      <c r="I3661" s="17">
        <v>500000</v>
      </c>
      <c r="J3661" s="17">
        <f>IF(Gastos[[#This Row],[Divisa]]="$", I3661*1, IF(Gastos[[#This Row],[Divisa]]="U$D", I3661*$N$1, IF(Gastos[[#This Row],[Divisa]]="EUR", I3661*$N$2, 0)))</f>
        <v>500000</v>
      </c>
      <c r="K3661" s="61">
        <f>Gastos[[#This Row],[Importe AR$]]/$N$1</f>
        <v>330.03300330033005</v>
      </c>
      <c r="M3661" s="76"/>
      <c r="N3661" s="50" t="str">
        <f>IF(Gastos[[#This Row],[Fecha_Cheque]]&gt;0,WEEKNUM(Gastos[[#This Row],[Fecha_Cheque]]),MID(Gastos[[#This Row],[Semana]],6,2))</f>
        <v>27</v>
      </c>
      <c r="O3661" t="s">
        <v>3716</v>
      </c>
      <c r="P3661" t="s">
        <v>27</v>
      </c>
    </row>
    <row r="3662" spans="1:16" x14ac:dyDescent="0.25">
      <c r="A3662" s="98" t="s">
        <v>3990</v>
      </c>
      <c r="B3662" s="99" t="s">
        <v>3788</v>
      </c>
      <c r="C3662" s="99" t="s">
        <v>4003</v>
      </c>
      <c r="D3662" s="99" t="s">
        <v>26</v>
      </c>
      <c r="E3662" s="99" t="s">
        <v>42</v>
      </c>
      <c r="F3662" s="99">
        <v>1</v>
      </c>
      <c r="G3662" s="98" t="s">
        <v>4</v>
      </c>
      <c r="H3662" s="51" t="s">
        <v>15</v>
      </c>
      <c r="I3662" s="17">
        <v>67001.820000000007</v>
      </c>
      <c r="J3662" s="17">
        <f>IF(Gastos[[#This Row],[Divisa]]="$", I3662*1, IF(Gastos[[#This Row],[Divisa]]="U$D", I3662*$N$1, IF(Gastos[[#This Row],[Divisa]]="EUR", I3662*$N$2, 0)))</f>
        <v>67001.820000000007</v>
      </c>
      <c r="K3662" s="61">
        <f>Gastos[[#This Row],[Importe AR$]]/$N$1</f>
        <v>44.225623762376244</v>
      </c>
      <c r="L3662" s="99"/>
      <c r="M3662" s="100"/>
      <c r="N3662" s="101" t="str">
        <f>IF(Gastos[[#This Row],[Fecha_Cheque]]&gt;0,WEEKNUM(Gastos[[#This Row],[Fecha_Cheque]]),MID(Gastos[[#This Row],[Semana]],6,2))</f>
        <v>32</v>
      </c>
      <c r="O3662" s="99"/>
      <c r="P3662" s="99" t="s">
        <v>3991</v>
      </c>
    </row>
    <row r="3663" spans="1:16" hidden="1" x14ac:dyDescent="0.25">
      <c r="A3663" s="3" t="s">
        <v>3641</v>
      </c>
      <c r="B3663" t="s">
        <v>1644</v>
      </c>
      <c r="C3663" t="s">
        <v>3669</v>
      </c>
      <c r="D3663" t="s">
        <v>26</v>
      </c>
      <c r="E3663" t="s">
        <v>31</v>
      </c>
      <c r="F3663">
        <v>1</v>
      </c>
      <c r="G3663" s="3" t="s">
        <v>5</v>
      </c>
      <c r="H3663" s="51" t="s">
        <v>15</v>
      </c>
      <c r="I3663" s="17">
        <v>14643168</v>
      </c>
      <c r="J3663" s="17">
        <f>IF(Gastos[[#This Row],[Divisa]]="$", I3663*1, IF(Gastos[[#This Row],[Divisa]]="U$D", I3663*$N$1, IF(Gastos[[#This Row],[Divisa]]="EUR", I3663*$N$2, 0)))</f>
        <v>14643168</v>
      </c>
      <c r="K3663" s="61">
        <f>Gastos[[#This Row],[Importe AR$]]/$N$1</f>
        <v>9665.4574257425738</v>
      </c>
      <c r="M3663" s="76"/>
      <c r="N3663" s="50" t="str">
        <f>IF(Gastos[[#This Row],[Fecha_Cheque]]&gt;0,WEEKNUM(Gastos[[#This Row],[Fecha_Cheque]]),MID(Gastos[[#This Row],[Semana]],6,2))</f>
        <v>27</v>
      </c>
      <c r="O3663" t="s">
        <v>3683</v>
      </c>
      <c r="P3663" t="s">
        <v>27</v>
      </c>
    </row>
    <row r="3664" spans="1:16" x14ac:dyDescent="0.25">
      <c r="A3664" s="3" t="s">
        <v>3990</v>
      </c>
      <c r="B3664" t="s">
        <v>3739</v>
      </c>
      <c r="C3664" t="s">
        <v>2181</v>
      </c>
      <c r="D3664" t="s">
        <v>26</v>
      </c>
      <c r="E3664" t="s">
        <v>62</v>
      </c>
      <c r="F3664">
        <v>1</v>
      </c>
      <c r="G3664" s="3" t="s">
        <v>32</v>
      </c>
      <c r="H3664" s="51" t="s">
        <v>2</v>
      </c>
      <c r="I3664" s="17">
        <v>16302.83</v>
      </c>
      <c r="J3664" s="17">
        <f>IF(Gastos[[#This Row],[Divisa]]="$", I3664*1, IF(Gastos[[#This Row],[Divisa]]="U$D", I3664*$N$1, IF(Gastos[[#This Row],[Divisa]]="EUR", I3664*$N$2, 0)))</f>
        <v>24698787.449999999</v>
      </c>
      <c r="K3664" s="61">
        <f>Gastos[[#This Row],[Importe AR$]]/$N$1</f>
        <v>16302.83</v>
      </c>
      <c r="M3664" s="76"/>
      <c r="N3664" s="50" t="str">
        <f>IF(Gastos[[#This Row],[Fecha_Cheque]]&gt;0,WEEKNUM(Gastos[[#This Row],[Fecha_Cheque]]),MID(Gastos[[#This Row],[Semana]],6,2))</f>
        <v>32</v>
      </c>
    </row>
    <row r="3665" spans="1:16" hidden="1" x14ac:dyDescent="0.25">
      <c r="A3665" s="3" t="s">
        <v>3641</v>
      </c>
      <c r="B3665" t="s">
        <v>3677</v>
      </c>
      <c r="C3665" t="s">
        <v>3669</v>
      </c>
      <c r="D3665" t="s">
        <v>26</v>
      </c>
      <c r="E3665" t="s">
        <v>31</v>
      </c>
      <c r="F3665">
        <v>1</v>
      </c>
      <c r="G3665" s="3" t="s">
        <v>5</v>
      </c>
      <c r="H3665" s="51" t="s">
        <v>15</v>
      </c>
      <c r="I3665" s="17">
        <v>1335700</v>
      </c>
      <c r="J3665" s="17">
        <f>IF(Gastos[[#This Row],[Divisa]]="$", I3665*1, IF(Gastos[[#This Row],[Divisa]]="U$D", I3665*$N$1, IF(Gastos[[#This Row],[Divisa]]="EUR", I3665*$N$2, 0)))</f>
        <v>1335700</v>
      </c>
      <c r="K3665" s="61">
        <f>Gastos[[#This Row],[Importe AR$]]/$N$1</f>
        <v>881.65016501650166</v>
      </c>
      <c r="M3665" s="76"/>
      <c r="N3665" s="50" t="str">
        <f>IF(Gastos[[#This Row],[Fecha_Cheque]]&gt;0,WEEKNUM(Gastos[[#This Row],[Fecha_Cheque]]),MID(Gastos[[#This Row],[Semana]],6,2))</f>
        <v>27</v>
      </c>
      <c r="O3665" t="s">
        <v>3692</v>
      </c>
      <c r="P3665" t="s">
        <v>27</v>
      </c>
    </row>
    <row r="3666" spans="1:16" x14ac:dyDescent="0.25">
      <c r="A3666" s="3" t="s">
        <v>3990</v>
      </c>
      <c r="B3666" t="s">
        <v>3599</v>
      </c>
      <c r="C3666" t="s">
        <v>3940</v>
      </c>
      <c r="D3666" t="s">
        <v>26</v>
      </c>
      <c r="E3666" t="s">
        <v>62</v>
      </c>
      <c r="F3666">
        <v>1</v>
      </c>
      <c r="G3666" s="3" t="s">
        <v>32</v>
      </c>
      <c r="H3666" s="51" t="s">
        <v>15</v>
      </c>
      <c r="I3666" s="17">
        <v>57927000</v>
      </c>
      <c r="J3666" s="17">
        <f>IF(Gastos[[#This Row],[Divisa]]="$", I3666*1, IF(Gastos[[#This Row],[Divisa]]="U$D", I3666*$N$1, IF(Gastos[[#This Row],[Divisa]]="EUR", I3666*$N$2, 0)))</f>
        <v>57927000</v>
      </c>
      <c r="K3666" s="61">
        <f>Gastos[[#This Row],[Importe AR$]]/$N$1</f>
        <v>38235.643564356433</v>
      </c>
      <c r="M3666" s="76"/>
      <c r="N3666" s="50" t="str">
        <f>IF(Gastos[[#This Row],[Fecha_Cheque]]&gt;0,WEEKNUM(Gastos[[#This Row],[Fecha_Cheque]]),MID(Gastos[[#This Row],[Semana]],6,2))</f>
        <v>32</v>
      </c>
      <c r="P3666" t="s">
        <v>3991</v>
      </c>
    </row>
    <row r="3667" spans="1:16" x14ac:dyDescent="0.25">
      <c r="A3667" s="3" t="s">
        <v>3990</v>
      </c>
      <c r="B3667" t="s">
        <v>3599</v>
      </c>
      <c r="C3667" t="s">
        <v>814</v>
      </c>
      <c r="D3667" t="s">
        <v>26</v>
      </c>
      <c r="E3667" t="s">
        <v>91</v>
      </c>
      <c r="F3667">
        <v>1</v>
      </c>
      <c r="G3667" s="3" t="s">
        <v>32</v>
      </c>
      <c r="H3667" s="51" t="s">
        <v>15</v>
      </c>
      <c r="I3667" s="17">
        <v>0</v>
      </c>
      <c r="J3667" s="17">
        <f>IF(Gastos[[#This Row],[Divisa]]="$", I3667*1, IF(Gastos[[#This Row],[Divisa]]="U$D", I3667*$N$1, IF(Gastos[[#This Row],[Divisa]]="EUR", I3667*$N$2, 0)))</f>
        <v>0</v>
      </c>
      <c r="K3667" s="61">
        <f>Gastos[[#This Row],[Importe AR$]]/$N$1</f>
        <v>0</v>
      </c>
      <c r="M3667" s="76"/>
      <c r="N3667" s="50" t="str">
        <f>IF(Gastos[[#This Row],[Fecha_Cheque]]&gt;0,WEEKNUM(Gastos[[#This Row],[Fecha_Cheque]]),MID(Gastos[[#This Row],[Semana]],6,2))</f>
        <v>32</v>
      </c>
    </row>
    <row r="3668" spans="1:16" hidden="1" x14ac:dyDescent="0.25">
      <c r="A3668" s="3" t="s">
        <v>3842</v>
      </c>
      <c r="B3668" t="s">
        <v>3048</v>
      </c>
      <c r="C3668" t="s">
        <v>155</v>
      </c>
      <c r="D3668" t="s">
        <v>26</v>
      </c>
      <c r="E3668" t="s">
        <v>42</v>
      </c>
      <c r="F3668">
        <v>1</v>
      </c>
      <c r="G3668" s="3" t="s">
        <v>4</v>
      </c>
      <c r="H3668" s="51" t="s">
        <v>15</v>
      </c>
      <c r="I3668" s="17">
        <v>70000</v>
      </c>
      <c r="J3668" s="17">
        <f>IF(Gastos[[#This Row],[Divisa]]="$", I3668*1, IF(Gastos[[#This Row],[Divisa]]="U$D", I3668*$N$1, IF(Gastos[[#This Row],[Divisa]]="EUR", I3668*$N$2, 0)))</f>
        <v>70000</v>
      </c>
      <c r="K3668" s="61">
        <f>Gastos[[#This Row],[Importe AR$]]/$N$1</f>
        <v>46.204620462046208</v>
      </c>
      <c r="M3668" s="76"/>
      <c r="N3668" s="50" t="str">
        <f>IF(Gastos[[#This Row],[Fecha_Cheque]]&gt;0,WEEKNUM(Gastos[[#This Row],[Fecha_Cheque]]),MID(Gastos[[#This Row],[Semana]],6,2))</f>
        <v>30</v>
      </c>
      <c r="O3668" t="s">
        <v>3882</v>
      </c>
      <c r="P3668" t="s">
        <v>27</v>
      </c>
    </row>
    <row r="3669" spans="1:16" hidden="1" x14ac:dyDescent="0.25">
      <c r="A3669" s="3" t="s">
        <v>3718</v>
      </c>
      <c r="B3669" t="s">
        <v>3024</v>
      </c>
      <c r="C3669" t="s">
        <v>1948</v>
      </c>
      <c r="D3669" t="s">
        <v>26</v>
      </c>
      <c r="E3669" t="s">
        <v>42</v>
      </c>
      <c r="F3669">
        <v>1</v>
      </c>
      <c r="G3669" s="3" t="s">
        <v>4</v>
      </c>
      <c r="H3669" s="51" t="s">
        <v>15</v>
      </c>
      <c r="I3669" s="17">
        <v>26300.02</v>
      </c>
      <c r="J3669" s="17">
        <f>IF(Gastos[[#This Row],[Divisa]]="$", I3669*1, IF(Gastos[[#This Row],[Divisa]]="U$D", I3669*$N$1, IF(Gastos[[#This Row],[Divisa]]="EUR", I3669*$N$2, 0)))</f>
        <v>26300.02</v>
      </c>
      <c r="K3669" s="61">
        <f>Gastos[[#This Row],[Importe AR$]]/$N$1</f>
        <v>17.359749174917493</v>
      </c>
      <c r="M3669" s="76"/>
      <c r="N3669" s="50" t="str">
        <f>IF(Gastos[[#This Row],[Fecha_Cheque]]&gt;0,WEEKNUM(Gastos[[#This Row],[Fecha_Cheque]]),MID(Gastos[[#This Row],[Semana]],6,2))</f>
        <v>28</v>
      </c>
      <c r="O3669" t="s">
        <v>3746</v>
      </c>
      <c r="P3669" t="s">
        <v>27</v>
      </c>
    </row>
    <row r="3670" spans="1:16" hidden="1" x14ac:dyDescent="0.25">
      <c r="A3670" s="3" t="s">
        <v>3718</v>
      </c>
      <c r="B3670" t="s">
        <v>3024</v>
      </c>
      <c r="C3670" t="s">
        <v>1948</v>
      </c>
      <c r="D3670" t="s">
        <v>26</v>
      </c>
      <c r="E3670" t="s">
        <v>42</v>
      </c>
      <c r="F3670">
        <v>1</v>
      </c>
      <c r="G3670" s="3" t="s">
        <v>4</v>
      </c>
      <c r="H3670" s="51" t="s">
        <v>15</v>
      </c>
      <c r="I3670" s="17">
        <v>44100.02</v>
      </c>
      <c r="J3670" s="17">
        <f>IF(Gastos[[#This Row],[Divisa]]="$", I3670*1, IF(Gastos[[#This Row],[Divisa]]="U$D", I3670*$N$1, IF(Gastos[[#This Row],[Divisa]]="EUR", I3670*$N$2, 0)))</f>
        <v>44100.02</v>
      </c>
      <c r="K3670" s="61">
        <f>Gastos[[#This Row],[Importe AR$]]/$N$1</f>
        <v>29.108924092409239</v>
      </c>
      <c r="M3670" s="76"/>
      <c r="N3670" s="50" t="str">
        <f>IF(Gastos[[#This Row],[Fecha_Cheque]]&gt;0,WEEKNUM(Gastos[[#This Row],[Fecha_Cheque]]),MID(Gastos[[#This Row],[Semana]],6,2))</f>
        <v>28</v>
      </c>
      <c r="O3670" t="s">
        <v>3747</v>
      </c>
      <c r="P3670" t="s">
        <v>27</v>
      </c>
    </row>
    <row r="3671" spans="1:16" hidden="1" x14ac:dyDescent="0.25">
      <c r="A3671" s="3" t="s">
        <v>3641</v>
      </c>
      <c r="B3671" t="s">
        <v>2994</v>
      </c>
      <c r="C3671" t="s">
        <v>3669</v>
      </c>
      <c r="D3671" t="s">
        <v>26</v>
      </c>
      <c r="E3671" t="s">
        <v>31</v>
      </c>
      <c r="F3671">
        <v>1</v>
      </c>
      <c r="G3671" s="3" t="s">
        <v>5</v>
      </c>
      <c r="H3671" s="51" t="s">
        <v>15</v>
      </c>
      <c r="I3671" s="17">
        <v>1432962.13</v>
      </c>
      <c r="J3671" s="17">
        <f>IF(Gastos[[#This Row],[Divisa]]="$", I3671*1, IF(Gastos[[#This Row],[Divisa]]="U$D", I3671*$N$1, IF(Gastos[[#This Row],[Divisa]]="EUR", I3671*$N$2, 0)))</f>
        <v>1432962.13</v>
      </c>
      <c r="K3671" s="61">
        <f>Gastos[[#This Row],[Importe AR$]]/$N$1</f>
        <v>945.8495907590758</v>
      </c>
      <c r="M3671" s="76"/>
      <c r="N3671" s="50" t="str">
        <f>IF(Gastos[[#This Row],[Fecha_Cheque]]&gt;0,WEEKNUM(Gastos[[#This Row],[Fecha_Cheque]]),MID(Gastos[[#This Row],[Semana]],6,2))</f>
        <v>27</v>
      </c>
      <c r="O3671" t="s">
        <v>3682</v>
      </c>
      <c r="P3671" t="s">
        <v>27</v>
      </c>
    </row>
    <row r="3672" spans="1:16" hidden="1" x14ac:dyDescent="0.25">
      <c r="A3672" s="3" t="s">
        <v>3641</v>
      </c>
      <c r="B3672" t="s">
        <v>3263</v>
      </c>
      <c r="C3672" t="s">
        <v>3669</v>
      </c>
      <c r="D3672" t="s">
        <v>26</v>
      </c>
      <c r="E3672" t="s">
        <v>31</v>
      </c>
      <c r="F3672">
        <v>1</v>
      </c>
      <c r="G3672" s="3" t="s">
        <v>5</v>
      </c>
      <c r="H3672" s="51" t="s">
        <v>15</v>
      </c>
      <c r="I3672" s="17">
        <v>3296538</v>
      </c>
      <c r="J3672" s="17">
        <f>IF(Gastos[[#This Row],[Divisa]]="$", I3672*1, IF(Gastos[[#This Row],[Divisa]]="U$D", I3672*$N$1, IF(Gastos[[#This Row],[Divisa]]="EUR", I3672*$N$2, 0)))</f>
        <v>3296538</v>
      </c>
      <c r="K3672" s="61">
        <f>Gastos[[#This Row],[Importe AR$]]/$N$1</f>
        <v>2175.9326732673267</v>
      </c>
      <c r="M3672" s="76"/>
      <c r="N3672" s="50" t="str">
        <f>IF(Gastos[[#This Row],[Fecha_Cheque]]&gt;0,WEEKNUM(Gastos[[#This Row],[Fecha_Cheque]]),MID(Gastos[[#This Row],[Semana]],6,2))</f>
        <v>27</v>
      </c>
      <c r="O3672" t="s">
        <v>3672</v>
      </c>
      <c r="P3672" t="s">
        <v>27</v>
      </c>
    </row>
    <row r="3673" spans="1:16" hidden="1" x14ac:dyDescent="0.25">
      <c r="A3673" s="3" t="s">
        <v>3718</v>
      </c>
      <c r="B3673" t="s">
        <v>3359</v>
      </c>
      <c r="C3673" t="s">
        <v>1747</v>
      </c>
      <c r="D3673" t="s">
        <v>26</v>
      </c>
      <c r="E3673" t="s">
        <v>31</v>
      </c>
      <c r="F3673">
        <v>1</v>
      </c>
      <c r="G3673" s="3" t="s">
        <v>32</v>
      </c>
      <c r="H3673" s="51" t="s">
        <v>15</v>
      </c>
      <c r="I3673" s="17">
        <v>6973682.2699999996</v>
      </c>
      <c r="J3673" s="17">
        <f>IF(Gastos[[#This Row],[Divisa]]="$", I3673*1, IF(Gastos[[#This Row],[Divisa]]="U$D", I3673*$N$1, IF(Gastos[[#This Row],[Divisa]]="EUR", I3673*$N$2, 0)))</f>
        <v>6973682.2699999996</v>
      </c>
      <c r="K3673" s="61">
        <f>Gastos[[#This Row],[Importe AR$]]/$N$1</f>
        <v>4603.0906072607258</v>
      </c>
      <c r="M3673" s="76">
        <v>46230</v>
      </c>
      <c r="N3673" s="50">
        <f>IF(Gastos[[#This Row],[Fecha_Cheque]]&gt;0,WEEKNUM(Gastos[[#This Row],[Fecha_Cheque]]),MID(Gastos[[#This Row],[Semana]],6,2))</f>
        <v>31</v>
      </c>
      <c r="O3673" t="s">
        <v>3745</v>
      </c>
      <c r="P3673" t="s">
        <v>27</v>
      </c>
    </row>
    <row r="3674" spans="1:16" hidden="1" x14ac:dyDescent="0.25">
      <c r="A3674" s="3" t="s">
        <v>3718</v>
      </c>
      <c r="B3674" t="s">
        <v>3359</v>
      </c>
      <c r="C3674" t="s">
        <v>1747</v>
      </c>
      <c r="D3674" t="s">
        <v>26</v>
      </c>
      <c r="E3674" t="s">
        <v>31</v>
      </c>
      <c r="F3674">
        <v>1</v>
      </c>
      <c r="G3674" s="3" t="s">
        <v>32</v>
      </c>
      <c r="H3674" s="51" t="s">
        <v>15</v>
      </c>
      <c r="I3674" s="17">
        <v>139317.73000000001</v>
      </c>
      <c r="J3674" s="17">
        <f>IF(Gastos[[#This Row],[Divisa]]="$", I3674*1, IF(Gastos[[#This Row],[Divisa]]="U$D", I3674*$N$1, IF(Gastos[[#This Row],[Divisa]]="EUR", I3674*$N$2, 0)))</f>
        <v>139317.73000000001</v>
      </c>
      <c r="K3674" s="61">
        <f>Gastos[[#This Row],[Importe AR$]]/$N$1</f>
        <v>91.958897689768989</v>
      </c>
      <c r="L3674" t="s">
        <v>340</v>
      </c>
      <c r="M3674" s="76"/>
      <c r="N3674" s="50" t="str">
        <f>IF(Gastos[[#This Row],[Fecha_Cheque]]&gt;0,WEEKNUM(Gastos[[#This Row],[Fecha_Cheque]]),MID(Gastos[[#This Row],[Semana]],6,2))</f>
        <v>28</v>
      </c>
      <c r="O3674" t="s">
        <v>3745</v>
      </c>
      <c r="P3674" t="s">
        <v>27</v>
      </c>
    </row>
    <row r="3675" spans="1:16" hidden="1" x14ac:dyDescent="0.25">
      <c r="A3675" s="3" t="s">
        <v>3718</v>
      </c>
      <c r="B3675" t="s">
        <v>1462</v>
      </c>
      <c r="C3675" t="s">
        <v>155</v>
      </c>
      <c r="D3675" t="s">
        <v>26</v>
      </c>
      <c r="E3675" t="s">
        <v>42</v>
      </c>
      <c r="F3675">
        <v>1</v>
      </c>
      <c r="G3675" s="3" t="s">
        <v>4</v>
      </c>
      <c r="H3675" s="51" t="s">
        <v>15</v>
      </c>
      <c r="I3675" s="17">
        <v>149509.01999999999</v>
      </c>
      <c r="J3675" s="17">
        <f>IF(Gastos[[#This Row],[Divisa]]="$", I3675*1, IF(Gastos[[#This Row],[Divisa]]="U$D", I3675*$N$1, IF(Gastos[[#This Row],[Divisa]]="EUR", I3675*$N$2, 0)))</f>
        <v>149509.01999999999</v>
      </c>
      <c r="K3675" s="61">
        <f>Gastos[[#This Row],[Importe AR$]]/$N$1</f>
        <v>98.685821782178209</v>
      </c>
      <c r="M3675" s="76"/>
      <c r="N3675" s="50" t="str">
        <f>IF(Gastos[[#This Row],[Fecha_Cheque]]&gt;0,WEEKNUM(Gastos[[#This Row],[Fecha_Cheque]]),MID(Gastos[[#This Row],[Semana]],6,2))</f>
        <v>28</v>
      </c>
      <c r="O3675" t="s">
        <v>3722</v>
      </c>
      <c r="P3675" t="s">
        <v>27</v>
      </c>
    </row>
    <row r="3676" spans="1:16" hidden="1" x14ac:dyDescent="0.25">
      <c r="A3676" s="3" t="s">
        <v>3641</v>
      </c>
      <c r="B3676" t="s">
        <v>1854</v>
      </c>
      <c r="C3676" t="s">
        <v>2667</v>
      </c>
      <c r="D3676" t="s">
        <v>26</v>
      </c>
      <c r="E3676" t="s">
        <v>132</v>
      </c>
      <c r="F3676">
        <v>2</v>
      </c>
      <c r="G3676" s="3" t="s">
        <v>4</v>
      </c>
      <c r="H3676" s="51" t="s">
        <v>15</v>
      </c>
      <c r="I3676" s="17">
        <v>1000000</v>
      </c>
      <c r="J3676" s="17">
        <f>IF(Gastos[[#This Row],[Divisa]]="$", I3676*1, IF(Gastos[[#This Row],[Divisa]]="U$D", I3676*$N$1, IF(Gastos[[#This Row],[Divisa]]="EUR", I3676*$N$2, 0)))</f>
        <v>1000000</v>
      </c>
      <c r="K3676" s="61">
        <f>Gastos[[#This Row],[Importe AR$]]/$N$1</f>
        <v>660.0660066006601</v>
      </c>
      <c r="M3676" s="76"/>
      <c r="N3676" s="50" t="str">
        <f>IF(Gastos[[#This Row],[Fecha_Cheque]]&gt;0,WEEKNUM(Gastos[[#This Row],[Fecha_Cheque]]),MID(Gastos[[#This Row],[Semana]],6,2))</f>
        <v>27</v>
      </c>
      <c r="O3676" t="s">
        <v>3715</v>
      </c>
      <c r="P3676" t="s">
        <v>27</v>
      </c>
    </row>
    <row r="3677" spans="1:16" hidden="1" x14ac:dyDescent="0.25">
      <c r="A3677" s="3" t="s">
        <v>3718</v>
      </c>
      <c r="B3677" t="s">
        <v>1462</v>
      </c>
      <c r="C3677" t="s">
        <v>155</v>
      </c>
      <c r="D3677" t="s">
        <v>26</v>
      </c>
      <c r="E3677" t="s">
        <v>42</v>
      </c>
      <c r="F3677">
        <v>1</v>
      </c>
      <c r="G3677" s="3" t="s">
        <v>4</v>
      </c>
      <c r="H3677" s="51" t="s">
        <v>15</v>
      </c>
      <c r="I3677" s="17">
        <v>49060</v>
      </c>
      <c r="J3677" s="17">
        <f>IF(Gastos[[#This Row],[Divisa]]="$", I3677*1, IF(Gastos[[#This Row],[Divisa]]="U$D", I3677*$N$1, IF(Gastos[[#This Row],[Divisa]]="EUR", I3677*$N$2, 0)))</f>
        <v>49060</v>
      </c>
      <c r="K3677" s="61">
        <f>Gastos[[#This Row],[Importe AR$]]/$N$1</f>
        <v>32.382838283828384</v>
      </c>
      <c r="M3677" s="76"/>
      <c r="N3677" s="50" t="str">
        <f>IF(Gastos[[#This Row],[Fecha_Cheque]]&gt;0,WEEKNUM(Gastos[[#This Row],[Fecha_Cheque]]),MID(Gastos[[#This Row],[Semana]],6,2))</f>
        <v>28</v>
      </c>
      <c r="O3677" t="s">
        <v>3777</v>
      </c>
      <c r="P3677" t="s">
        <v>27</v>
      </c>
    </row>
    <row r="3678" spans="1:16" hidden="1" x14ac:dyDescent="0.25">
      <c r="A3678" s="3" t="s">
        <v>3842</v>
      </c>
      <c r="B3678" t="s">
        <v>3861</v>
      </c>
      <c r="C3678" t="s">
        <v>3862</v>
      </c>
      <c r="D3678" t="s">
        <v>26</v>
      </c>
      <c r="E3678" t="s">
        <v>31</v>
      </c>
      <c r="F3678">
        <v>1</v>
      </c>
      <c r="G3678" s="3" t="s">
        <v>5</v>
      </c>
      <c r="H3678" s="51" t="s">
        <v>15</v>
      </c>
      <c r="I3678" s="17">
        <v>1165796.48</v>
      </c>
      <c r="J3678" s="17">
        <f>IF(Gastos[[#This Row],[Divisa]]="$", I3678*1, IF(Gastos[[#This Row],[Divisa]]="U$D", I3678*$N$1, IF(Gastos[[#This Row],[Divisa]]="EUR", I3678*$N$2, 0)))</f>
        <v>1165796.48</v>
      </c>
      <c r="K3678" s="61">
        <f>Gastos[[#This Row],[Importe AR$]]/$N$1</f>
        <v>769.50262706270621</v>
      </c>
      <c r="M3678" s="76"/>
      <c r="N3678" s="50" t="str">
        <f>IF(Gastos[[#This Row],[Fecha_Cheque]]&gt;0,WEEKNUM(Gastos[[#This Row],[Fecha_Cheque]]),MID(Gastos[[#This Row],[Semana]],6,2))</f>
        <v>30</v>
      </c>
      <c r="O3678" t="s">
        <v>3863</v>
      </c>
      <c r="P3678" t="s">
        <v>27</v>
      </c>
    </row>
    <row r="3679" spans="1:16" hidden="1" x14ac:dyDescent="0.25">
      <c r="A3679" s="3" t="s">
        <v>3718</v>
      </c>
      <c r="B3679" t="s">
        <v>2908</v>
      </c>
      <c r="C3679" t="s">
        <v>1948</v>
      </c>
      <c r="D3679" t="s">
        <v>26</v>
      </c>
      <c r="E3679" t="s">
        <v>42</v>
      </c>
      <c r="F3679">
        <v>1</v>
      </c>
      <c r="G3679" s="3" t="s">
        <v>4</v>
      </c>
      <c r="H3679" s="51" t="s">
        <v>15</v>
      </c>
      <c r="I3679" s="17">
        <v>110828.25</v>
      </c>
      <c r="J3679" s="17">
        <f>IF(Gastos[[#This Row],[Divisa]]="$", I3679*1, IF(Gastos[[#This Row],[Divisa]]="U$D", I3679*$N$1, IF(Gastos[[#This Row],[Divisa]]="EUR", I3679*$N$2, 0)))</f>
        <v>110828.25</v>
      </c>
      <c r="K3679" s="61">
        <f>Gastos[[#This Row],[Importe AR$]]/$N$1</f>
        <v>73.153960396039608</v>
      </c>
      <c r="M3679" s="76"/>
      <c r="N3679" s="50" t="str">
        <f>IF(Gastos[[#This Row],[Fecha_Cheque]]&gt;0,WEEKNUM(Gastos[[#This Row],[Fecha_Cheque]]),MID(Gastos[[#This Row],[Semana]],6,2))</f>
        <v>28</v>
      </c>
      <c r="O3679" t="s">
        <v>3758</v>
      </c>
      <c r="P3679" t="s">
        <v>27</v>
      </c>
    </row>
    <row r="3680" spans="1:16" hidden="1" x14ac:dyDescent="0.25">
      <c r="A3680" s="3" t="s">
        <v>3641</v>
      </c>
      <c r="B3680" t="s">
        <v>1914</v>
      </c>
      <c r="C3680" t="s">
        <v>3669</v>
      </c>
      <c r="D3680" t="s">
        <v>26</v>
      </c>
      <c r="E3680" t="s">
        <v>31</v>
      </c>
      <c r="F3680">
        <v>1</v>
      </c>
      <c r="G3680" s="3" t="s">
        <v>5</v>
      </c>
      <c r="H3680" s="51" t="s">
        <v>15</v>
      </c>
      <c r="I3680" s="17">
        <v>17626891.640000001</v>
      </c>
      <c r="J3680" s="17">
        <f>IF(Gastos[[#This Row],[Divisa]]="$", I3680*1, IF(Gastos[[#This Row],[Divisa]]="U$D", I3680*$N$1, IF(Gastos[[#This Row],[Divisa]]="EUR", I3680*$N$2, 0)))</f>
        <v>17626891.640000001</v>
      </c>
      <c r="K3680" s="61">
        <f>Gastos[[#This Row],[Importe AR$]]/$N$1</f>
        <v>11634.91197359736</v>
      </c>
      <c r="M3680" s="76"/>
      <c r="N3680" s="50" t="str">
        <f>IF(Gastos[[#This Row],[Fecha_Cheque]]&gt;0,WEEKNUM(Gastos[[#This Row],[Fecha_Cheque]]),MID(Gastos[[#This Row],[Semana]],6,2))</f>
        <v>27</v>
      </c>
      <c r="O3680" t="s">
        <v>3684</v>
      </c>
      <c r="P3680" t="s">
        <v>27</v>
      </c>
    </row>
    <row r="3681" spans="1:16" hidden="1" x14ac:dyDescent="0.25">
      <c r="A3681" s="3" t="s">
        <v>3718</v>
      </c>
      <c r="B3681" t="s">
        <v>2908</v>
      </c>
      <c r="C3681" t="s">
        <v>1948</v>
      </c>
      <c r="D3681" t="s">
        <v>26</v>
      </c>
      <c r="E3681" t="s">
        <v>42</v>
      </c>
      <c r="F3681">
        <v>1</v>
      </c>
      <c r="G3681" s="3" t="s">
        <v>4</v>
      </c>
      <c r="H3681" s="51" t="s">
        <v>15</v>
      </c>
      <c r="I3681" s="17">
        <v>68779.5</v>
      </c>
      <c r="J3681" s="17">
        <f>IF(Gastos[[#This Row],[Divisa]]="$", I3681*1, IF(Gastos[[#This Row],[Divisa]]="U$D", I3681*$N$1, IF(Gastos[[#This Row],[Divisa]]="EUR", I3681*$N$2, 0)))</f>
        <v>68779.5</v>
      </c>
      <c r="K3681" s="61">
        <f>Gastos[[#This Row],[Importe AR$]]/$N$1</f>
        <v>45.399009900990102</v>
      </c>
      <c r="M3681" s="76"/>
      <c r="N3681" s="50" t="str">
        <f>IF(Gastos[[#This Row],[Fecha_Cheque]]&gt;0,WEEKNUM(Gastos[[#This Row],[Fecha_Cheque]]),MID(Gastos[[#This Row],[Semana]],6,2))</f>
        <v>28</v>
      </c>
      <c r="O3681" t="s">
        <v>3759</v>
      </c>
      <c r="P3681" t="s">
        <v>27</v>
      </c>
    </row>
    <row r="3682" spans="1:16" hidden="1" x14ac:dyDescent="0.25">
      <c r="A3682" s="3" t="s">
        <v>3718</v>
      </c>
      <c r="B3682" t="s">
        <v>2908</v>
      </c>
      <c r="C3682" t="s">
        <v>1948</v>
      </c>
      <c r="D3682" t="s">
        <v>26</v>
      </c>
      <c r="E3682" t="s">
        <v>42</v>
      </c>
      <c r="F3682">
        <v>1</v>
      </c>
      <c r="G3682" s="3" t="s">
        <v>4</v>
      </c>
      <c r="H3682" s="51" t="s">
        <v>15</v>
      </c>
      <c r="I3682" s="17">
        <v>202313.75</v>
      </c>
      <c r="J3682" s="17">
        <f>IF(Gastos[[#This Row],[Divisa]]="$", I3682*1, IF(Gastos[[#This Row],[Divisa]]="U$D", I3682*$N$1, IF(Gastos[[#This Row],[Divisa]]="EUR", I3682*$N$2, 0)))</f>
        <v>202313.75</v>
      </c>
      <c r="K3682" s="61">
        <f>Gastos[[#This Row],[Importe AR$]]/$N$1</f>
        <v>133.54042904290429</v>
      </c>
      <c r="M3682" s="76"/>
      <c r="N3682" s="50" t="str">
        <f>IF(Gastos[[#This Row],[Fecha_Cheque]]&gt;0,WEEKNUM(Gastos[[#This Row],[Fecha_Cheque]]),MID(Gastos[[#This Row],[Semana]],6,2))</f>
        <v>28</v>
      </c>
      <c r="O3682" t="s">
        <v>3760</v>
      </c>
      <c r="P3682" t="s">
        <v>27</v>
      </c>
    </row>
    <row r="3683" spans="1:16" hidden="1" x14ac:dyDescent="0.25">
      <c r="A3683" s="3" t="s">
        <v>3842</v>
      </c>
      <c r="B3683" t="s">
        <v>3861</v>
      </c>
      <c r="C3683" t="s">
        <v>3862</v>
      </c>
      <c r="D3683" t="s">
        <v>26</v>
      </c>
      <c r="E3683" t="s">
        <v>31</v>
      </c>
      <c r="F3683">
        <v>1</v>
      </c>
      <c r="G3683" s="3" t="s">
        <v>5</v>
      </c>
      <c r="H3683" s="51" t="s">
        <v>15</v>
      </c>
      <c r="I3683" s="17">
        <v>15037.92</v>
      </c>
      <c r="J3683" s="17">
        <f>IF(Gastos[[#This Row],[Divisa]]="$", I3683*1, IF(Gastos[[#This Row],[Divisa]]="U$D", I3683*$N$1, IF(Gastos[[#This Row],[Divisa]]="EUR", I3683*$N$2, 0)))</f>
        <v>15037.92</v>
      </c>
      <c r="K3683" s="61">
        <f>Gastos[[#This Row],[Importe AR$]]/$N$1</f>
        <v>9.926019801980198</v>
      </c>
      <c r="L3683" t="s">
        <v>340</v>
      </c>
      <c r="M3683" s="76"/>
      <c r="N3683" s="50" t="str">
        <f>IF(Gastos[[#This Row],[Fecha_Cheque]]&gt;0,WEEKNUM(Gastos[[#This Row],[Fecha_Cheque]]),MID(Gastos[[#This Row],[Semana]],6,2))</f>
        <v>30</v>
      </c>
      <c r="O3683" t="s">
        <v>3863</v>
      </c>
      <c r="P3683" t="s">
        <v>27</v>
      </c>
    </row>
    <row r="3684" spans="1:16" hidden="1" x14ac:dyDescent="0.25">
      <c r="A3684" s="3" t="s">
        <v>3718</v>
      </c>
      <c r="B3684" t="s">
        <v>1571</v>
      </c>
      <c r="C3684" t="s">
        <v>155</v>
      </c>
      <c r="D3684" t="s">
        <v>26</v>
      </c>
      <c r="E3684" t="s">
        <v>42</v>
      </c>
      <c r="F3684">
        <v>1</v>
      </c>
      <c r="G3684" s="3" t="s">
        <v>4</v>
      </c>
      <c r="H3684" s="51" t="s">
        <v>15</v>
      </c>
      <c r="I3684" s="17">
        <v>185012.93</v>
      </c>
      <c r="J3684" s="17">
        <f>IF(Gastos[[#This Row],[Divisa]]="$", I3684*1, IF(Gastos[[#This Row],[Divisa]]="U$D", I3684*$N$1, IF(Gastos[[#This Row],[Divisa]]="EUR", I3684*$N$2, 0)))</f>
        <v>185012.93</v>
      </c>
      <c r="K3684" s="61">
        <f>Gastos[[#This Row],[Importe AR$]]/$N$1</f>
        <v>122.12074587458746</v>
      </c>
      <c r="M3684" s="76"/>
      <c r="N3684" s="50" t="str">
        <f>IF(Gastos[[#This Row],[Fecha_Cheque]]&gt;0,WEEKNUM(Gastos[[#This Row],[Fecha_Cheque]]),MID(Gastos[[#This Row],[Semana]],6,2))</f>
        <v>28</v>
      </c>
      <c r="O3684" t="s">
        <v>3776</v>
      </c>
      <c r="P3684" t="s">
        <v>27</v>
      </c>
    </row>
    <row r="3685" spans="1:16" hidden="1" x14ac:dyDescent="0.25">
      <c r="A3685" s="3" t="s">
        <v>3718</v>
      </c>
      <c r="B3685" t="s">
        <v>1580</v>
      </c>
      <c r="C3685" t="s">
        <v>155</v>
      </c>
      <c r="D3685" t="s">
        <v>26</v>
      </c>
      <c r="E3685" t="s">
        <v>42</v>
      </c>
      <c r="F3685">
        <v>1</v>
      </c>
      <c r="G3685" s="3" t="s">
        <v>4</v>
      </c>
      <c r="H3685" s="51" t="s">
        <v>15</v>
      </c>
      <c r="I3685" s="17">
        <v>195012.93</v>
      </c>
      <c r="J3685" s="17">
        <f>IF(Gastos[[#This Row],[Divisa]]="$", I3685*1, IF(Gastos[[#This Row],[Divisa]]="U$D", I3685*$N$1, IF(Gastos[[#This Row],[Divisa]]="EUR", I3685*$N$2, 0)))</f>
        <v>195012.93</v>
      </c>
      <c r="K3685" s="61">
        <f>Gastos[[#This Row],[Importe AR$]]/$N$1</f>
        <v>128.72140594059405</v>
      </c>
      <c r="M3685" s="76"/>
      <c r="N3685" s="50" t="str">
        <f>IF(Gastos[[#This Row],[Fecha_Cheque]]&gt;0,WEEKNUM(Gastos[[#This Row],[Fecha_Cheque]]),MID(Gastos[[#This Row],[Semana]],6,2))</f>
        <v>28</v>
      </c>
      <c r="O3685" t="s">
        <v>3778</v>
      </c>
      <c r="P3685" t="s">
        <v>27</v>
      </c>
    </row>
    <row r="3686" spans="1:16" hidden="1" x14ac:dyDescent="0.25">
      <c r="A3686" s="3" t="s">
        <v>3779</v>
      </c>
      <c r="B3686" t="s">
        <v>3024</v>
      </c>
      <c r="C3686" t="s">
        <v>3812</v>
      </c>
      <c r="D3686" t="s">
        <v>26</v>
      </c>
      <c r="E3686" t="s">
        <v>42</v>
      </c>
      <c r="F3686">
        <v>1</v>
      </c>
      <c r="G3686" s="3" t="s">
        <v>4</v>
      </c>
      <c r="H3686" s="51" t="s">
        <v>15</v>
      </c>
      <c r="I3686" s="17">
        <v>49299.97</v>
      </c>
      <c r="J3686" s="17">
        <f>IF(Gastos[[#This Row],[Divisa]]="$", I3686*1, IF(Gastos[[#This Row],[Divisa]]="U$D", I3686*$N$1, IF(Gastos[[#This Row],[Divisa]]="EUR", I3686*$N$2, 0)))</f>
        <v>49299.97</v>
      </c>
      <c r="K3686" s="61">
        <f>Gastos[[#This Row],[Importe AR$]]/$N$1</f>
        <v>32.541234323432342</v>
      </c>
      <c r="M3686" s="76"/>
      <c r="N3686" s="50" t="str">
        <f>IF(Gastos[[#This Row],[Fecha_Cheque]]&gt;0,WEEKNUM(Gastos[[#This Row],[Fecha_Cheque]]),MID(Gastos[[#This Row],[Semana]],6,2))</f>
        <v>29</v>
      </c>
      <c r="O3686" t="s">
        <v>3813</v>
      </c>
      <c r="P3686" t="s">
        <v>27</v>
      </c>
    </row>
    <row r="3687" spans="1:16" hidden="1" x14ac:dyDescent="0.25">
      <c r="A3687" s="3" t="s">
        <v>3779</v>
      </c>
      <c r="B3687" t="s">
        <v>3024</v>
      </c>
      <c r="C3687" t="s">
        <v>1948</v>
      </c>
      <c r="D3687" t="s">
        <v>26</v>
      </c>
      <c r="E3687" t="s">
        <v>42</v>
      </c>
      <c r="F3687">
        <v>1</v>
      </c>
      <c r="G3687" s="3" t="s">
        <v>4</v>
      </c>
      <c r="H3687" s="51" t="s">
        <v>15</v>
      </c>
      <c r="I3687" s="17">
        <v>14400</v>
      </c>
      <c r="J3687" s="17">
        <f>IF(Gastos[[#This Row],[Divisa]]="$", I3687*1, IF(Gastos[[#This Row],[Divisa]]="U$D", I3687*$N$1, IF(Gastos[[#This Row],[Divisa]]="EUR", I3687*$N$2, 0)))</f>
        <v>14400</v>
      </c>
      <c r="K3687" s="61">
        <f>Gastos[[#This Row],[Importe AR$]]/$N$1</f>
        <v>9.5049504950495045</v>
      </c>
      <c r="M3687" s="76"/>
      <c r="N3687" s="50" t="str">
        <f>IF(Gastos[[#This Row],[Fecha_Cheque]]&gt;0,WEEKNUM(Gastos[[#This Row],[Fecha_Cheque]]),MID(Gastos[[#This Row],[Semana]],6,2))</f>
        <v>29</v>
      </c>
      <c r="O3687" t="s">
        <v>3814</v>
      </c>
      <c r="P3687" t="s">
        <v>27</v>
      </c>
    </row>
    <row r="3688" spans="1:16" hidden="1" x14ac:dyDescent="0.25">
      <c r="A3688" s="3" t="s">
        <v>3641</v>
      </c>
      <c r="B3688" t="s">
        <v>3051</v>
      </c>
      <c r="C3688" t="s">
        <v>2667</v>
      </c>
      <c r="D3688" t="s">
        <v>26</v>
      </c>
      <c r="E3688" t="s">
        <v>132</v>
      </c>
      <c r="F3688">
        <v>2</v>
      </c>
      <c r="G3688" s="3" t="s">
        <v>32</v>
      </c>
      <c r="H3688" s="51" t="s">
        <v>15</v>
      </c>
      <c r="I3688" s="17">
        <v>3212624.89</v>
      </c>
      <c r="J3688" s="17">
        <f>IF(Gastos[[#This Row],[Divisa]]="$", I3688*1, IF(Gastos[[#This Row],[Divisa]]="U$D", I3688*$N$1, IF(Gastos[[#This Row],[Divisa]]="EUR", I3688*$N$2, 0)))</f>
        <v>3212624.89</v>
      </c>
      <c r="K3688" s="61">
        <f>Gastos[[#This Row],[Importe AR$]]/$N$1</f>
        <v>2120.5444818481851</v>
      </c>
      <c r="M3688" s="76"/>
      <c r="N3688" s="50" t="str">
        <f>IF(Gastos[[#This Row],[Fecha_Cheque]]&gt;0,WEEKNUM(Gastos[[#This Row],[Fecha_Cheque]]),MID(Gastos[[#This Row],[Semana]],6,2))</f>
        <v>27</v>
      </c>
      <c r="O3688" t="s">
        <v>3714</v>
      </c>
      <c r="P3688" t="s">
        <v>27</v>
      </c>
    </row>
    <row r="3689" spans="1:16" hidden="1" x14ac:dyDescent="0.25">
      <c r="A3689" s="3" t="s">
        <v>3641</v>
      </c>
      <c r="B3689" t="s">
        <v>2106</v>
      </c>
      <c r="C3689" t="s">
        <v>3669</v>
      </c>
      <c r="D3689" t="s">
        <v>26</v>
      </c>
      <c r="E3689" t="s">
        <v>31</v>
      </c>
      <c r="F3689">
        <v>1</v>
      </c>
      <c r="G3689" s="3" t="s">
        <v>5</v>
      </c>
      <c r="H3689" s="51" t="s">
        <v>15</v>
      </c>
      <c r="I3689" s="17">
        <v>1437716.75</v>
      </c>
      <c r="J3689" s="17">
        <f>IF(Gastos[[#This Row],[Divisa]]="$", I3689*1, IF(Gastos[[#This Row],[Divisa]]="U$D", I3689*$N$1, IF(Gastos[[#This Row],[Divisa]]="EUR", I3689*$N$2, 0)))</f>
        <v>1437716.75</v>
      </c>
      <c r="K3689" s="61">
        <f>Gastos[[#This Row],[Importe AR$]]/$N$1</f>
        <v>948.98795379537955</v>
      </c>
      <c r="M3689" s="76"/>
      <c r="N3689" s="50" t="str">
        <f>IF(Gastos[[#This Row],[Fecha_Cheque]]&gt;0,WEEKNUM(Gastos[[#This Row],[Fecha_Cheque]]),MID(Gastos[[#This Row],[Semana]],6,2))</f>
        <v>27</v>
      </c>
      <c r="O3689" t="s">
        <v>3690</v>
      </c>
      <c r="P3689" t="s">
        <v>27</v>
      </c>
    </row>
    <row r="3690" spans="1:16" hidden="1" x14ac:dyDescent="0.25">
      <c r="A3690" s="3" t="s">
        <v>3779</v>
      </c>
      <c r="B3690" t="s">
        <v>3816</v>
      </c>
      <c r="C3690" t="s">
        <v>3817</v>
      </c>
      <c r="D3690" t="s">
        <v>26</v>
      </c>
      <c r="E3690" t="s">
        <v>42</v>
      </c>
      <c r="F3690">
        <v>1</v>
      </c>
      <c r="G3690" s="3" t="s">
        <v>4</v>
      </c>
      <c r="H3690" s="51" t="s">
        <v>15</v>
      </c>
      <c r="I3690" s="17">
        <v>2800</v>
      </c>
      <c r="J3690" s="17">
        <f>IF(Gastos[[#This Row],[Divisa]]="$", I3690*1, IF(Gastos[[#This Row],[Divisa]]="U$D", I3690*$N$1, IF(Gastos[[#This Row],[Divisa]]="EUR", I3690*$N$2, 0)))</f>
        <v>2800</v>
      </c>
      <c r="K3690" s="61">
        <f>Gastos[[#This Row],[Importe AR$]]/$N$1</f>
        <v>1.8481848184818481</v>
      </c>
      <c r="M3690" s="76"/>
      <c r="N3690" s="50" t="str">
        <f>IF(Gastos[[#This Row],[Fecha_Cheque]]&gt;0,WEEKNUM(Gastos[[#This Row],[Fecha_Cheque]]),MID(Gastos[[#This Row],[Semana]],6,2))</f>
        <v>29</v>
      </c>
      <c r="O3690" t="s">
        <v>3818</v>
      </c>
      <c r="P3690" t="s">
        <v>27</v>
      </c>
    </row>
    <row r="3691" spans="1:16" hidden="1" x14ac:dyDescent="0.25">
      <c r="A3691" s="3" t="s">
        <v>3779</v>
      </c>
      <c r="B3691" t="s">
        <v>3816</v>
      </c>
      <c r="C3691" t="s">
        <v>3817</v>
      </c>
      <c r="D3691" t="s">
        <v>26</v>
      </c>
      <c r="E3691" t="s">
        <v>42</v>
      </c>
      <c r="F3691">
        <v>1</v>
      </c>
      <c r="G3691" s="3" t="s">
        <v>4</v>
      </c>
      <c r="H3691" s="51" t="s">
        <v>15</v>
      </c>
      <c r="I3691" s="17">
        <v>23800</v>
      </c>
      <c r="J3691" s="17">
        <f>IF(Gastos[[#This Row],[Divisa]]="$", I3691*1, IF(Gastos[[#This Row],[Divisa]]="U$D", I3691*$N$1, IF(Gastos[[#This Row],[Divisa]]="EUR", I3691*$N$2, 0)))</f>
        <v>23800</v>
      </c>
      <c r="K3691" s="61">
        <f>Gastos[[#This Row],[Importe AR$]]/$N$1</f>
        <v>15.709570957095709</v>
      </c>
      <c r="M3691" s="76"/>
      <c r="N3691" s="50" t="str">
        <f>IF(Gastos[[#This Row],[Fecha_Cheque]]&gt;0,WEEKNUM(Gastos[[#This Row],[Fecha_Cheque]]),MID(Gastos[[#This Row],[Semana]],6,2))</f>
        <v>29</v>
      </c>
      <c r="O3691" t="s">
        <v>3819</v>
      </c>
      <c r="P3691" t="s">
        <v>27</v>
      </c>
    </row>
    <row r="3692" spans="1:16" x14ac:dyDescent="0.25">
      <c r="A3692" s="3" t="s">
        <v>3990</v>
      </c>
      <c r="B3692" t="s">
        <v>3246</v>
      </c>
      <c r="C3692" t="s">
        <v>814</v>
      </c>
      <c r="D3692" t="s">
        <v>26</v>
      </c>
      <c r="E3692" t="s">
        <v>91</v>
      </c>
      <c r="F3692">
        <v>1</v>
      </c>
      <c r="G3692" s="3" t="s">
        <v>32</v>
      </c>
      <c r="H3692" s="51" t="s">
        <v>15</v>
      </c>
      <c r="I3692" s="17">
        <v>0</v>
      </c>
      <c r="J3692" s="17">
        <f>IF(Gastos[[#This Row],[Divisa]]="$", I3692*1, IF(Gastos[[#This Row],[Divisa]]="U$D", I3692*$N$1, IF(Gastos[[#This Row],[Divisa]]="EUR", I3692*$N$2, 0)))</f>
        <v>0</v>
      </c>
      <c r="K3692" s="61">
        <f>Gastos[[#This Row],[Importe AR$]]/$N$1</f>
        <v>0</v>
      </c>
      <c r="M3692" s="76"/>
      <c r="N3692" s="50" t="str">
        <f>IF(Gastos[[#This Row],[Fecha_Cheque]]&gt;0,WEEKNUM(Gastos[[#This Row],[Fecha_Cheque]]),MID(Gastos[[#This Row],[Semana]],6,2))</f>
        <v>32</v>
      </c>
    </row>
    <row r="3693" spans="1:16" hidden="1" x14ac:dyDescent="0.25">
      <c r="A3693" s="3" t="s">
        <v>3779</v>
      </c>
      <c r="B3693" t="s">
        <v>2908</v>
      </c>
      <c r="C3693" t="s">
        <v>3785</v>
      </c>
      <c r="D3693" t="s">
        <v>26</v>
      </c>
      <c r="E3693" t="s">
        <v>42</v>
      </c>
      <c r="F3693">
        <v>1</v>
      </c>
      <c r="G3693" s="3" t="s">
        <v>4</v>
      </c>
      <c r="H3693" s="51" t="s">
        <v>15</v>
      </c>
      <c r="I3693" s="17">
        <v>3700</v>
      </c>
      <c r="J3693" s="17">
        <f>IF(Gastos[[#This Row],[Divisa]]="$", I3693*1, IF(Gastos[[#This Row],[Divisa]]="U$D", I3693*$N$1, IF(Gastos[[#This Row],[Divisa]]="EUR", I3693*$N$2, 0)))</f>
        <v>3700</v>
      </c>
      <c r="K3693" s="61">
        <f>Gastos[[#This Row],[Importe AR$]]/$N$1</f>
        <v>2.442244224422442</v>
      </c>
      <c r="M3693" s="76"/>
      <c r="N3693" s="50" t="str">
        <f>IF(Gastos[[#This Row],[Fecha_Cheque]]&gt;0,WEEKNUM(Gastos[[#This Row],[Fecha_Cheque]]),MID(Gastos[[#This Row],[Semana]],6,2))</f>
        <v>29</v>
      </c>
      <c r="O3693" t="s">
        <v>3787</v>
      </c>
      <c r="P3693" t="s">
        <v>27</v>
      </c>
    </row>
    <row r="3694" spans="1:16" hidden="1" x14ac:dyDescent="0.25">
      <c r="A3694" s="3" t="s">
        <v>3718</v>
      </c>
      <c r="B3694" t="s">
        <v>2940</v>
      </c>
      <c r="C3694" t="s">
        <v>91</v>
      </c>
      <c r="D3694" t="s">
        <v>26</v>
      </c>
      <c r="E3694" t="s">
        <v>42</v>
      </c>
      <c r="F3694">
        <v>2</v>
      </c>
      <c r="G3694" s="3" t="s">
        <v>4</v>
      </c>
      <c r="H3694" s="51" t="s">
        <v>15</v>
      </c>
      <c r="I3694" s="17">
        <v>553806.71</v>
      </c>
      <c r="J3694" s="17">
        <f>IF(Gastos[[#This Row],[Divisa]]="$", I3694*1, IF(Gastos[[#This Row],[Divisa]]="U$D", I3694*$N$1, IF(Gastos[[#This Row],[Divisa]]="EUR", I3694*$N$2, 0)))</f>
        <v>553806.71</v>
      </c>
      <c r="K3694" s="61">
        <f>Gastos[[#This Row],[Importe AR$]]/$N$1</f>
        <v>365.5489834983498</v>
      </c>
      <c r="M3694" s="76"/>
      <c r="N3694" s="50" t="str">
        <f>IF(Gastos[[#This Row],[Fecha_Cheque]]&gt;0,WEEKNUM(Gastos[[#This Row],[Fecha_Cheque]]),MID(Gastos[[#This Row],[Semana]],6,2))</f>
        <v>28</v>
      </c>
      <c r="O3694" t="s">
        <v>3736</v>
      </c>
      <c r="P3694" t="s">
        <v>27</v>
      </c>
    </row>
    <row r="3695" spans="1:16" hidden="1" x14ac:dyDescent="0.25">
      <c r="A3695" s="3" t="s">
        <v>3779</v>
      </c>
      <c r="B3695" t="s">
        <v>2908</v>
      </c>
      <c r="C3695" t="s">
        <v>1948</v>
      </c>
      <c r="D3695" t="s">
        <v>26</v>
      </c>
      <c r="E3695" t="s">
        <v>42</v>
      </c>
      <c r="F3695">
        <v>1</v>
      </c>
      <c r="G3695" s="3" t="s">
        <v>4</v>
      </c>
      <c r="H3695" s="51" t="s">
        <v>15</v>
      </c>
      <c r="I3695" s="17">
        <v>124120</v>
      </c>
      <c r="J3695" s="17">
        <f>IF(Gastos[[#This Row],[Divisa]]="$", I3695*1, IF(Gastos[[#This Row],[Divisa]]="U$D", I3695*$N$1, IF(Gastos[[#This Row],[Divisa]]="EUR", I3695*$N$2, 0)))</f>
        <v>124120</v>
      </c>
      <c r="K3695" s="61">
        <f>Gastos[[#This Row],[Importe AR$]]/$N$1</f>
        <v>81.927392739273927</v>
      </c>
      <c r="M3695" s="76"/>
      <c r="N3695" s="50" t="str">
        <f>IF(Gastos[[#This Row],[Fecha_Cheque]]&gt;0,WEEKNUM(Gastos[[#This Row],[Fecha_Cheque]]),MID(Gastos[[#This Row],[Semana]],6,2))</f>
        <v>29</v>
      </c>
      <c r="O3695" t="s">
        <v>3810</v>
      </c>
      <c r="P3695" t="s">
        <v>27</v>
      </c>
    </row>
    <row r="3696" spans="1:16" hidden="1" x14ac:dyDescent="0.25">
      <c r="A3696" s="3" t="s">
        <v>3779</v>
      </c>
      <c r="B3696" t="s">
        <v>3040</v>
      </c>
      <c r="C3696" t="s">
        <v>3785</v>
      </c>
      <c r="D3696" t="s">
        <v>26</v>
      </c>
      <c r="E3696" t="s">
        <v>42</v>
      </c>
      <c r="F3696">
        <v>1</v>
      </c>
      <c r="G3696" s="3" t="s">
        <v>4</v>
      </c>
      <c r="H3696" s="51" t="s">
        <v>15</v>
      </c>
      <c r="I3696" s="17">
        <v>100375</v>
      </c>
      <c r="J3696" s="17">
        <f>IF(Gastos[[#This Row],[Divisa]]="$", I3696*1, IF(Gastos[[#This Row],[Divisa]]="U$D", I3696*$N$1, IF(Gastos[[#This Row],[Divisa]]="EUR", I3696*$N$2, 0)))</f>
        <v>100375</v>
      </c>
      <c r="K3696" s="61">
        <f>Gastos[[#This Row],[Importe AR$]]/$N$1</f>
        <v>66.254125412541256</v>
      </c>
      <c r="M3696" s="76"/>
      <c r="N3696" s="50" t="str">
        <f>IF(Gastos[[#This Row],[Fecha_Cheque]]&gt;0,WEEKNUM(Gastos[[#This Row],[Fecha_Cheque]]),MID(Gastos[[#This Row],[Semana]],6,2))</f>
        <v>29</v>
      </c>
      <c r="O3696" t="s">
        <v>3786</v>
      </c>
      <c r="P3696" t="s">
        <v>27</v>
      </c>
    </row>
    <row r="3697" spans="1:16" x14ac:dyDescent="0.25">
      <c r="A3697" s="3" t="s">
        <v>3990</v>
      </c>
      <c r="B3697" t="s">
        <v>839</v>
      </c>
      <c r="C3697" t="s">
        <v>3613</v>
      </c>
      <c r="D3697" t="s">
        <v>26</v>
      </c>
      <c r="E3697" t="s">
        <v>62</v>
      </c>
      <c r="F3697">
        <v>1</v>
      </c>
      <c r="G3697" s="3" t="s">
        <v>32</v>
      </c>
      <c r="H3697" s="51" t="s">
        <v>15</v>
      </c>
      <c r="I3697" s="17">
        <v>0</v>
      </c>
      <c r="J3697" s="17">
        <f>IF(Gastos[[#This Row],[Divisa]]="$", I3697*1, IF(Gastos[[#This Row],[Divisa]]="U$D", I3697*$N$1, IF(Gastos[[#This Row],[Divisa]]="EUR", I3697*$N$2, 0)))</f>
        <v>0</v>
      </c>
      <c r="K3697" s="61">
        <f>Gastos[[#This Row],[Importe AR$]]/$N$1</f>
        <v>0</v>
      </c>
      <c r="L3697" t="s">
        <v>3655</v>
      </c>
      <c r="M3697" s="76"/>
      <c r="N3697" s="50" t="str">
        <f>IF(Gastos[[#This Row],[Fecha_Cheque]]&gt;0,WEEKNUM(Gastos[[#This Row],[Fecha_Cheque]]),MID(Gastos[[#This Row],[Semana]],6,2))</f>
        <v>32</v>
      </c>
    </row>
    <row r="3698" spans="1:16" x14ac:dyDescent="0.25">
      <c r="A3698" s="3" t="s">
        <v>3990</v>
      </c>
      <c r="B3698" t="s">
        <v>883</v>
      </c>
      <c r="C3698" t="s">
        <v>2867</v>
      </c>
      <c r="D3698" t="s">
        <v>26</v>
      </c>
      <c r="E3698" t="s">
        <v>91</v>
      </c>
      <c r="F3698">
        <v>1</v>
      </c>
      <c r="G3698" s="3" t="s">
        <v>5</v>
      </c>
      <c r="H3698" s="51" t="s">
        <v>15</v>
      </c>
      <c r="I3698" s="17">
        <v>1500000</v>
      </c>
      <c r="J3698" s="17">
        <f>IF(Gastos[[#This Row],[Divisa]]="$", I3698*1, IF(Gastos[[#This Row],[Divisa]]="U$D", I3698*$N$1, IF(Gastos[[#This Row],[Divisa]]="EUR", I3698*$N$2, 0)))</f>
        <v>1500000</v>
      </c>
      <c r="K3698" s="61">
        <f>Gastos[[#This Row],[Importe AR$]]/$N$1</f>
        <v>990.09900990099015</v>
      </c>
      <c r="M3698" s="76"/>
      <c r="N3698" s="50" t="str">
        <f>IF(Gastos[[#This Row],[Fecha_Cheque]]&gt;0,WEEKNUM(Gastos[[#This Row],[Fecha_Cheque]]),MID(Gastos[[#This Row],[Semana]],6,2))</f>
        <v>32</v>
      </c>
    </row>
    <row r="3699" spans="1:16" x14ac:dyDescent="0.25">
      <c r="A3699" s="3" t="s">
        <v>3990</v>
      </c>
      <c r="B3699" t="s">
        <v>895</v>
      </c>
      <c r="C3699" t="s">
        <v>2849</v>
      </c>
      <c r="D3699" t="s">
        <v>26</v>
      </c>
      <c r="E3699" t="s">
        <v>91</v>
      </c>
      <c r="F3699">
        <v>1</v>
      </c>
      <c r="G3699" s="3" t="s">
        <v>5</v>
      </c>
      <c r="H3699" s="53" t="s">
        <v>15</v>
      </c>
      <c r="I3699" s="17">
        <v>2200000</v>
      </c>
      <c r="J3699" s="17">
        <f>IF(Gastos[[#This Row],[Divisa]]="$", I3699*1, IF(Gastos[[#This Row],[Divisa]]="U$D", I3699*$N$1, IF(Gastos[[#This Row],[Divisa]]="EUR", I3699*$N$2, 0)))</f>
        <v>2200000</v>
      </c>
      <c r="K3699" s="61">
        <f>Gastos[[#This Row],[Importe AR$]]/$N$1</f>
        <v>1452.1452145214521</v>
      </c>
      <c r="L3699" s="17"/>
      <c r="M3699" s="76"/>
      <c r="N3699" s="50" t="str">
        <f>IF(Gastos[[#This Row],[Fecha_Cheque]]&gt;0,WEEKNUM(Gastos[[#This Row],[Fecha_Cheque]]),MID(Gastos[[#This Row],[Semana]],6,2))</f>
        <v>32</v>
      </c>
      <c r="P3699" t="s">
        <v>3991</v>
      </c>
    </row>
    <row r="3700" spans="1:16" x14ac:dyDescent="0.25">
      <c r="A3700" s="3" t="s">
        <v>3990</v>
      </c>
      <c r="B3700" t="s">
        <v>921</v>
      </c>
      <c r="C3700" t="s">
        <v>118</v>
      </c>
      <c r="D3700" t="s">
        <v>26</v>
      </c>
      <c r="E3700" t="s">
        <v>3956</v>
      </c>
      <c r="F3700">
        <v>2</v>
      </c>
      <c r="G3700" s="3" t="s">
        <v>32</v>
      </c>
      <c r="H3700" s="51" t="s">
        <v>2</v>
      </c>
      <c r="I3700" s="17">
        <v>57969.24</v>
      </c>
      <c r="J3700" s="17">
        <f>IF(Gastos[[#This Row],[Divisa]]="$", I3700*1, IF(Gastos[[#This Row],[Divisa]]="U$D", I3700*$N$1, IF(Gastos[[#This Row],[Divisa]]="EUR", I3700*$N$2, 0)))</f>
        <v>87823398.599999994</v>
      </c>
      <c r="K3700" s="61">
        <f>Gastos[[#This Row],[Importe AR$]]/$N$1</f>
        <v>57969.24</v>
      </c>
      <c r="L3700" s="17"/>
      <c r="M3700" s="76"/>
      <c r="N3700" s="50" t="str">
        <f>IF(Gastos[[#This Row],[Fecha_Cheque]]&gt;0,WEEKNUM(Gastos[[#This Row],[Fecha_Cheque]]),MID(Gastos[[#This Row],[Semana]],6,2))</f>
        <v>32</v>
      </c>
    </row>
    <row r="3701" spans="1:16" hidden="1" x14ac:dyDescent="0.25">
      <c r="A3701" s="3" t="s">
        <v>3641</v>
      </c>
      <c r="B3701" t="s">
        <v>2255</v>
      </c>
      <c r="C3701" t="s">
        <v>2692</v>
      </c>
      <c r="D3701" t="s">
        <v>26</v>
      </c>
      <c r="E3701" t="s">
        <v>31</v>
      </c>
      <c r="F3701">
        <v>1</v>
      </c>
      <c r="G3701" s="3" t="s">
        <v>5</v>
      </c>
      <c r="H3701" s="51" t="s">
        <v>15</v>
      </c>
      <c r="I3701" s="17">
        <v>337680</v>
      </c>
      <c r="J3701" s="17">
        <f>IF(Gastos[[#This Row],[Divisa]]="$", I3701*1, IF(Gastos[[#This Row],[Divisa]]="U$D", I3701*$N$1, IF(Gastos[[#This Row],[Divisa]]="EUR", I3701*$N$2, 0)))</f>
        <v>337680</v>
      </c>
      <c r="K3701" s="61">
        <f>Gastos[[#This Row],[Importe AR$]]/$N$1</f>
        <v>222.8910891089109</v>
      </c>
      <c r="M3701" s="76"/>
      <c r="N3701" s="50" t="str">
        <f>IF(Gastos[[#This Row],[Fecha_Cheque]]&gt;0,WEEKNUM(Gastos[[#This Row],[Fecha_Cheque]]),MID(Gastos[[#This Row],[Semana]],6,2))</f>
        <v>27</v>
      </c>
      <c r="O3701" t="s">
        <v>3675</v>
      </c>
      <c r="P3701" t="s">
        <v>27</v>
      </c>
    </row>
    <row r="3702" spans="1:16" hidden="1" x14ac:dyDescent="0.25">
      <c r="A3702" s="3" t="s">
        <v>3641</v>
      </c>
      <c r="B3702" t="s">
        <v>2255</v>
      </c>
      <c r="C3702" t="s">
        <v>2692</v>
      </c>
      <c r="D3702" t="s">
        <v>26</v>
      </c>
      <c r="E3702" t="s">
        <v>31</v>
      </c>
      <c r="F3702">
        <v>1</v>
      </c>
      <c r="G3702" s="3" t="s">
        <v>5</v>
      </c>
      <c r="H3702" s="51" t="s">
        <v>15</v>
      </c>
      <c r="I3702" s="17">
        <v>1120</v>
      </c>
      <c r="J3702" s="17">
        <f>IF(Gastos[[#This Row],[Divisa]]="$", I3702*1, IF(Gastos[[#This Row],[Divisa]]="U$D", I3702*$N$1, IF(Gastos[[#This Row],[Divisa]]="EUR", I3702*$N$2, 0)))</f>
        <v>1120</v>
      </c>
      <c r="K3702" s="61">
        <f>Gastos[[#This Row],[Importe AR$]]/$N$1</f>
        <v>0.73927392739273923</v>
      </c>
      <c r="L3702" t="s">
        <v>340</v>
      </c>
      <c r="M3702" s="76"/>
      <c r="N3702" s="50" t="str">
        <f>IF(Gastos[[#This Row],[Fecha_Cheque]]&gt;0,WEEKNUM(Gastos[[#This Row],[Fecha_Cheque]]),MID(Gastos[[#This Row],[Semana]],6,2))</f>
        <v>27</v>
      </c>
      <c r="O3702" t="s">
        <v>3675</v>
      </c>
      <c r="P3702" t="s">
        <v>27</v>
      </c>
    </row>
    <row r="3703" spans="1:16" hidden="1" x14ac:dyDescent="0.25">
      <c r="A3703" s="3" t="s">
        <v>3641</v>
      </c>
      <c r="B3703" t="s">
        <v>2355</v>
      </c>
      <c r="C3703" t="s">
        <v>3669</v>
      </c>
      <c r="D3703" t="s">
        <v>26</v>
      </c>
      <c r="E3703" t="s">
        <v>31</v>
      </c>
      <c r="F3703">
        <v>1</v>
      </c>
      <c r="G3703" s="3" t="s">
        <v>5</v>
      </c>
      <c r="H3703" s="51" t="s">
        <v>15</v>
      </c>
      <c r="I3703" s="17">
        <v>1072272</v>
      </c>
      <c r="J3703" s="17">
        <f>IF(Gastos[[#This Row],[Divisa]]="$", I3703*1, IF(Gastos[[#This Row],[Divisa]]="U$D", I3703*$N$1, IF(Gastos[[#This Row],[Divisa]]="EUR", I3703*$N$2, 0)))</f>
        <v>1072272</v>
      </c>
      <c r="K3703" s="61">
        <f>Gastos[[#This Row],[Importe AR$]]/$N$1</f>
        <v>707.77029702970299</v>
      </c>
      <c r="M3703" s="76"/>
      <c r="N3703" s="50" t="str">
        <f>IF(Gastos[[#This Row],[Fecha_Cheque]]&gt;0,WEEKNUM(Gastos[[#This Row],[Fecha_Cheque]]),MID(Gastos[[#This Row],[Semana]],6,2))</f>
        <v>27</v>
      </c>
      <c r="O3703" t="s">
        <v>3685</v>
      </c>
      <c r="P3703" t="s">
        <v>27</v>
      </c>
    </row>
    <row r="3704" spans="1:16" hidden="1" x14ac:dyDescent="0.25">
      <c r="A3704" s="3" t="s">
        <v>3718</v>
      </c>
      <c r="B3704" t="s">
        <v>1854</v>
      </c>
      <c r="C3704" t="s">
        <v>2667</v>
      </c>
      <c r="D3704" t="s">
        <v>26</v>
      </c>
      <c r="E3704" t="s">
        <v>132</v>
      </c>
      <c r="F3704">
        <v>2</v>
      </c>
      <c r="G3704" s="3" t="s">
        <v>32</v>
      </c>
      <c r="H3704" s="51" t="s">
        <v>15</v>
      </c>
      <c r="I3704" s="17">
        <v>2500000</v>
      </c>
      <c r="J3704" s="17">
        <f>IF(Gastos[[#This Row],[Divisa]]="$", I3704*1, IF(Gastos[[#This Row],[Divisa]]="U$D", I3704*$N$1, IF(Gastos[[#This Row],[Divisa]]="EUR", I3704*$N$2, 0)))</f>
        <v>2500000</v>
      </c>
      <c r="K3704" s="61">
        <f>Gastos[[#This Row],[Importe AR$]]/$N$1</f>
        <v>1650.1650165016501</v>
      </c>
      <c r="M3704" s="76">
        <v>46233</v>
      </c>
      <c r="N3704" s="50">
        <f>IF(Gastos[[#This Row],[Fecha_Cheque]]&gt;0,WEEKNUM(Gastos[[#This Row],[Fecha_Cheque]]),MID(Gastos[[#This Row],[Semana]],6,2))</f>
        <v>31</v>
      </c>
      <c r="O3704" t="s">
        <v>3730</v>
      </c>
      <c r="P3704" t="s">
        <v>27</v>
      </c>
    </row>
    <row r="3705" spans="1:16" hidden="1" x14ac:dyDescent="0.25">
      <c r="A3705" s="3" t="s">
        <v>3718</v>
      </c>
      <c r="B3705" t="s">
        <v>1854</v>
      </c>
      <c r="C3705" t="s">
        <v>2667</v>
      </c>
      <c r="D3705" t="s">
        <v>26</v>
      </c>
      <c r="E3705" t="s">
        <v>132</v>
      </c>
      <c r="F3705">
        <v>2</v>
      </c>
      <c r="G3705" s="3" t="s">
        <v>32</v>
      </c>
      <c r="H3705" s="51" t="s">
        <v>15</v>
      </c>
      <c r="I3705" s="17">
        <v>2500000</v>
      </c>
      <c r="J3705" s="17">
        <f>IF(Gastos[[#This Row],[Divisa]]="$", I3705*1, IF(Gastos[[#This Row],[Divisa]]="U$D", I3705*$N$1, IF(Gastos[[#This Row],[Divisa]]="EUR", I3705*$N$2, 0)))</f>
        <v>2500000</v>
      </c>
      <c r="K3705" s="61">
        <f>Gastos[[#This Row],[Importe AR$]]/$N$1</f>
        <v>1650.1650165016501</v>
      </c>
      <c r="M3705" s="76">
        <v>46238</v>
      </c>
      <c r="N3705" s="50">
        <f>IF(Gastos[[#This Row],[Fecha_Cheque]]&gt;0,WEEKNUM(Gastos[[#This Row],[Fecha_Cheque]]),MID(Gastos[[#This Row],[Semana]],6,2))</f>
        <v>32</v>
      </c>
      <c r="O3705" t="s">
        <v>3730</v>
      </c>
      <c r="P3705" t="s">
        <v>27</v>
      </c>
    </row>
    <row r="3706" spans="1:16" hidden="1" x14ac:dyDescent="0.25">
      <c r="A3706" s="3" t="s">
        <v>3718</v>
      </c>
      <c r="B3706" t="s">
        <v>1854</v>
      </c>
      <c r="C3706" t="s">
        <v>2667</v>
      </c>
      <c r="D3706" t="s">
        <v>26</v>
      </c>
      <c r="E3706" t="s">
        <v>132</v>
      </c>
      <c r="F3706">
        <v>2</v>
      </c>
      <c r="G3706" s="3" t="s">
        <v>32</v>
      </c>
      <c r="H3706" s="51" t="s">
        <v>15</v>
      </c>
      <c r="I3706" s="17">
        <v>2726733</v>
      </c>
      <c r="J3706" s="17">
        <f>IF(Gastos[[#This Row],[Divisa]]="$", I3706*1, IF(Gastos[[#This Row],[Divisa]]="U$D", I3706*$N$1, IF(Gastos[[#This Row],[Divisa]]="EUR", I3706*$N$2, 0)))</f>
        <v>2726733</v>
      </c>
      <c r="K3706" s="61">
        <f>Gastos[[#This Row],[Importe AR$]]/$N$1</f>
        <v>1799.8237623762377</v>
      </c>
      <c r="M3706" s="76">
        <v>46268</v>
      </c>
      <c r="N3706" s="50">
        <f>IF(Gastos[[#This Row],[Fecha_Cheque]]&gt;0,WEEKNUM(Gastos[[#This Row],[Fecha_Cheque]]),MID(Gastos[[#This Row],[Semana]],6,2))</f>
        <v>36</v>
      </c>
      <c r="O3706" t="s">
        <v>3730</v>
      </c>
      <c r="P3706" t="s">
        <v>27</v>
      </c>
    </row>
    <row r="3707" spans="1:16" hidden="1" x14ac:dyDescent="0.25">
      <c r="A3707" s="3" t="s">
        <v>3779</v>
      </c>
      <c r="B3707" t="s">
        <v>1674</v>
      </c>
      <c r="C3707" t="s">
        <v>3824</v>
      </c>
      <c r="D3707" t="s">
        <v>26</v>
      </c>
      <c r="E3707" t="s">
        <v>42</v>
      </c>
      <c r="F3707">
        <v>1</v>
      </c>
      <c r="G3707" s="3" t="s">
        <v>4</v>
      </c>
      <c r="H3707" s="51" t="s">
        <v>15</v>
      </c>
      <c r="I3707" s="17">
        <v>160000</v>
      </c>
      <c r="J3707" s="17">
        <f>IF(Gastos[[#This Row],[Divisa]]="$", I3707*1, IF(Gastos[[#This Row],[Divisa]]="U$D", I3707*$N$1, IF(Gastos[[#This Row],[Divisa]]="EUR", I3707*$N$2, 0)))</f>
        <v>160000</v>
      </c>
      <c r="K3707" s="61">
        <f>Gastos[[#This Row],[Importe AR$]]/$N$1</f>
        <v>105.61056105610561</v>
      </c>
      <c r="M3707" s="76"/>
      <c r="N3707" s="50" t="str">
        <f>IF(Gastos[[#This Row],[Fecha_Cheque]]&gt;0,WEEKNUM(Gastos[[#This Row],[Fecha_Cheque]]),MID(Gastos[[#This Row],[Semana]],6,2))</f>
        <v>29</v>
      </c>
      <c r="O3707" t="s">
        <v>3825</v>
      </c>
      <c r="P3707" t="s">
        <v>27</v>
      </c>
    </row>
    <row r="3708" spans="1:16" hidden="1" x14ac:dyDescent="0.25">
      <c r="A3708" s="3" t="s">
        <v>3779</v>
      </c>
      <c r="B3708" t="s">
        <v>2652</v>
      </c>
      <c r="C3708" t="s">
        <v>3790</v>
      </c>
      <c r="D3708" t="s">
        <v>26</v>
      </c>
      <c r="E3708" t="s">
        <v>42</v>
      </c>
      <c r="F3708">
        <v>2</v>
      </c>
      <c r="G3708" s="3" t="s">
        <v>4</v>
      </c>
      <c r="H3708" s="51" t="s">
        <v>15</v>
      </c>
      <c r="I3708" s="17">
        <v>500000</v>
      </c>
      <c r="J3708" s="17">
        <f>IF(Gastos[[#This Row],[Divisa]]="$", I3708*1, IF(Gastos[[#This Row],[Divisa]]="U$D", I3708*$N$1, IF(Gastos[[#This Row],[Divisa]]="EUR", I3708*$N$2, 0)))</f>
        <v>500000</v>
      </c>
      <c r="K3708" s="61">
        <f>Gastos[[#This Row],[Importe AR$]]/$N$1</f>
        <v>330.03300330033005</v>
      </c>
      <c r="M3708" s="76"/>
      <c r="N3708" s="50" t="str">
        <f>IF(Gastos[[#This Row],[Fecha_Cheque]]&gt;0,WEEKNUM(Gastos[[#This Row],[Fecha_Cheque]]),MID(Gastos[[#This Row],[Semana]],6,2))</f>
        <v>29</v>
      </c>
      <c r="O3708" t="s">
        <v>3838</v>
      </c>
      <c r="P3708" t="s">
        <v>27</v>
      </c>
    </row>
    <row r="3709" spans="1:16" x14ac:dyDescent="0.25">
      <c r="A3709" s="3" t="s">
        <v>3990</v>
      </c>
      <c r="B3709" t="s">
        <v>963</v>
      </c>
      <c r="C3709" t="s">
        <v>118</v>
      </c>
      <c r="D3709" t="s">
        <v>26</v>
      </c>
      <c r="E3709" t="s">
        <v>3956</v>
      </c>
      <c r="F3709">
        <v>2</v>
      </c>
      <c r="G3709" s="3" t="s">
        <v>32</v>
      </c>
      <c r="H3709" s="51" t="s">
        <v>2</v>
      </c>
      <c r="I3709" s="8">
        <v>634</v>
      </c>
      <c r="J3709" s="17">
        <f>IF(Gastos[[#This Row],[Divisa]]="$", I3709*1, IF(Gastos[[#This Row],[Divisa]]="U$D", I3709*$N$1, IF(Gastos[[#This Row],[Divisa]]="EUR", I3709*$N$2, 0)))</f>
        <v>960510</v>
      </c>
      <c r="K3709" s="61">
        <f>Gastos[[#This Row],[Importe AR$]]/$N$1</f>
        <v>634</v>
      </c>
      <c r="L3709" s="8"/>
      <c r="M3709" s="76"/>
      <c r="N3709" s="50" t="str">
        <f>IF(Gastos[[#This Row],[Fecha_Cheque]]&gt;0,WEEKNUM(Gastos[[#This Row],[Fecha_Cheque]]),MID(Gastos[[#This Row],[Semana]],6,2))</f>
        <v>32</v>
      </c>
    </row>
    <row r="3710" spans="1:16" hidden="1" x14ac:dyDescent="0.25">
      <c r="A3710" s="3" t="s">
        <v>3907</v>
      </c>
      <c r="B3710" t="s">
        <v>3432</v>
      </c>
      <c r="C3710" t="s">
        <v>3936</v>
      </c>
      <c r="D3710" t="s">
        <v>26</v>
      </c>
      <c r="E3710" t="s">
        <v>62</v>
      </c>
      <c r="F3710">
        <v>2</v>
      </c>
      <c r="G3710" s="3" t="s">
        <v>4</v>
      </c>
      <c r="H3710" s="51" t="s">
        <v>15</v>
      </c>
      <c r="I3710" s="17">
        <v>656200</v>
      </c>
      <c r="J3710" s="17">
        <f>IF(Gastos[[#This Row],[Divisa]]="$", I3710*1, IF(Gastos[[#This Row],[Divisa]]="U$D", I3710*$N$1, IF(Gastos[[#This Row],[Divisa]]="EUR", I3710*$N$2, 0)))</f>
        <v>656200</v>
      </c>
      <c r="K3710" s="61">
        <f>Gastos[[#This Row],[Importe AR$]]/$N$1</f>
        <v>433.13531353135312</v>
      </c>
      <c r="M3710" s="76"/>
      <c r="N3710" s="50" t="str">
        <f>IF(Gastos[[#This Row],[Fecha_Cheque]]&gt;0,WEEKNUM(Gastos[[#This Row],[Fecha_Cheque]]),MID(Gastos[[#This Row],[Semana]],6,2))</f>
        <v>31</v>
      </c>
      <c r="O3710" t="s">
        <v>3976</v>
      </c>
      <c r="P3710" t="s">
        <v>27</v>
      </c>
    </row>
    <row r="3711" spans="1:16" hidden="1" x14ac:dyDescent="0.25">
      <c r="A3711" s="3" t="s">
        <v>3842</v>
      </c>
      <c r="B3711" t="s">
        <v>3024</v>
      </c>
      <c r="C3711" t="s">
        <v>1948</v>
      </c>
      <c r="D3711" t="s">
        <v>26</v>
      </c>
      <c r="E3711" t="s">
        <v>42</v>
      </c>
      <c r="F3711">
        <v>1</v>
      </c>
      <c r="G3711" s="3" t="s">
        <v>4</v>
      </c>
      <c r="H3711" s="51" t="s">
        <v>15</v>
      </c>
      <c r="I3711" s="17">
        <v>26499.99</v>
      </c>
      <c r="J3711" s="17">
        <f>IF(Gastos[[#This Row],[Divisa]]="$", I3711*1, IF(Gastos[[#This Row],[Divisa]]="U$D", I3711*$N$1, IF(Gastos[[#This Row],[Divisa]]="EUR", I3711*$N$2, 0)))</f>
        <v>26499.99</v>
      </c>
      <c r="K3711" s="61">
        <f>Gastos[[#This Row],[Importe AR$]]/$N$1</f>
        <v>17.491742574257426</v>
      </c>
      <c r="M3711" s="76"/>
      <c r="N3711" s="50" t="str">
        <f>IF(Gastos[[#This Row],[Fecha_Cheque]]&gt;0,WEEKNUM(Gastos[[#This Row],[Fecha_Cheque]]),MID(Gastos[[#This Row],[Semana]],6,2))</f>
        <v>30</v>
      </c>
      <c r="O3711" t="s">
        <v>3855</v>
      </c>
      <c r="P3711" t="s">
        <v>27</v>
      </c>
    </row>
    <row r="3712" spans="1:16" hidden="1" x14ac:dyDescent="0.25">
      <c r="A3712" s="3" t="s">
        <v>3842</v>
      </c>
      <c r="B3712" t="s">
        <v>1462</v>
      </c>
      <c r="C3712" t="s">
        <v>155</v>
      </c>
      <c r="D3712" t="s">
        <v>26</v>
      </c>
      <c r="E3712" t="s">
        <v>42</v>
      </c>
      <c r="F3712">
        <v>1</v>
      </c>
      <c r="G3712" s="3" t="s">
        <v>4</v>
      </c>
      <c r="H3712" s="51" t="s">
        <v>15</v>
      </c>
      <c r="I3712" s="17">
        <v>98520</v>
      </c>
      <c r="J3712" s="17">
        <f>IF(Gastos[[#This Row],[Divisa]]="$", I3712*1, IF(Gastos[[#This Row],[Divisa]]="U$D", I3712*$N$1, IF(Gastos[[#This Row],[Divisa]]="EUR", I3712*$N$2, 0)))</f>
        <v>98520</v>
      </c>
      <c r="K3712" s="61">
        <f>Gastos[[#This Row],[Importe AR$]]/$N$1</f>
        <v>65.029702970297024</v>
      </c>
      <c r="M3712" s="76"/>
      <c r="N3712" s="50" t="str">
        <f>IF(Gastos[[#This Row],[Fecha_Cheque]]&gt;0,WEEKNUM(Gastos[[#This Row],[Fecha_Cheque]]),MID(Gastos[[#This Row],[Semana]],6,2))</f>
        <v>30</v>
      </c>
      <c r="O3712" t="s">
        <v>3876</v>
      </c>
      <c r="P3712" t="s">
        <v>27</v>
      </c>
    </row>
    <row r="3713" spans="1:16" x14ac:dyDescent="0.25">
      <c r="A3713" s="3" t="s">
        <v>3990</v>
      </c>
      <c r="B3713" t="s">
        <v>3952</v>
      </c>
      <c r="C3713" t="s">
        <v>2667</v>
      </c>
      <c r="D3713" t="s">
        <v>26</v>
      </c>
      <c r="E3713" t="s">
        <v>3955</v>
      </c>
      <c r="F3713">
        <v>2</v>
      </c>
      <c r="G3713" s="3" t="s">
        <v>32</v>
      </c>
      <c r="H3713" s="51" t="s">
        <v>2</v>
      </c>
      <c r="I3713" s="17">
        <v>162</v>
      </c>
      <c r="J3713" s="17">
        <f>IF(Gastos[[#This Row],[Divisa]]="$", I3713*1, IF(Gastos[[#This Row],[Divisa]]="U$D", I3713*$N$1, IF(Gastos[[#This Row],[Divisa]]="EUR", I3713*$N$2, 0)))</f>
        <v>245430</v>
      </c>
      <c r="K3713" s="61">
        <f>Gastos[[#This Row],[Importe AR$]]/$N$1</f>
        <v>162</v>
      </c>
      <c r="M3713" s="76"/>
      <c r="N3713" s="50" t="str">
        <f>IF(Gastos[[#This Row],[Fecha_Cheque]]&gt;0,WEEKNUM(Gastos[[#This Row],[Fecha_Cheque]]),MID(Gastos[[#This Row],[Semana]],6,2))</f>
        <v>32</v>
      </c>
    </row>
    <row r="3714" spans="1:16" hidden="1" x14ac:dyDescent="0.25">
      <c r="A3714" s="3" t="s">
        <v>3842</v>
      </c>
      <c r="B3714" t="s">
        <v>3380</v>
      </c>
      <c r="C3714" t="s">
        <v>3847</v>
      </c>
      <c r="D3714" t="s">
        <v>26</v>
      </c>
      <c r="E3714" t="s">
        <v>31</v>
      </c>
      <c r="F3714">
        <v>1</v>
      </c>
      <c r="G3714" s="3" t="s">
        <v>5</v>
      </c>
      <c r="H3714" s="51" t="s">
        <v>15</v>
      </c>
      <c r="I3714" s="17">
        <v>742083.31</v>
      </c>
      <c r="J3714" s="17">
        <f>IF(Gastos[[#This Row],[Divisa]]="$", I3714*1, IF(Gastos[[#This Row],[Divisa]]="U$D", I3714*$N$1, IF(Gastos[[#This Row],[Divisa]]="EUR", I3714*$N$2, 0)))</f>
        <v>742083.31</v>
      </c>
      <c r="K3714" s="61">
        <f>Gastos[[#This Row],[Importe AR$]]/$N$1</f>
        <v>489.82396699669971</v>
      </c>
      <c r="M3714" s="76"/>
      <c r="N3714" s="50" t="str">
        <f>IF(Gastos[[#This Row],[Fecha_Cheque]]&gt;0,WEEKNUM(Gastos[[#This Row],[Fecha_Cheque]]),MID(Gastos[[#This Row],[Semana]],6,2))</f>
        <v>30</v>
      </c>
      <c r="O3714" t="s">
        <v>3848</v>
      </c>
      <c r="P3714" t="s">
        <v>27</v>
      </c>
    </row>
    <row r="3715" spans="1:16" hidden="1" x14ac:dyDescent="0.25">
      <c r="A3715" s="3" t="s">
        <v>3842</v>
      </c>
      <c r="B3715" t="s">
        <v>3380</v>
      </c>
      <c r="C3715" t="s">
        <v>3847</v>
      </c>
      <c r="D3715" t="s">
        <v>26</v>
      </c>
      <c r="E3715" t="s">
        <v>31</v>
      </c>
      <c r="F3715">
        <v>1</v>
      </c>
      <c r="G3715" s="3" t="s">
        <v>5</v>
      </c>
      <c r="H3715" s="51" t="s">
        <v>15</v>
      </c>
      <c r="I3715" s="17">
        <v>7916.69</v>
      </c>
      <c r="J3715" s="17">
        <f>IF(Gastos[[#This Row],[Divisa]]="$", I3715*1, IF(Gastos[[#This Row],[Divisa]]="U$D", I3715*$N$1, IF(Gastos[[#This Row],[Divisa]]="EUR", I3715*$N$2, 0)))</f>
        <v>7916.69</v>
      </c>
      <c r="K3715" s="61">
        <f>Gastos[[#This Row],[Importe AR$]]/$N$1</f>
        <v>5.2255379537953797</v>
      </c>
      <c r="L3715" t="s">
        <v>340</v>
      </c>
      <c r="M3715" s="76"/>
      <c r="N3715" s="50" t="str">
        <f>IF(Gastos[[#This Row],[Fecha_Cheque]]&gt;0,WEEKNUM(Gastos[[#This Row],[Fecha_Cheque]]),MID(Gastos[[#This Row],[Semana]],6,2))</f>
        <v>30</v>
      </c>
      <c r="O3715" t="s">
        <v>3848</v>
      </c>
      <c r="P3715" t="s">
        <v>27</v>
      </c>
    </row>
    <row r="3716" spans="1:16" x14ac:dyDescent="0.25">
      <c r="A3716" s="3" t="s">
        <v>3990</v>
      </c>
      <c r="B3716" t="s">
        <v>1019</v>
      </c>
      <c r="C3716" t="s">
        <v>422</v>
      </c>
      <c r="D3716" t="s">
        <v>26</v>
      </c>
      <c r="E3716" t="s">
        <v>91</v>
      </c>
      <c r="F3716">
        <v>1</v>
      </c>
      <c r="G3716" s="3" t="s">
        <v>5</v>
      </c>
      <c r="H3716" s="51" t="s">
        <v>15</v>
      </c>
      <c r="I3716" s="17">
        <v>646653.1</v>
      </c>
      <c r="J3716" s="17">
        <f>IF(Gastos[[#This Row],[Divisa]]="$", I3716*1, IF(Gastos[[#This Row],[Divisa]]="U$D", I3716*$N$1, IF(Gastos[[#This Row],[Divisa]]="EUR", I3716*$N$2, 0)))</f>
        <v>646653.1</v>
      </c>
      <c r="K3716" s="61">
        <f>Gastos[[#This Row],[Importe AR$]]/$N$1</f>
        <v>426.83372937293728</v>
      </c>
      <c r="M3716" s="76"/>
      <c r="N3716" s="50" t="str">
        <f>IF(Gastos[[#This Row],[Fecha_Cheque]]&gt;0,WEEKNUM(Gastos[[#This Row],[Fecha_Cheque]]),MID(Gastos[[#This Row],[Semana]],6,2))</f>
        <v>32</v>
      </c>
      <c r="P3716" t="s">
        <v>3991</v>
      </c>
    </row>
    <row r="3717" spans="1:16" hidden="1" x14ac:dyDescent="0.25">
      <c r="A3717" s="3" t="s">
        <v>3718</v>
      </c>
      <c r="B3717" t="s">
        <v>3385</v>
      </c>
      <c r="C3717" t="s">
        <v>1948</v>
      </c>
      <c r="D3717" t="s">
        <v>26</v>
      </c>
      <c r="E3717" t="s">
        <v>42</v>
      </c>
      <c r="F3717">
        <v>1</v>
      </c>
      <c r="G3717" s="3" t="s">
        <v>4</v>
      </c>
      <c r="H3717" s="51" t="s">
        <v>15</v>
      </c>
      <c r="I3717" s="17">
        <v>12900</v>
      </c>
      <c r="J3717" s="17">
        <f>IF(Gastos[[#This Row],[Divisa]]="$", I3717*1, IF(Gastos[[#This Row],[Divisa]]="U$D", I3717*$N$1, IF(Gastos[[#This Row],[Divisa]]="EUR", I3717*$N$2, 0)))</f>
        <v>12900</v>
      </c>
      <c r="K3717" s="61">
        <f>Gastos[[#This Row],[Importe AR$]]/$N$1</f>
        <v>8.5148514851485153</v>
      </c>
      <c r="M3717" s="76"/>
      <c r="N3717" s="50" t="str">
        <f>IF(Gastos[[#This Row],[Fecha_Cheque]]&gt;0,WEEKNUM(Gastos[[#This Row],[Fecha_Cheque]]),MID(Gastos[[#This Row],[Semana]],6,2))</f>
        <v>28</v>
      </c>
      <c r="O3717" t="s">
        <v>3753</v>
      </c>
      <c r="P3717" t="s">
        <v>27</v>
      </c>
    </row>
    <row r="3718" spans="1:16" hidden="1" x14ac:dyDescent="0.25">
      <c r="A3718" s="3" t="s">
        <v>3907</v>
      </c>
      <c r="B3718" t="s">
        <v>1026</v>
      </c>
      <c r="C3718" t="s">
        <v>3363</v>
      </c>
      <c r="D3718" t="s">
        <v>26</v>
      </c>
      <c r="E3718" t="s">
        <v>42</v>
      </c>
      <c r="F3718">
        <v>1</v>
      </c>
      <c r="G3718" s="3" t="s">
        <v>4</v>
      </c>
      <c r="H3718" s="51" t="s">
        <v>15</v>
      </c>
      <c r="I3718" s="17">
        <v>162760</v>
      </c>
      <c r="J3718" s="17">
        <f>IF(Gastos[[#This Row],[Divisa]]="$", I3718*1, IF(Gastos[[#This Row],[Divisa]]="U$D", I3718*$N$1, IF(Gastos[[#This Row],[Divisa]]="EUR", I3718*$N$2, 0)))</f>
        <v>162760</v>
      </c>
      <c r="K3718" s="61">
        <f>Gastos[[#This Row],[Importe AR$]]/$N$1</f>
        <v>107.43234323432343</v>
      </c>
      <c r="M3718" s="76"/>
      <c r="N3718" s="50" t="str">
        <f>IF(Gastos[[#This Row],[Fecha_Cheque]]&gt;0,WEEKNUM(Gastos[[#This Row],[Fecha_Cheque]]),MID(Gastos[[#This Row],[Semana]],6,2))</f>
        <v>31</v>
      </c>
      <c r="O3718" t="s">
        <v>3964</v>
      </c>
      <c r="P3718" t="s">
        <v>27</v>
      </c>
    </row>
    <row r="3719" spans="1:16" hidden="1" x14ac:dyDescent="0.25">
      <c r="A3719" s="3" t="s">
        <v>3842</v>
      </c>
      <c r="B3719" t="s">
        <v>1571</v>
      </c>
      <c r="C3719" t="s">
        <v>155</v>
      </c>
      <c r="D3719" t="s">
        <v>26</v>
      </c>
      <c r="E3719" t="s">
        <v>42</v>
      </c>
      <c r="F3719">
        <v>1</v>
      </c>
      <c r="G3719" s="3" t="s">
        <v>4</v>
      </c>
      <c r="H3719" s="51" t="s">
        <v>15</v>
      </c>
      <c r="I3719" s="17">
        <v>191006.89</v>
      </c>
      <c r="J3719" s="17">
        <f>IF(Gastos[[#This Row],[Divisa]]="$", I3719*1, IF(Gastos[[#This Row],[Divisa]]="U$D", I3719*$N$1, IF(Gastos[[#This Row],[Divisa]]="EUR", I3719*$N$2, 0)))</f>
        <v>191006.89</v>
      </c>
      <c r="K3719" s="61">
        <f>Gastos[[#This Row],[Importe AR$]]/$N$1</f>
        <v>126.07715511551156</v>
      </c>
      <c r="M3719" s="76"/>
      <c r="N3719" s="50" t="str">
        <f>IF(Gastos[[#This Row],[Fecha_Cheque]]&gt;0,WEEKNUM(Gastos[[#This Row],[Fecha_Cheque]]),MID(Gastos[[#This Row],[Semana]],6,2))</f>
        <v>30</v>
      </c>
      <c r="O3719" t="s">
        <v>3891</v>
      </c>
      <c r="P3719" t="s">
        <v>27</v>
      </c>
    </row>
    <row r="3720" spans="1:16" x14ac:dyDescent="0.25">
      <c r="A3720" s="3" t="s">
        <v>3990</v>
      </c>
      <c r="B3720" t="s">
        <v>3299</v>
      </c>
      <c r="C3720" t="s">
        <v>3300</v>
      </c>
      <c r="D3720" t="s">
        <v>26</v>
      </c>
      <c r="E3720" t="s">
        <v>42</v>
      </c>
      <c r="F3720">
        <v>1</v>
      </c>
      <c r="G3720" s="3" t="s">
        <v>4</v>
      </c>
      <c r="H3720" s="53" t="s">
        <v>15</v>
      </c>
      <c r="I3720" s="17">
        <v>250000</v>
      </c>
      <c r="J3720" s="17">
        <f>IF(Gastos[[#This Row],[Divisa]]="$", I3720*1, IF(Gastos[[#This Row],[Divisa]]="U$D", I3720*$N$1, IF(Gastos[[#This Row],[Divisa]]="EUR", I3720*$N$2, 0)))</f>
        <v>250000</v>
      </c>
      <c r="K3720" s="61">
        <f>Gastos[[#This Row],[Importe AR$]]/$N$1</f>
        <v>165.01650165016503</v>
      </c>
      <c r="M3720" s="76"/>
      <c r="N3720" s="50" t="str">
        <f>IF(Gastos[[#This Row],[Fecha_Cheque]]&gt;0,WEEKNUM(Gastos[[#This Row],[Fecha_Cheque]]),MID(Gastos[[#This Row],[Semana]],6,2))</f>
        <v>32</v>
      </c>
      <c r="P3720" t="s">
        <v>3991</v>
      </c>
    </row>
    <row r="3721" spans="1:16" x14ac:dyDescent="0.25">
      <c r="A3721" s="3" t="s">
        <v>3990</v>
      </c>
      <c r="B3721" t="s">
        <v>1079</v>
      </c>
      <c r="C3721" t="s">
        <v>2913</v>
      </c>
      <c r="D3721" t="s">
        <v>26</v>
      </c>
      <c r="E3721" t="s">
        <v>62</v>
      </c>
      <c r="F3721">
        <v>1</v>
      </c>
      <c r="G3721" s="3" t="s">
        <v>32</v>
      </c>
      <c r="H3721" s="53" t="s">
        <v>15</v>
      </c>
      <c r="I3721" s="17">
        <v>0</v>
      </c>
      <c r="J3721" s="17">
        <f>IF(Gastos[[#This Row],[Divisa]]="$", I3721*1, IF(Gastos[[#This Row],[Divisa]]="U$D", I3721*$N$1, IF(Gastos[[#This Row],[Divisa]]="EUR", I3721*$N$2, 0)))</f>
        <v>0</v>
      </c>
      <c r="K3721" s="61">
        <f>Gastos[[#This Row],[Importe AR$]]/$N$1</f>
        <v>0</v>
      </c>
      <c r="M3721" s="76"/>
      <c r="N3721" s="50" t="str">
        <f>IF(Gastos[[#This Row],[Fecha_Cheque]]&gt;0,WEEKNUM(Gastos[[#This Row],[Fecha_Cheque]]),MID(Gastos[[#This Row],[Semana]],6,2))</f>
        <v>32</v>
      </c>
    </row>
    <row r="3722" spans="1:16" hidden="1" x14ac:dyDescent="0.25">
      <c r="A3722" s="3" t="s">
        <v>3718</v>
      </c>
      <c r="B3722" t="s">
        <v>3051</v>
      </c>
      <c r="C3722" t="s">
        <v>2667</v>
      </c>
      <c r="D3722" t="s">
        <v>26</v>
      </c>
      <c r="E3722" t="s">
        <v>132</v>
      </c>
      <c r="F3722">
        <v>2</v>
      </c>
      <c r="G3722" s="3" t="s">
        <v>32</v>
      </c>
      <c r="H3722" s="51" t="s">
        <v>15</v>
      </c>
      <c r="I3722" s="17">
        <v>2500000</v>
      </c>
      <c r="J3722" s="17">
        <f>IF(Gastos[[#This Row],[Divisa]]="$", I3722*1, IF(Gastos[[#This Row],[Divisa]]="U$D", I3722*$N$1, IF(Gastos[[#This Row],[Divisa]]="EUR", I3722*$N$2, 0)))</f>
        <v>2500000</v>
      </c>
      <c r="K3722" s="61">
        <f>Gastos[[#This Row],[Importe AR$]]/$N$1</f>
        <v>1650.1650165016501</v>
      </c>
      <c r="M3722" s="76">
        <v>46231</v>
      </c>
      <c r="N3722" s="50">
        <f>IF(Gastos[[#This Row],[Fecha_Cheque]]&gt;0,WEEKNUM(Gastos[[#This Row],[Fecha_Cheque]]),MID(Gastos[[#This Row],[Semana]],6,2))</f>
        <v>31</v>
      </c>
      <c r="O3722" t="s">
        <v>3727</v>
      </c>
      <c r="P3722" t="s">
        <v>27</v>
      </c>
    </row>
    <row r="3723" spans="1:16" hidden="1" x14ac:dyDescent="0.25">
      <c r="A3723" s="3" t="s">
        <v>3718</v>
      </c>
      <c r="B3723" t="s">
        <v>3051</v>
      </c>
      <c r="C3723" t="s">
        <v>2667</v>
      </c>
      <c r="D3723" t="s">
        <v>26</v>
      </c>
      <c r="E3723" t="s">
        <v>132</v>
      </c>
      <c r="F3723">
        <v>2</v>
      </c>
      <c r="G3723" s="3" t="s">
        <v>32</v>
      </c>
      <c r="H3723" s="51" t="s">
        <v>15</v>
      </c>
      <c r="I3723" s="17">
        <v>2726733</v>
      </c>
      <c r="J3723" s="17">
        <f>IF(Gastos[[#This Row],[Divisa]]="$", I3723*1, IF(Gastos[[#This Row],[Divisa]]="U$D", I3723*$N$1, IF(Gastos[[#This Row],[Divisa]]="EUR", I3723*$N$2, 0)))</f>
        <v>2726733</v>
      </c>
      <c r="K3723" s="61">
        <f>Gastos[[#This Row],[Importe AR$]]/$N$1</f>
        <v>1799.8237623762377</v>
      </c>
      <c r="M3723" s="76">
        <v>46265</v>
      </c>
      <c r="N3723" s="50">
        <f>IF(Gastos[[#This Row],[Fecha_Cheque]]&gt;0,WEEKNUM(Gastos[[#This Row],[Fecha_Cheque]]),MID(Gastos[[#This Row],[Semana]],6,2))</f>
        <v>36</v>
      </c>
      <c r="O3723" t="s">
        <v>3727</v>
      </c>
      <c r="P3723" t="s">
        <v>27</v>
      </c>
    </row>
    <row r="3724" spans="1:16" hidden="1" x14ac:dyDescent="0.25">
      <c r="A3724" s="3" t="s">
        <v>3718</v>
      </c>
      <c r="B3724" t="s">
        <v>3728</v>
      </c>
      <c r="C3724" t="s">
        <v>2667</v>
      </c>
      <c r="D3724" t="s">
        <v>26</v>
      </c>
      <c r="E3724" t="s">
        <v>132</v>
      </c>
      <c r="F3724">
        <v>2</v>
      </c>
      <c r="G3724" s="3" t="s">
        <v>32</v>
      </c>
      <c r="H3724" s="51" t="s">
        <v>15</v>
      </c>
      <c r="I3724" s="17">
        <v>2726733</v>
      </c>
      <c r="J3724" s="17">
        <f>IF(Gastos[[#This Row],[Divisa]]="$", I3724*1, IF(Gastos[[#This Row],[Divisa]]="U$D", I3724*$N$1, IF(Gastos[[#This Row],[Divisa]]="EUR", I3724*$N$2, 0)))</f>
        <v>2726733</v>
      </c>
      <c r="K3724" s="61">
        <f>Gastos[[#This Row],[Importe AR$]]/$N$1</f>
        <v>1799.8237623762377</v>
      </c>
      <c r="M3724" s="76">
        <v>46267</v>
      </c>
      <c r="N3724" s="50">
        <f>IF(Gastos[[#This Row],[Fecha_Cheque]]&gt;0,WEEKNUM(Gastos[[#This Row],[Fecha_Cheque]]),MID(Gastos[[#This Row],[Semana]],6,2))</f>
        <v>36</v>
      </c>
      <c r="O3724" t="s">
        <v>3729</v>
      </c>
      <c r="P3724" t="s">
        <v>27</v>
      </c>
    </row>
    <row r="3725" spans="1:16" hidden="1" x14ac:dyDescent="0.25">
      <c r="A3725" s="3" t="s">
        <v>3718</v>
      </c>
      <c r="B3725" t="s">
        <v>3728</v>
      </c>
      <c r="C3725" t="s">
        <v>2667</v>
      </c>
      <c r="D3725" t="s">
        <v>26</v>
      </c>
      <c r="E3725" t="s">
        <v>132</v>
      </c>
      <c r="F3725">
        <v>2</v>
      </c>
      <c r="G3725" s="3" t="s">
        <v>32</v>
      </c>
      <c r="H3725" s="51" t="s">
        <v>15</v>
      </c>
      <c r="I3725" s="17">
        <v>2726733</v>
      </c>
      <c r="J3725" s="17">
        <f>IF(Gastos[[#This Row],[Divisa]]="$", I3725*1, IF(Gastos[[#This Row],[Divisa]]="U$D", I3725*$N$1, IF(Gastos[[#This Row],[Divisa]]="EUR", I3725*$N$2, 0)))</f>
        <v>2726733</v>
      </c>
      <c r="K3725" s="61">
        <f>Gastos[[#This Row],[Importe AR$]]/$N$1</f>
        <v>1799.8237623762377</v>
      </c>
      <c r="M3725" s="76">
        <v>46259</v>
      </c>
      <c r="N3725" s="50">
        <f>IF(Gastos[[#This Row],[Fecha_Cheque]]&gt;0,WEEKNUM(Gastos[[#This Row],[Fecha_Cheque]]),MID(Gastos[[#This Row],[Semana]],6,2))</f>
        <v>35</v>
      </c>
      <c r="O3725" t="s">
        <v>3729</v>
      </c>
      <c r="P3725" t="s">
        <v>27</v>
      </c>
    </row>
    <row r="3726" spans="1:16" hidden="1" x14ac:dyDescent="0.25">
      <c r="A3726" s="3" t="s">
        <v>3779</v>
      </c>
      <c r="B3726" t="s">
        <v>1854</v>
      </c>
      <c r="C3726" t="s">
        <v>2667</v>
      </c>
      <c r="D3726" t="s">
        <v>26</v>
      </c>
      <c r="E3726" t="s">
        <v>132</v>
      </c>
      <c r="F3726">
        <v>2</v>
      </c>
      <c r="G3726" s="3" t="s">
        <v>32</v>
      </c>
      <c r="H3726" s="51" t="s">
        <v>15</v>
      </c>
      <c r="I3726" s="17">
        <v>144520</v>
      </c>
      <c r="J3726" s="17">
        <f>IF(Gastos[[#This Row],[Divisa]]="$", I3726*1, IF(Gastos[[#This Row],[Divisa]]="U$D", I3726*$N$1, IF(Gastos[[#This Row],[Divisa]]="EUR", I3726*$N$2, 0)))</f>
        <v>144520</v>
      </c>
      <c r="K3726" s="61">
        <f>Gastos[[#This Row],[Importe AR$]]/$N$1</f>
        <v>95.39273927392739</v>
      </c>
      <c r="M3726" s="76">
        <v>46217</v>
      </c>
      <c r="N3726" s="50">
        <f>IF(Gastos[[#This Row],[Fecha_Cheque]]&gt;0,WEEKNUM(Gastos[[#This Row],[Fecha_Cheque]]),MID(Gastos[[#This Row],[Semana]],6,2))</f>
        <v>29</v>
      </c>
      <c r="O3726" t="s">
        <v>3801</v>
      </c>
      <c r="P3726" t="s">
        <v>27</v>
      </c>
    </row>
    <row r="3727" spans="1:16" hidden="1" x14ac:dyDescent="0.25">
      <c r="A3727" s="3" t="s">
        <v>3779</v>
      </c>
      <c r="B3727" t="s">
        <v>1854</v>
      </c>
      <c r="C3727" t="s">
        <v>2667</v>
      </c>
      <c r="D3727" t="s">
        <v>26</v>
      </c>
      <c r="E3727" t="s">
        <v>132</v>
      </c>
      <c r="F3727">
        <v>2</v>
      </c>
      <c r="G3727" s="3" t="s">
        <v>32</v>
      </c>
      <c r="H3727" s="51" t="s">
        <v>15</v>
      </c>
      <c r="I3727" s="17">
        <v>877697.8</v>
      </c>
      <c r="J3727" s="17">
        <f>IF(Gastos[[#This Row],[Divisa]]="$", I3727*1, IF(Gastos[[#This Row],[Divisa]]="U$D", I3727*$N$1, IF(Gastos[[#This Row],[Divisa]]="EUR", I3727*$N$2, 0)))</f>
        <v>877697.8</v>
      </c>
      <c r="K3727" s="61">
        <f>Gastos[[#This Row],[Importe AR$]]/$N$1</f>
        <v>579.33848184818487</v>
      </c>
      <c r="M3727" s="76">
        <v>46207</v>
      </c>
      <c r="N3727" s="50">
        <f>IF(Gastos[[#This Row],[Fecha_Cheque]]&gt;0,WEEKNUM(Gastos[[#This Row],[Fecha_Cheque]]),MID(Gastos[[#This Row],[Semana]],6,2))</f>
        <v>27</v>
      </c>
      <c r="O3727" t="s">
        <v>3801</v>
      </c>
      <c r="P3727" t="s">
        <v>27</v>
      </c>
    </row>
    <row r="3728" spans="1:16" hidden="1" x14ac:dyDescent="0.25">
      <c r="A3728" s="3" t="s">
        <v>3779</v>
      </c>
      <c r="B3728" t="s">
        <v>1854</v>
      </c>
      <c r="C3728" t="s">
        <v>2667</v>
      </c>
      <c r="D3728" t="s">
        <v>26</v>
      </c>
      <c r="E3728" t="s">
        <v>132</v>
      </c>
      <c r="F3728">
        <v>2</v>
      </c>
      <c r="G3728" s="3" t="s">
        <v>32</v>
      </c>
      <c r="H3728" s="51" t="s">
        <v>15</v>
      </c>
      <c r="I3728" s="17">
        <v>930000</v>
      </c>
      <c r="J3728" s="17">
        <f>IF(Gastos[[#This Row],[Divisa]]="$", I3728*1, IF(Gastos[[#This Row],[Divisa]]="U$D", I3728*$N$1, IF(Gastos[[#This Row],[Divisa]]="EUR", I3728*$N$2, 0)))</f>
        <v>930000</v>
      </c>
      <c r="K3728" s="61">
        <f>Gastos[[#This Row],[Importe AR$]]/$N$1</f>
        <v>613.86138613861385</v>
      </c>
      <c r="M3728" s="76">
        <v>46244</v>
      </c>
      <c r="N3728" s="50">
        <f>IF(Gastos[[#This Row],[Fecha_Cheque]]&gt;0,WEEKNUM(Gastos[[#This Row],[Fecha_Cheque]]),MID(Gastos[[#This Row],[Semana]],6,2))</f>
        <v>33</v>
      </c>
      <c r="O3728" t="s">
        <v>3801</v>
      </c>
      <c r="P3728" t="s">
        <v>27</v>
      </c>
    </row>
    <row r="3729" spans="1:16" hidden="1" x14ac:dyDescent="0.25">
      <c r="A3729" s="3" t="s">
        <v>3779</v>
      </c>
      <c r="B3729" t="s">
        <v>1854</v>
      </c>
      <c r="C3729" t="s">
        <v>2667</v>
      </c>
      <c r="D3729" t="s">
        <v>26</v>
      </c>
      <c r="E3729" t="s">
        <v>132</v>
      </c>
      <c r="F3729">
        <v>2</v>
      </c>
      <c r="G3729" s="3" t="s">
        <v>32</v>
      </c>
      <c r="H3729" s="51" t="s">
        <v>15</v>
      </c>
      <c r="I3729" s="17">
        <v>3400000</v>
      </c>
      <c r="J3729" s="17">
        <f>IF(Gastos[[#This Row],[Divisa]]="$", I3729*1, IF(Gastos[[#This Row],[Divisa]]="U$D", I3729*$N$1, IF(Gastos[[#This Row],[Divisa]]="EUR", I3729*$N$2, 0)))</f>
        <v>3400000</v>
      </c>
      <c r="K3729" s="61">
        <f>Gastos[[#This Row],[Importe AR$]]/$N$1</f>
        <v>2244.2244224422443</v>
      </c>
      <c r="M3729" s="76">
        <v>46264</v>
      </c>
      <c r="N3729" s="50">
        <f>IF(Gastos[[#This Row],[Fecha_Cheque]]&gt;0,WEEKNUM(Gastos[[#This Row],[Fecha_Cheque]]),MID(Gastos[[#This Row],[Semana]],6,2))</f>
        <v>36</v>
      </c>
      <c r="O3729" t="s">
        <v>3801</v>
      </c>
      <c r="P3729" t="s">
        <v>27</v>
      </c>
    </row>
    <row r="3730" spans="1:16" hidden="1" x14ac:dyDescent="0.25">
      <c r="A3730" s="3" t="s">
        <v>3779</v>
      </c>
      <c r="B3730" t="s">
        <v>1854</v>
      </c>
      <c r="C3730" t="s">
        <v>2667</v>
      </c>
      <c r="D3730" t="s">
        <v>26</v>
      </c>
      <c r="E3730" t="s">
        <v>42</v>
      </c>
      <c r="F3730">
        <v>2</v>
      </c>
      <c r="G3730" s="3" t="s">
        <v>4</v>
      </c>
      <c r="H3730" s="51" t="s">
        <v>15</v>
      </c>
      <c r="I3730" s="17">
        <v>1000000</v>
      </c>
      <c r="J3730" s="17">
        <f>IF(Gastos[[#This Row],[Divisa]]="$", I3730*1, IF(Gastos[[#This Row],[Divisa]]="U$D", I3730*$N$1, IF(Gastos[[#This Row],[Divisa]]="EUR", I3730*$N$2, 0)))</f>
        <v>1000000</v>
      </c>
      <c r="K3730" s="61">
        <f>Gastos[[#This Row],[Importe AR$]]/$N$1</f>
        <v>660.0660066006601</v>
      </c>
      <c r="M3730" s="76"/>
      <c r="N3730" s="50" t="str">
        <f>IF(Gastos[[#This Row],[Fecha_Cheque]]&gt;0,WEEKNUM(Gastos[[#This Row],[Fecha_Cheque]]),MID(Gastos[[#This Row],[Semana]],6,2))</f>
        <v>29</v>
      </c>
      <c r="O3730" t="s">
        <v>3835</v>
      </c>
      <c r="P3730" t="s">
        <v>27</v>
      </c>
    </row>
    <row r="3731" spans="1:16" hidden="1" x14ac:dyDescent="0.25">
      <c r="A3731" s="3" t="s">
        <v>3641</v>
      </c>
      <c r="B3731" t="s">
        <v>2704</v>
      </c>
      <c r="C3731" t="s">
        <v>3669</v>
      </c>
      <c r="D3731" t="s">
        <v>26</v>
      </c>
      <c r="E3731" t="s">
        <v>31</v>
      </c>
      <c r="F3731">
        <v>1</v>
      </c>
      <c r="G3731" s="3" t="s">
        <v>5</v>
      </c>
      <c r="H3731" s="51" t="s">
        <v>15</v>
      </c>
      <c r="I3731" s="17">
        <v>622566.77</v>
      </c>
      <c r="J3731" s="17">
        <f>IF(Gastos[[#This Row],[Divisa]]="$", I3731*1, IF(Gastos[[#This Row],[Divisa]]="U$D", I3731*$N$1, IF(Gastos[[#This Row],[Divisa]]="EUR", I3731*$N$2, 0)))</f>
        <v>622566.77</v>
      </c>
      <c r="K3731" s="61">
        <f>Gastos[[#This Row],[Importe AR$]]/$N$1</f>
        <v>410.93516171617165</v>
      </c>
      <c r="M3731" s="76"/>
      <c r="N3731" s="50" t="str">
        <f>IF(Gastos[[#This Row],[Fecha_Cheque]]&gt;0,WEEKNUM(Gastos[[#This Row],[Fecha_Cheque]]),MID(Gastos[[#This Row],[Semana]],6,2))</f>
        <v>27</v>
      </c>
      <c r="O3731" t="s">
        <v>3686</v>
      </c>
      <c r="P3731" t="s">
        <v>27</v>
      </c>
    </row>
    <row r="3732" spans="1:16" hidden="1" x14ac:dyDescent="0.25">
      <c r="A3732" s="3" t="s">
        <v>3641</v>
      </c>
      <c r="B3732" t="s">
        <v>2540</v>
      </c>
      <c r="C3732" t="s">
        <v>3669</v>
      </c>
      <c r="D3732" t="s">
        <v>26</v>
      </c>
      <c r="E3732" t="s">
        <v>31</v>
      </c>
      <c r="F3732">
        <v>1</v>
      </c>
      <c r="G3732" s="3" t="s">
        <v>5</v>
      </c>
      <c r="H3732" s="51" t="s">
        <v>15</v>
      </c>
      <c r="I3732" s="17">
        <v>1223150</v>
      </c>
      <c r="J3732" s="17">
        <f>IF(Gastos[[#This Row],[Divisa]]="$", I3732*1, IF(Gastos[[#This Row],[Divisa]]="U$D", I3732*$N$1, IF(Gastos[[#This Row],[Divisa]]="EUR", I3732*$N$2, 0)))</f>
        <v>1223150</v>
      </c>
      <c r="K3732" s="61">
        <f>Gastos[[#This Row],[Importe AR$]]/$N$1</f>
        <v>807.35973597359737</v>
      </c>
      <c r="M3732" s="76"/>
      <c r="N3732" s="50" t="str">
        <f>IF(Gastos[[#This Row],[Fecha_Cheque]]&gt;0,WEEKNUM(Gastos[[#This Row],[Fecha_Cheque]]),MID(Gastos[[#This Row],[Semana]],6,2))</f>
        <v>27</v>
      </c>
      <c r="O3732" t="s">
        <v>3687</v>
      </c>
      <c r="P3732" t="s">
        <v>27</v>
      </c>
    </row>
    <row r="3733" spans="1:16" hidden="1" x14ac:dyDescent="0.25">
      <c r="A3733" s="3" t="s">
        <v>3641</v>
      </c>
      <c r="B3733" t="s">
        <v>2560</v>
      </c>
      <c r="C3733" t="s">
        <v>3669</v>
      </c>
      <c r="D3733" t="s">
        <v>26</v>
      </c>
      <c r="E3733" t="s">
        <v>31</v>
      </c>
      <c r="F3733">
        <v>1</v>
      </c>
      <c r="G3733" s="3" t="s">
        <v>5</v>
      </c>
      <c r="H3733" s="51" t="s">
        <v>15</v>
      </c>
      <c r="I3733" s="17">
        <v>568023.04000000004</v>
      </c>
      <c r="J3733" s="17">
        <f>IF(Gastos[[#This Row],[Divisa]]="$", I3733*1, IF(Gastos[[#This Row],[Divisa]]="U$D", I3733*$N$1, IF(Gastos[[#This Row],[Divisa]]="EUR", I3733*$N$2, 0)))</f>
        <v>568023.04000000004</v>
      </c>
      <c r="K3733" s="61">
        <f>Gastos[[#This Row],[Importe AR$]]/$N$1</f>
        <v>374.93269966996701</v>
      </c>
      <c r="M3733" s="76"/>
      <c r="N3733" s="50" t="str">
        <f>IF(Gastos[[#This Row],[Fecha_Cheque]]&gt;0,WEEKNUM(Gastos[[#This Row],[Fecha_Cheque]]),MID(Gastos[[#This Row],[Semana]],6,2))</f>
        <v>27</v>
      </c>
      <c r="O3733" t="s">
        <v>3688</v>
      </c>
      <c r="P3733" t="s">
        <v>27</v>
      </c>
    </row>
    <row r="3734" spans="1:16" hidden="1" x14ac:dyDescent="0.25">
      <c r="A3734" s="3" t="s">
        <v>3641</v>
      </c>
      <c r="B3734" t="s">
        <v>2587</v>
      </c>
      <c r="C3734" t="s">
        <v>1948</v>
      </c>
      <c r="D3734" t="s">
        <v>26</v>
      </c>
      <c r="E3734" t="s">
        <v>42</v>
      </c>
      <c r="F3734">
        <v>1</v>
      </c>
      <c r="G3734" s="3" t="s">
        <v>4</v>
      </c>
      <c r="H3734" s="51" t="s">
        <v>15</v>
      </c>
      <c r="I3734" s="17">
        <v>55400</v>
      </c>
      <c r="J3734" s="17">
        <f>IF(Gastos[[#This Row],[Divisa]]="$", I3734*1, IF(Gastos[[#This Row],[Divisa]]="U$D", I3734*$N$1, IF(Gastos[[#This Row],[Divisa]]="EUR", I3734*$N$2, 0)))</f>
        <v>55400</v>
      </c>
      <c r="K3734" s="61">
        <f>Gastos[[#This Row],[Importe AR$]]/$N$1</f>
        <v>36.567656765676567</v>
      </c>
      <c r="M3734" s="76"/>
      <c r="N3734" s="50" t="str">
        <f>IF(Gastos[[#This Row],[Fecha_Cheque]]&gt;0,WEEKNUM(Gastos[[#This Row],[Fecha_Cheque]]),MID(Gastos[[#This Row],[Semana]],6,2))</f>
        <v>27</v>
      </c>
      <c r="O3734" t="s">
        <v>3654</v>
      </c>
      <c r="P3734" t="s">
        <v>27</v>
      </c>
    </row>
    <row r="3735" spans="1:16" hidden="1" x14ac:dyDescent="0.25">
      <c r="A3735" s="3" t="s">
        <v>3641</v>
      </c>
      <c r="B3735" t="s">
        <v>3709</v>
      </c>
      <c r="D3735" t="s">
        <v>26</v>
      </c>
      <c r="E3735" t="s">
        <v>31</v>
      </c>
      <c r="F3735">
        <v>1</v>
      </c>
      <c r="G3735" s="3" t="s">
        <v>5</v>
      </c>
      <c r="H3735" s="51" t="s">
        <v>15</v>
      </c>
      <c r="I3735" s="17">
        <v>140000</v>
      </c>
      <c r="J3735" s="17">
        <f>IF(Gastos[[#This Row],[Divisa]]="$", I3735*1, IF(Gastos[[#This Row],[Divisa]]="U$D", I3735*$N$1, IF(Gastos[[#This Row],[Divisa]]="EUR", I3735*$N$2, 0)))</f>
        <v>140000</v>
      </c>
      <c r="K3735" s="61">
        <f>Gastos[[#This Row],[Importe AR$]]/$N$1</f>
        <v>92.409240924092416</v>
      </c>
      <c r="M3735" s="76"/>
      <c r="N3735" s="50" t="str">
        <f>IF(Gastos[[#This Row],[Fecha_Cheque]]&gt;0,WEEKNUM(Gastos[[#This Row],[Fecha_Cheque]]),MID(Gastos[[#This Row],[Semana]],6,2))</f>
        <v>27</v>
      </c>
      <c r="O3735" t="s">
        <v>3710</v>
      </c>
      <c r="P3735" t="s">
        <v>27</v>
      </c>
    </row>
    <row r="3736" spans="1:16" hidden="1" x14ac:dyDescent="0.25">
      <c r="A3736" s="3" t="s">
        <v>3641</v>
      </c>
      <c r="B3736" t="s">
        <v>3711</v>
      </c>
      <c r="C3736" t="s">
        <v>3712</v>
      </c>
      <c r="D3736" t="s">
        <v>26</v>
      </c>
      <c r="E3736" t="s">
        <v>31</v>
      </c>
      <c r="F3736">
        <v>1</v>
      </c>
      <c r="G3736" s="3" t="s">
        <v>5</v>
      </c>
      <c r="H3736" s="51" t="s">
        <v>15</v>
      </c>
      <c r="I3736" s="17">
        <v>180000</v>
      </c>
      <c r="J3736" s="17">
        <f>IF(Gastos[[#This Row],[Divisa]]="$", I3736*1, IF(Gastos[[#This Row],[Divisa]]="U$D", I3736*$N$1, IF(Gastos[[#This Row],[Divisa]]="EUR", I3736*$N$2, 0)))</f>
        <v>180000</v>
      </c>
      <c r="K3736" s="61">
        <f>Gastos[[#This Row],[Importe AR$]]/$N$1</f>
        <v>118.81188118811882</v>
      </c>
      <c r="M3736" s="76"/>
      <c r="N3736" s="50" t="str">
        <f>IF(Gastos[[#This Row],[Fecha_Cheque]]&gt;0,WEEKNUM(Gastos[[#This Row],[Fecha_Cheque]]),MID(Gastos[[#This Row],[Semana]],6,2))</f>
        <v>27</v>
      </c>
      <c r="O3736" t="s">
        <v>3713</v>
      </c>
      <c r="P3736" t="s">
        <v>27</v>
      </c>
    </row>
    <row r="3737" spans="1:16" x14ac:dyDescent="0.25">
      <c r="A3737" s="3" t="s">
        <v>3990</v>
      </c>
      <c r="B3737" t="s">
        <v>1098</v>
      </c>
      <c r="C3737" t="s">
        <v>3301</v>
      </c>
      <c r="D3737" t="s">
        <v>26</v>
      </c>
      <c r="E3737" t="s">
        <v>62</v>
      </c>
      <c r="F3737">
        <v>1</v>
      </c>
      <c r="G3737" s="3" t="s">
        <v>32</v>
      </c>
      <c r="H3737" s="53" t="s">
        <v>15</v>
      </c>
      <c r="I3737" s="17">
        <f>6718.4*1450</f>
        <v>9741680</v>
      </c>
      <c r="J3737" s="17">
        <f>IF(Gastos[[#This Row],[Divisa]]="$", I3737*1, IF(Gastos[[#This Row],[Divisa]]="U$D", I3737*$N$1, IF(Gastos[[#This Row],[Divisa]]="EUR", I3737*$N$2, 0)))</f>
        <v>9741680</v>
      </c>
      <c r="K3737" s="61">
        <f>Gastos[[#This Row],[Importe AR$]]/$N$1</f>
        <v>6430.151815181518</v>
      </c>
      <c r="M3737" s="76"/>
      <c r="N3737" s="50" t="str">
        <f>IF(Gastos[[#This Row],[Fecha_Cheque]]&gt;0,WEEKNUM(Gastos[[#This Row],[Fecha_Cheque]]),MID(Gastos[[#This Row],[Semana]],6,2))</f>
        <v>32</v>
      </c>
    </row>
    <row r="3738" spans="1:16" hidden="1" x14ac:dyDescent="0.25">
      <c r="A3738" s="3" t="s">
        <v>3842</v>
      </c>
      <c r="B3738" t="s">
        <v>1580</v>
      </c>
      <c r="C3738" t="s">
        <v>3903</v>
      </c>
      <c r="D3738" t="s">
        <v>26</v>
      </c>
      <c r="E3738" t="s">
        <v>42</v>
      </c>
      <c r="F3738">
        <v>2</v>
      </c>
      <c r="G3738" s="3" t="s">
        <v>4</v>
      </c>
      <c r="H3738" s="51" t="s">
        <v>15</v>
      </c>
      <c r="I3738" s="17">
        <v>500000</v>
      </c>
      <c r="J3738" s="17">
        <f>IF(Gastos[[#This Row],[Divisa]]="$", I3738*1, IF(Gastos[[#This Row],[Divisa]]="U$D", I3738*$N$1, IF(Gastos[[#This Row],[Divisa]]="EUR", I3738*$N$2, 0)))</f>
        <v>500000</v>
      </c>
      <c r="K3738" s="61">
        <f>Gastos[[#This Row],[Importe AR$]]/$N$1</f>
        <v>330.03300330033005</v>
      </c>
      <c r="M3738" s="76"/>
      <c r="N3738" s="50" t="str">
        <f>IF(Gastos[[#This Row],[Fecha_Cheque]]&gt;0,WEEKNUM(Gastos[[#This Row],[Fecha_Cheque]]),MID(Gastos[[#This Row],[Semana]],6,2))</f>
        <v>30</v>
      </c>
      <c r="O3738" t="s">
        <v>3904</v>
      </c>
      <c r="P3738" t="s">
        <v>27</v>
      </c>
    </row>
    <row r="3739" spans="1:16" hidden="1" x14ac:dyDescent="0.25">
      <c r="A3739" s="3" t="s">
        <v>3779</v>
      </c>
      <c r="B3739" t="s">
        <v>1967</v>
      </c>
      <c r="C3739" t="s">
        <v>3632</v>
      </c>
      <c r="D3739" t="s">
        <v>26</v>
      </c>
      <c r="E3739" t="s">
        <v>42</v>
      </c>
      <c r="F3739">
        <v>2</v>
      </c>
      <c r="G3739" s="3" t="s">
        <v>32</v>
      </c>
      <c r="H3739" s="51" t="s">
        <v>15</v>
      </c>
      <c r="I3739" s="17">
        <v>802684</v>
      </c>
      <c r="J3739" s="17">
        <f>IF(Gastos[[#This Row],[Divisa]]="$", I3739*1, IF(Gastos[[#This Row],[Divisa]]="U$D", I3739*$N$1, IF(Gastos[[#This Row],[Divisa]]="EUR", I3739*$N$2, 0)))</f>
        <v>802684</v>
      </c>
      <c r="K3739" s="61">
        <f>Gastos[[#This Row],[Importe AR$]]/$N$1</f>
        <v>529.82442244224421</v>
      </c>
      <c r="M3739" s="76">
        <v>46242</v>
      </c>
      <c r="N3739" s="50">
        <f>IF(Gastos[[#This Row],[Fecha_Cheque]]&gt;0,WEEKNUM(Gastos[[#This Row],[Fecha_Cheque]]),MID(Gastos[[#This Row],[Semana]],6,2))</f>
        <v>32</v>
      </c>
      <c r="O3739" t="s">
        <v>3820</v>
      </c>
      <c r="P3739" t="s">
        <v>27</v>
      </c>
    </row>
    <row r="3740" spans="1:16" hidden="1" x14ac:dyDescent="0.25">
      <c r="A3740" s="3" t="s">
        <v>3779</v>
      </c>
      <c r="B3740" t="s">
        <v>1967</v>
      </c>
      <c r="C3740" t="s">
        <v>3632</v>
      </c>
      <c r="D3740" t="s">
        <v>26</v>
      </c>
      <c r="E3740" t="s">
        <v>42</v>
      </c>
      <c r="F3740">
        <v>2</v>
      </c>
      <c r="G3740" s="3" t="s">
        <v>32</v>
      </c>
      <c r="H3740" s="51" t="s">
        <v>15</v>
      </c>
      <c r="I3740" s="17">
        <v>1200000</v>
      </c>
      <c r="J3740" s="17">
        <f>IF(Gastos[[#This Row],[Divisa]]="$", I3740*1, IF(Gastos[[#This Row],[Divisa]]="U$D", I3740*$N$1, IF(Gastos[[#This Row],[Divisa]]="EUR", I3740*$N$2, 0)))</f>
        <v>1200000</v>
      </c>
      <c r="K3740" s="61">
        <f>Gastos[[#This Row],[Importe AR$]]/$N$1</f>
        <v>792.0792079207921</v>
      </c>
      <c r="M3740" s="76">
        <v>46246</v>
      </c>
      <c r="N3740" s="50">
        <f>IF(Gastos[[#This Row],[Fecha_Cheque]]&gt;0,WEEKNUM(Gastos[[#This Row],[Fecha_Cheque]]),MID(Gastos[[#This Row],[Semana]],6,2))</f>
        <v>33</v>
      </c>
      <c r="O3740" t="s">
        <v>3820</v>
      </c>
      <c r="P3740" t="s">
        <v>27</v>
      </c>
    </row>
    <row r="3741" spans="1:16" hidden="1" x14ac:dyDescent="0.25">
      <c r="A3741" s="3" t="s">
        <v>3779</v>
      </c>
      <c r="B3741" t="s">
        <v>1967</v>
      </c>
      <c r="C3741" t="s">
        <v>3632</v>
      </c>
      <c r="D3741" t="s">
        <v>26</v>
      </c>
      <c r="E3741" t="s">
        <v>42</v>
      </c>
      <c r="F3741">
        <v>2</v>
      </c>
      <c r="G3741" s="3" t="s">
        <v>32</v>
      </c>
      <c r="H3741" s="51" t="s">
        <v>15</v>
      </c>
      <c r="I3741" s="17">
        <v>2000000</v>
      </c>
      <c r="J3741" s="17">
        <f>IF(Gastos[[#This Row],[Divisa]]="$", I3741*1, IF(Gastos[[#This Row],[Divisa]]="U$D", I3741*$N$1, IF(Gastos[[#This Row],[Divisa]]="EUR", I3741*$N$2, 0)))</f>
        <v>2000000</v>
      </c>
      <c r="K3741" s="61">
        <f>Gastos[[#This Row],[Importe AR$]]/$N$1</f>
        <v>1320.1320132013202</v>
      </c>
      <c r="M3741" s="76">
        <v>46245</v>
      </c>
      <c r="N3741" s="50">
        <f>IF(Gastos[[#This Row],[Fecha_Cheque]]&gt;0,WEEKNUM(Gastos[[#This Row],[Fecha_Cheque]]),MID(Gastos[[#This Row],[Semana]],6,2))</f>
        <v>33</v>
      </c>
      <c r="O3741" t="s">
        <v>3820</v>
      </c>
      <c r="P3741" t="s">
        <v>27</v>
      </c>
    </row>
    <row r="3742" spans="1:16" hidden="1" x14ac:dyDescent="0.25">
      <c r="A3742" s="3" t="s">
        <v>3718</v>
      </c>
      <c r="B3742" t="s">
        <v>2153</v>
      </c>
      <c r="C3742" t="s">
        <v>155</v>
      </c>
      <c r="D3742" t="s">
        <v>26</v>
      </c>
      <c r="E3742" t="s">
        <v>42</v>
      </c>
      <c r="F3742">
        <v>1</v>
      </c>
      <c r="G3742" s="3" t="s">
        <v>4</v>
      </c>
      <c r="H3742" s="51" t="s">
        <v>15</v>
      </c>
      <c r="I3742" s="17">
        <v>50000</v>
      </c>
      <c r="J3742" s="17">
        <f>IF(Gastos[[#This Row],[Divisa]]="$", I3742*1, IF(Gastos[[#This Row],[Divisa]]="U$D", I3742*$N$1, IF(Gastos[[#This Row],[Divisa]]="EUR", I3742*$N$2, 0)))</f>
        <v>50000</v>
      </c>
      <c r="K3742" s="61">
        <f>Gastos[[#This Row],[Importe AR$]]/$N$1</f>
        <v>33.003300330033007</v>
      </c>
      <c r="M3742" s="76"/>
      <c r="N3742" s="50" t="str">
        <f>IF(Gastos[[#This Row],[Fecha_Cheque]]&gt;0,WEEKNUM(Gastos[[#This Row],[Fecha_Cheque]]),MID(Gastos[[#This Row],[Semana]],6,2))</f>
        <v>28</v>
      </c>
      <c r="O3742" t="s">
        <v>3724</v>
      </c>
      <c r="P3742" t="s">
        <v>27</v>
      </c>
    </row>
    <row r="3743" spans="1:16" hidden="1" x14ac:dyDescent="0.25">
      <c r="A3743" s="3" t="s">
        <v>3907</v>
      </c>
      <c r="B3743" t="s">
        <v>3978</v>
      </c>
      <c r="C3743" t="s">
        <v>3979</v>
      </c>
      <c r="D3743" t="s">
        <v>26</v>
      </c>
      <c r="E3743" t="s">
        <v>42</v>
      </c>
      <c r="F3743">
        <v>2</v>
      </c>
      <c r="G3743" s="3" t="s">
        <v>4</v>
      </c>
      <c r="H3743" s="51" t="s">
        <v>15</v>
      </c>
      <c r="I3743" s="17">
        <v>85000</v>
      </c>
      <c r="J3743" s="17">
        <f>IF(Gastos[[#This Row],[Divisa]]="$", I3743*1, IF(Gastos[[#This Row],[Divisa]]="U$D", I3743*$N$1, IF(Gastos[[#This Row],[Divisa]]="EUR", I3743*$N$2, 0)))</f>
        <v>85000</v>
      </c>
      <c r="K3743" s="61">
        <f>Gastos[[#This Row],[Importe AR$]]/$N$1</f>
        <v>56.105610561056103</v>
      </c>
      <c r="M3743" s="76"/>
      <c r="N3743" s="50" t="str">
        <f>IF(Gastos[[#This Row],[Fecha_Cheque]]&gt;0,WEEKNUM(Gastos[[#This Row],[Fecha_Cheque]]),MID(Gastos[[#This Row],[Semana]],6,2))</f>
        <v>31</v>
      </c>
      <c r="O3743" t="s">
        <v>3980</v>
      </c>
      <c r="P3743" t="s">
        <v>27</v>
      </c>
    </row>
    <row r="3744" spans="1:16" x14ac:dyDescent="0.25">
      <c r="A3744" s="3" t="s">
        <v>3990</v>
      </c>
      <c r="B3744" t="s">
        <v>1110</v>
      </c>
      <c r="C3744" t="s">
        <v>1115</v>
      </c>
      <c r="D3744" t="s">
        <v>26</v>
      </c>
      <c r="E3744" t="s">
        <v>62</v>
      </c>
      <c r="F3744">
        <v>1</v>
      </c>
      <c r="G3744" s="3" t="s">
        <v>32</v>
      </c>
      <c r="H3744" s="53" t="s">
        <v>15</v>
      </c>
      <c r="I3744" s="17">
        <v>512979.5</v>
      </c>
      <c r="J3744" s="17">
        <f>IF(Gastos[[#This Row],[Divisa]]="$", I3744*1, IF(Gastos[[#This Row],[Divisa]]="U$D", I3744*$N$1, IF(Gastos[[#This Row],[Divisa]]="EUR", I3744*$N$2, 0)))</f>
        <v>512979.5</v>
      </c>
      <c r="K3744" s="61">
        <f>Gastos[[#This Row],[Importe AR$]]/$N$1</f>
        <v>338.60033003300327</v>
      </c>
      <c r="M3744" s="76"/>
      <c r="N3744" s="50" t="str">
        <f>IF(Gastos[[#This Row],[Fecha_Cheque]]&gt;0,WEEKNUM(Gastos[[#This Row],[Fecha_Cheque]]),MID(Gastos[[#This Row],[Semana]],6,2))</f>
        <v>32</v>
      </c>
    </row>
    <row r="3745" spans="1:16" hidden="1" x14ac:dyDescent="0.25">
      <c r="A3745" s="3" t="s">
        <v>3718</v>
      </c>
      <c r="B3745" t="s">
        <v>2153</v>
      </c>
      <c r="C3745" t="s">
        <v>155</v>
      </c>
      <c r="D3745" t="s">
        <v>26</v>
      </c>
      <c r="E3745" t="s">
        <v>42</v>
      </c>
      <c r="F3745">
        <v>1</v>
      </c>
      <c r="G3745" s="3" t="s">
        <v>4</v>
      </c>
      <c r="H3745" s="51" t="s">
        <v>15</v>
      </c>
      <c r="I3745" s="17">
        <v>80000</v>
      </c>
      <c r="J3745" s="17">
        <f>IF(Gastos[[#This Row],[Divisa]]="$", I3745*1, IF(Gastos[[#This Row],[Divisa]]="U$D", I3745*$N$1, IF(Gastos[[#This Row],[Divisa]]="EUR", I3745*$N$2, 0)))</f>
        <v>80000</v>
      </c>
      <c r="K3745" s="61">
        <f>Gastos[[#This Row],[Importe AR$]]/$N$1</f>
        <v>52.805280528052805</v>
      </c>
      <c r="M3745" s="76"/>
      <c r="N3745" s="50" t="str">
        <f>IF(Gastos[[#This Row],[Fecha_Cheque]]&gt;0,WEEKNUM(Gastos[[#This Row],[Fecha_Cheque]]),MID(Gastos[[#This Row],[Semana]],6,2))</f>
        <v>28</v>
      </c>
      <c r="O3745" t="s">
        <v>3742</v>
      </c>
      <c r="P3745" t="s">
        <v>27</v>
      </c>
    </row>
    <row r="3746" spans="1:16" hidden="1" x14ac:dyDescent="0.25">
      <c r="A3746" s="3" t="s">
        <v>3907</v>
      </c>
      <c r="B3746" t="s">
        <v>3965</v>
      </c>
      <c r="C3746" t="s">
        <v>1211</v>
      </c>
      <c r="D3746" t="s">
        <v>26</v>
      </c>
      <c r="E3746" t="s">
        <v>42</v>
      </c>
      <c r="F3746">
        <v>1</v>
      </c>
      <c r="G3746" s="3" t="s">
        <v>4</v>
      </c>
      <c r="H3746" s="51" t="s">
        <v>15</v>
      </c>
      <c r="I3746" s="17">
        <v>45592</v>
      </c>
      <c r="J3746" s="17">
        <f>IF(Gastos[[#This Row],[Divisa]]="$", I3746*1, IF(Gastos[[#This Row],[Divisa]]="U$D", I3746*$N$1, IF(Gastos[[#This Row],[Divisa]]="EUR", I3746*$N$2, 0)))</f>
        <v>45592</v>
      </c>
      <c r="K3746" s="61">
        <f>Gastos[[#This Row],[Importe AR$]]/$N$1</f>
        <v>30.093729372937293</v>
      </c>
      <c r="M3746" s="76"/>
      <c r="N3746" s="50" t="str">
        <f>IF(Gastos[[#This Row],[Fecha_Cheque]]&gt;0,WEEKNUM(Gastos[[#This Row],[Fecha_Cheque]]),MID(Gastos[[#This Row],[Semana]],6,2))</f>
        <v>31</v>
      </c>
      <c r="O3746" t="s">
        <v>3966</v>
      </c>
      <c r="P3746" t="s">
        <v>27</v>
      </c>
    </row>
    <row r="3747" spans="1:16" hidden="1" x14ac:dyDescent="0.25">
      <c r="A3747" s="3" t="s">
        <v>3842</v>
      </c>
      <c r="B3747" t="s">
        <v>1644</v>
      </c>
      <c r="C3747" t="s">
        <v>1645</v>
      </c>
      <c r="D3747" t="s">
        <v>26</v>
      </c>
      <c r="E3747" t="s">
        <v>62</v>
      </c>
      <c r="F3747">
        <v>1</v>
      </c>
      <c r="G3747" s="3" t="s">
        <v>32</v>
      </c>
      <c r="H3747" s="53" t="s">
        <v>15</v>
      </c>
      <c r="I3747" s="17">
        <v>2618474.5299999998</v>
      </c>
      <c r="J3747" s="17">
        <f>IF(Gastos[[#This Row],[Divisa]]="$", I3747*1, IF(Gastos[[#This Row],[Divisa]]="U$D", I3747*$N$1, IF(Gastos[[#This Row],[Divisa]]="EUR", I3747*$N$2, 0)))</f>
        <v>2618474.5299999998</v>
      </c>
      <c r="K3747" s="61">
        <f>Gastos[[#This Row],[Importe AR$]]/$N$1</f>
        <v>1728.36602640264</v>
      </c>
      <c r="M3747" s="76">
        <v>46273</v>
      </c>
      <c r="N3747" s="50">
        <f>IF(Gastos[[#This Row],[Fecha_Cheque]]&gt;0,WEEKNUM(Gastos[[#This Row],[Fecha_Cheque]]),MID(Gastos[[#This Row],[Semana]],6,2))</f>
        <v>37</v>
      </c>
      <c r="O3747" t="s">
        <v>3868</v>
      </c>
      <c r="P3747" t="s">
        <v>27</v>
      </c>
    </row>
    <row r="3748" spans="1:16" hidden="1" x14ac:dyDescent="0.25">
      <c r="A3748" s="3" t="s">
        <v>3842</v>
      </c>
      <c r="B3748" t="s">
        <v>1644</v>
      </c>
      <c r="C3748" t="s">
        <v>1645</v>
      </c>
      <c r="D3748" t="s">
        <v>26</v>
      </c>
      <c r="E3748" t="s">
        <v>62</v>
      </c>
      <c r="F3748">
        <v>1</v>
      </c>
      <c r="G3748" s="3" t="s">
        <v>32</v>
      </c>
      <c r="H3748" s="53" t="s">
        <v>15</v>
      </c>
      <c r="I3748" s="17">
        <v>42913.2</v>
      </c>
      <c r="J3748" s="17">
        <f>IF(Gastos[[#This Row],[Divisa]]="$", I3748*1, IF(Gastos[[#This Row],[Divisa]]="U$D", I3748*$N$1, IF(Gastos[[#This Row],[Divisa]]="EUR", I3748*$N$2, 0)))</f>
        <v>42913.2</v>
      </c>
      <c r="K3748" s="61">
        <f>Gastos[[#This Row],[Importe AR$]]/$N$1</f>
        <v>28.325544554455444</v>
      </c>
      <c r="L3748" t="s">
        <v>340</v>
      </c>
      <c r="M3748" s="76"/>
      <c r="N3748" s="50" t="str">
        <f>IF(Gastos[[#This Row],[Fecha_Cheque]]&gt;0,WEEKNUM(Gastos[[#This Row],[Fecha_Cheque]]),MID(Gastos[[#This Row],[Semana]],6,2))</f>
        <v>30</v>
      </c>
      <c r="O3748" t="s">
        <v>3868</v>
      </c>
      <c r="P3748" t="s">
        <v>27</v>
      </c>
    </row>
    <row r="3749" spans="1:16" x14ac:dyDescent="0.25">
      <c r="A3749" s="3" t="s">
        <v>3990</v>
      </c>
      <c r="B3749" t="s">
        <v>1128</v>
      </c>
      <c r="C3749" t="s">
        <v>1089</v>
      </c>
      <c r="D3749" t="s">
        <v>26</v>
      </c>
      <c r="E3749" t="s">
        <v>62</v>
      </c>
      <c r="F3749">
        <v>1</v>
      </c>
      <c r="G3749" s="3" t="s">
        <v>32</v>
      </c>
      <c r="H3749" s="53" t="s">
        <v>15</v>
      </c>
      <c r="I3749" s="17">
        <v>0</v>
      </c>
      <c r="J3749" s="17">
        <f>IF(Gastos[[#This Row],[Divisa]]="$", I3749*1, IF(Gastos[[#This Row],[Divisa]]="U$D", I3749*$N$1, IF(Gastos[[#This Row],[Divisa]]="EUR", I3749*$N$2, 0)))</f>
        <v>0</v>
      </c>
      <c r="K3749" s="61">
        <f>Gastos[[#This Row],[Importe AR$]]/$N$1</f>
        <v>0</v>
      </c>
      <c r="M3749" s="76"/>
      <c r="N3749" s="50" t="str">
        <f>IF(Gastos[[#This Row],[Fecha_Cheque]]&gt;0,WEEKNUM(Gastos[[#This Row],[Fecha_Cheque]]),MID(Gastos[[#This Row],[Semana]],6,2))</f>
        <v>32</v>
      </c>
    </row>
    <row r="3750" spans="1:16" hidden="1" x14ac:dyDescent="0.25">
      <c r="A3750" s="3" t="s">
        <v>3842</v>
      </c>
      <c r="B3750" t="s">
        <v>2652</v>
      </c>
      <c r="C3750" t="s">
        <v>3790</v>
      </c>
      <c r="D3750" t="s">
        <v>26</v>
      </c>
      <c r="E3750" t="s">
        <v>42</v>
      </c>
      <c r="F3750">
        <v>2</v>
      </c>
      <c r="G3750" s="3" t="s">
        <v>4</v>
      </c>
      <c r="H3750" s="51" t="s">
        <v>15</v>
      </c>
      <c r="I3750" s="17">
        <v>500000</v>
      </c>
      <c r="J3750" s="17">
        <f>IF(Gastos[[#This Row],[Divisa]]="$", I3750*1, IF(Gastos[[#This Row],[Divisa]]="U$D", I3750*$N$1, IF(Gastos[[#This Row],[Divisa]]="EUR", I3750*$N$2, 0)))</f>
        <v>500000</v>
      </c>
      <c r="K3750" s="61">
        <f>Gastos[[#This Row],[Importe AR$]]/$N$1</f>
        <v>330.03300330033005</v>
      </c>
      <c r="M3750" s="76"/>
      <c r="N3750" s="50" t="str">
        <f>IF(Gastos[[#This Row],[Fecha_Cheque]]&gt;0,WEEKNUM(Gastos[[#This Row],[Fecha_Cheque]]),MID(Gastos[[#This Row],[Semana]],6,2))</f>
        <v>30</v>
      </c>
      <c r="O3750" t="s">
        <v>3900</v>
      </c>
      <c r="P3750" t="s">
        <v>27</v>
      </c>
    </row>
    <row r="3751" spans="1:16" hidden="1" x14ac:dyDescent="0.25">
      <c r="A3751" s="3" t="s">
        <v>3718</v>
      </c>
      <c r="B3751" t="s">
        <v>2198</v>
      </c>
      <c r="C3751" t="s">
        <v>3273</v>
      </c>
      <c r="D3751" t="s">
        <v>26</v>
      </c>
      <c r="E3751" t="s">
        <v>31</v>
      </c>
      <c r="F3751">
        <v>2</v>
      </c>
      <c r="G3751" s="3" t="s">
        <v>32</v>
      </c>
      <c r="H3751" s="51" t="s">
        <v>15</v>
      </c>
      <c r="I3751" s="17">
        <v>2726733</v>
      </c>
      <c r="J3751" s="17">
        <f>IF(Gastos[[#This Row],[Divisa]]="$", I3751*1, IF(Gastos[[#This Row],[Divisa]]="U$D", I3751*$N$1, IF(Gastos[[#This Row],[Divisa]]="EUR", I3751*$N$2, 0)))</f>
        <v>2726733</v>
      </c>
      <c r="K3751" s="61">
        <f>Gastos[[#This Row],[Importe AR$]]/$N$1</f>
        <v>1799.8237623762377</v>
      </c>
      <c r="M3751" s="76">
        <v>46258</v>
      </c>
      <c r="N3751" s="50">
        <f>IF(Gastos[[#This Row],[Fecha_Cheque]]&gt;0,WEEKNUM(Gastos[[#This Row],[Fecha_Cheque]]),MID(Gastos[[#This Row],[Semana]],6,2))</f>
        <v>35</v>
      </c>
      <c r="O3751" t="s">
        <v>3733</v>
      </c>
      <c r="P3751" t="s">
        <v>27</v>
      </c>
    </row>
    <row r="3752" spans="1:16" hidden="1" x14ac:dyDescent="0.25">
      <c r="A3752" s="3" t="s">
        <v>3718</v>
      </c>
      <c r="B3752" t="s">
        <v>2198</v>
      </c>
      <c r="C3752" t="s">
        <v>3273</v>
      </c>
      <c r="D3752" t="s">
        <v>26</v>
      </c>
      <c r="E3752" t="s">
        <v>42</v>
      </c>
      <c r="F3752">
        <v>2</v>
      </c>
      <c r="G3752" s="3" t="s">
        <v>4</v>
      </c>
      <c r="H3752" s="51" t="s">
        <v>15</v>
      </c>
      <c r="I3752" s="17">
        <v>249167</v>
      </c>
      <c r="J3752" s="17">
        <f>IF(Gastos[[#This Row],[Divisa]]="$", I3752*1, IF(Gastos[[#This Row],[Divisa]]="U$D", I3752*$N$1, IF(Gastos[[#This Row],[Divisa]]="EUR", I3752*$N$2, 0)))</f>
        <v>249167</v>
      </c>
      <c r="K3752" s="61">
        <f>Gastos[[#This Row],[Importe AR$]]/$N$1</f>
        <v>164.46666666666667</v>
      </c>
      <c r="M3752" s="76"/>
      <c r="N3752" s="50" t="str">
        <f>IF(Gastos[[#This Row],[Fecha_Cheque]]&gt;0,WEEKNUM(Gastos[[#This Row],[Fecha_Cheque]]),MID(Gastos[[#This Row],[Semana]],6,2))</f>
        <v>28</v>
      </c>
      <c r="O3752" t="s">
        <v>3733</v>
      </c>
      <c r="P3752" t="s">
        <v>27</v>
      </c>
    </row>
    <row r="3753" spans="1:16" hidden="1" x14ac:dyDescent="0.25">
      <c r="A3753" s="3" t="s">
        <v>3779</v>
      </c>
      <c r="B3753" t="s">
        <v>3051</v>
      </c>
      <c r="C3753" t="s">
        <v>2667</v>
      </c>
      <c r="D3753" t="s">
        <v>26</v>
      </c>
      <c r="E3753" t="s">
        <v>132</v>
      </c>
      <c r="F3753">
        <v>2</v>
      </c>
      <c r="G3753" s="3" t="s">
        <v>32</v>
      </c>
      <c r="H3753" s="51" t="s">
        <v>15</v>
      </c>
      <c r="I3753" s="17">
        <v>335749</v>
      </c>
      <c r="J3753" s="17">
        <f>IF(Gastos[[#This Row],[Divisa]]="$", I3753*1, IF(Gastos[[#This Row],[Divisa]]="U$D", I3753*$N$1, IF(Gastos[[#This Row],[Divisa]]="EUR", I3753*$N$2, 0)))</f>
        <v>335749</v>
      </c>
      <c r="K3753" s="61">
        <f>Gastos[[#This Row],[Importe AR$]]/$N$1</f>
        <v>221.61650165016502</v>
      </c>
      <c r="M3753" s="76">
        <v>46198</v>
      </c>
      <c r="N3753" s="50">
        <f>IF(Gastos[[#This Row],[Fecha_Cheque]]&gt;0,WEEKNUM(Gastos[[#This Row],[Fecha_Cheque]]),MID(Gastos[[#This Row],[Semana]],6,2))</f>
        <v>26</v>
      </c>
      <c r="O3753" t="s">
        <v>3802</v>
      </c>
      <c r="P3753" t="s">
        <v>27</v>
      </c>
    </row>
    <row r="3754" spans="1:16" hidden="1" x14ac:dyDescent="0.25">
      <c r="A3754" s="3" t="s">
        <v>3779</v>
      </c>
      <c r="B3754" t="s">
        <v>3051</v>
      </c>
      <c r="C3754" t="s">
        <v>2667</v>
      </c>
      <c r="D3754" t="s">
        <v>26</v>
      </c>
      <c r="E3754" t="s">
        <v>132</v>
      </c>
      <c r="F3754">
        <v>2</v>
      </c>
      <c r="G3754" s="3" t="s">
        <v>32</v>
      </c>
      <c r="H3754" s="51" t="s">
        <v>15</v>
      </c>
      <c r="I3754" s="17">
        <v>1000000</v>
      </c>
      <c r="J3754" s="17">
        <f>IF(Gastos[[#This Row],[Divisa]]="$", I3754*1, IF(Gastos[[#This Row],[Divisa]]="U$D", I3754*$N$1, IF(Gastos[[#This Row],[Divisa]]="EUR", I3754*$N$2, 0)))</f>
        <v>1000000</v>
      </c>
      <c r="K3754" s="61">
        <f>Gastos[[#This Row],[Importe AR$]]/$N$1</f>
        <v>660.0660066006601</v>
      </c>
      <c r="M3754" s="76">
        <v>46244</v>
      </c>
      <c r="N3754" s="50">
        <f>IF(Gastos[[#This Row],[Fecha_Cheque]]&gt;0,WEEKNUM(Gastos[[#This Row],[Fecha_Cheque]]),MID(Gastos[[#This Row],[Semana]],6,2))</f>
        <v>33</v>
      </c>
      <c r="O3754" t="s">
        <v>3802</v>
      </c>
      <c r="P3754" t="s">
        <v>27</v>
      </c>
    </row>
    <row r="3755" spans="1:16" hidden="1" x14ac:dyDescent="0.25">
      <c r="A3755" s="3" t="s">
        <v>3718</v>
      </c>
      <c r="B3755" t="s">
        <v>2305</v>
      </c>
      <c r="C3755" t="s">
        <v>2306</v>
      </c>
      <c r="D3755" t="s">
        <v>26</v>
      </c>
      <c r="E3755" t="s">
        <v>62</v>
      </c>
      <c r="F3755">
        <v>1</v>
      </c>
      <c r="G3755" s="3" t="s">
        <v>32</v>
      </c>
      <c r="H3755" s="53" t="s">
        <v>15</v>
      </c>
      <c r="I3755" s="17">
        <v>2618473</v>
      </c>
      <c r="J3755" s="17">
        <f>IF(Gastos[[#This Row],[Divisa]]="$", I3755*1, IF(Gastos[[#This Row],[Divisa]]="U$D", I3755*$N$1, IF(Gastos[[#This Row],[Divisa]]="EUR", I3755*$N$2, 0)))</f>
        <v>2618473</v>
      </c>
      <c r="K3755" s="61">
        <f>Gastos[[#This Row],[Importe AR$]]/$N$1</f>
        <v>1728.3650165016502</v>
      </c>
      <c r="M3755" s="76">
        <v>46237</v>
      </c>
      <c r="N3755" s="50">
        <f>IF(Gastos[[#This Row],[Fecha_Cheque]]&gt;0,WEEKNUM(Gastos[[#This Row],[Fecha_Cheque]]),MID(Gastos[[#This Row],[Semana]],6,2))</f>
        <v>32</v>
      </c>
      <c r="O3755" t="s">
        <v>3741</v>
      </c>
      <c r="P3755" t="s">
        <v>27</v>
      </c>
    </row>
    <row r="3756" spans="1:16" hidden="1" x14ac:dyDescent="0.25">
      <c r="A3756" s="3" t="s">
        <v>3718</v>
      </c>
      <c r="B3756" t="s">
        <v>2305</v>
      </c>
      <c r="C3756" t="s">
        <v>2306</v>
      </c>
      <c r="D3756" t="s">
        <v>26</v>
      </c>
      <c r="E3756" t="s">
        <v>62</v>
      </c>
      <c r="F3756">
        <v>1</v>
      </c>
      <c r="G3756" s="3" t="s">
        <v>32</v>
      </c>
      <c r="H3756" s="53" t="s">
        <v>15</v>
      </c>
      <c r="I3756" s="17">
        <v>2618473</v>
      </c>
      <c r="J3756" s="17">
        <f>IF(Gastos[[#This Row],[Divisa]]="$", I3756*1, IF(Gastos[[#This Row],[Divisa]]="U$D", I3756*$N$1, IF(Gastos[[#This Row],[Divisa]]="EUR", I3756*$N$2, 0)))</f>
        <v>2618473</v>
      </c>
      <c r="K3756" s="61">
        <f>Gastos[[#This Row],[Importe AR$]]/$N$1</f>
        <v>1728.3650165016502</v>
      </c>
      <c r="M3756" s="76">
        <v>46234</v>
      </c>
      <c r="N3756" s="50">
        <f>IF(Gastos[[#This Row],[Fecha_Cheque]]&gt;0,WEEKNUM(Gastos[[#This Row],[Fecha_Cheque]]),MID(Gastos[[#This Row],[Semana]],6,2))</f>
        <v>31</v>
      </c>
      <c r="O3756" t="s">
        <v>3741</v>
      </c>
      <c r="P3756" t="s">
        <v>27</v>
      </c>
    </row>
    <row r="3757" spans="1:16" hidden="1" x14ac:dyDescent="0.25">
      <c r="A3757" s="3" t="s">
        <v>3718</v>
      </c>
      <c r="B3757" t="s">
        <v>2305</v>
      </c>
      <c r="C3757" t="s">
        <v>2306</v>
      </c>
      <c r="D3757" t="s">
        <v>26</v>
      </c>
      <c r="E3757" t="s">
        <v>62</v>
      </c>
      <c r="F3757">
        <v>1</v>
      </c>
      <c r="G3757" s="3" t="s">
        <v>32</v>
      </c>
      <c r="H3757" s="53" t="s">
        <v>15</v>
      </c>
      <c r="I3757" s="17">
        <v>85217.69</v>
      </c>
      <c r="J3757" s="17">
        <f>IF(Gastos[[#This Row],[Divisa]]="$", I3757*1, IF(Gastos[[#This Row],[Divisa]]="U$D", I3757*$N$1, IF(Gastos[[#This Row],[Divisa]]="EUR", I3757*$N$2, 0)))</f>
        <v>85217.69</v>
      </c>
      <c r="K3757" s="61">
        <f>Gastos[[#This Row],[Importe AR$]]/$N$1</f>
        <v>56.249300330033002</v>
      </c>
      <c r="L3757" t="s">
        <v>340</v>
      </c>
      <c r="M3757" s="76"/>
      <c r="N3757" s="50" t="str">
        <f>IF(Gastos[[#This Row],[Fecha_Cheque]]&gt;0,WEEKNUM(Gastos[[#This Row],[Fecha_Cheque]]),MID(Gastos[[#This Row],[Semana]],6,2))</f>
        <v>28</v>
      </c>
      <c r="O3757" t="s">
        <v>3741</v>
      </c>
      <c r="P3757" t="s">
        <v>27</v>
      </c>
    </row>
    <row r="3758" spans="1:16" hidden="1" x14ac:dyDescent="0.25">
      <c r="A3758" s="3" t="s">
        <v>3718</v>
      </c>
      <c r="B3758" t="s">
        <v>2355</v>
      </c>
      <c r="C3758" t="s">
        <v>2360</v>
      </c>
      <c r="D3758" t="s">
        <v>26</v>
      </c>
      <c r="E3758" t="s">
        <v>91</v>
      </c>
      <c r="F3758">
        <v>1</v>
      </c>
      <c r="G3758" s="3" t="s">
        <v>32</v>
      </c>
      <c r="H3758" s="51" t="s">
        <v>15</v>
      </c>
      <c r="I3758" s="17">
        <v>2218884.6</v>
      </c>
      <c r="J3758" s="17">
        <f>IF(Gastos[[#This Row],[Divisa]]="$", I3758*1, IF(Gastos[[#This Row],[Divisa]]="U$D", I3758*$N$1, IF(Gastos[[#This Row],[Divisa]]="EUR", I3758*$N$2, 0)))</f>
        <v>2218884.6</v>
      </c>
      <c r="K3758" s="61">
        <f>Gastos[[#This Row],[Importe AR$]]/$N$1</f>
        <v>1464.6102970297031</v>
      </c>
      <c r="M3758" s="76">
        <v>46241</v>
      </c>
      <c r="N3758" s="50">
        <f>IF(Gastos[[#This Row],[Fecha_Cheque]]&gt;0,WEEKNUM(Gastos[[#This Row],[Fecha_Cheque]]),MID(Gastos[[#This Row],[Semana]],6,2))</f>
        <v>32</v>
      </c>
      <c r="O3758" t="s">
        <v>3743</v>
      </c>
      <c r="P3758" t="s">
        <v>27</v>
      </c>
    </row>
    <row r="3759" spans="1:16" hidden="1" x14ac:dyDescent="0.25">
      <c r="A3759" s="3" t="s">
        <v>3718</v>
      </c>
      <c r="B3759" t="s">
        <v>2355</v>
      </c>
      <c r="C3759" t="s">
        <v>2360</v>
      </c>
      <c r="D3759" t="s">
        <v>26</v>
      </c>
      <c r="E3759" t="s">
        <v>91</v>
      </c>
      <c r="F3759">
        <v>1</v>
      </c>
      <c r="G3759" s="3" t="s">
        <v>32</v>
      </c>
      <c r="H3759" s="51" t="s">
        <v>15</v>
      </c>
      <c r="I3759" s="17">
        <v>35926.199999999997</v>
      </c>
      <c r="J3759" s="17">
        <f>IF(Gastos[[#This Row],[Divisa]]="$", I3759*1, IF(Gastos[[#This Row],[Divisa]]="U$D", I3759*$N$1, IF(Gastos[[#This Row],[Divisa]]="EUR", I3759*$N$2, 0)))</f>
        <v>35926.199999999997</v>
      </c>
      <c r="K3759" s="61">
        <f>Gastos[[#This Row],[Importe AR$]]/$N$1</f>
        <v>23.713663366336633</v>
      </c>
      <c r="L3759" t="s">
        <v>340</v>
      </c>
      <c r="M3759" s="76"/>
      <c r="N3759" s="50" t="str">
        <f>IF(Gastos[[#This Row],[Fecha_Cheque]]&gt;0,WEEKNUM(Gastos[[#This Row],[Fecha_Cheque]]),MID(Gastos[[#This Row],[Semana]],6,2))</f>
        <v>28</v>
      </c>
      <c r="O3759" t="s">
        <v>3743</v>
      </c>
      <c r="P3759" t="s">
        <v>27</v>
      </c>
    </row>
    <row r="3760" spans="1:16" hidden="1" x14ac:dyDescent="0.25">
      <c r="A3760" s="3" t="s">
        <v>3779</v>
      </c>
      <c r="B3760" t="s">
        <v>3051</v>
      </c>
      <c r="C3760" t="s">
        <v>2667</v>
      </c>
      <c r="D3760" t="s">
        <v>26</v>
      </c>
      <c r="E3760" t="s">
        <v>132</v>
      </c>
      <c r="F3760">
        <v>2</v>
      </c>
      <c r="G3760" s="3" t="s">
        <v>32</v>
      </c>
      <c r="H3760" s="51" t="s">
        <v>15</v>
      </c>
      <c r="I3760" s="17">
        <v>550000</v>
      </c>
      <c r="J3760" s="17">
        <f>IF(Gastos[[#This Row],[Divisa]]="$", I3760*1, IF(Gastos[[#This Row],[Divisa]]="U$D", I3760*$N$1, IF(Gastos[[#This Row],[Divisa]]="EUR", I3760*$N$2, 0)))</f>
        <v>550000</v>
      </c>
      <c r="K3760" s="61">
        <f>Gastos[[#This Row],[Importe AR$]]/$N$1</f>
        <v>363.03630363036302</v>
      </c>
      <c r="M3760" s="76">
        <v>46193</v>
      </c>
      <c r="N3760" s="50">
        <f>IF(Gastos[[#This Row],[Fecha_Cheque]]&gt;0,WEEKNUM(Gastos[[#This Row],[Fecha_Cheque]]),MID(Gastos[[#This Row],[Semana]],6,2))</f>
        <v>25</v>
      </c>
      <c r="O3760" t="s">
        <v>3802</v>
      </c>
      <c r="P3760" t="s">
        <v>27</v>
      </c>
    </row>
    <row r="3761" spans="1:16" x14ac:dyDescent="0.25">
      <c r="A3761" s="3" t="s">
        <v>3990</v>
      </c>
      <c r="B3761" t="s">
        <v>1163</v>
      </c>
      <c r="C3761" t="s">
        <v>2630</v>
      </c>
      <c r="D3761" t="s">
        <v>26</v>
      </c>
      <c r="E3761" t="s">
        <v>62</v>
      </c>
      <c r="F3761">
        <v>2</v>
      </c>
      <c r="G3761" s="3" t="s">
        <v>32</v>
      </c>
      <c r="H3761" s="53" t="s">
        <v>15</v>
      </c>
      <c r="I3761" s="17">
        <v>162040</v>
      </c>
      <c r="J3761" s="17">
        <f>IF(Gastos[[#This Row],[Divisa]]="$", I3761*1, IF(Gastos[[#This Row],[Divisa]]="U$D", I3761*$N$1, IF(Gastos[[#This Row],[Divisa]]="EUR", I3761*$N$2, 0)))</f>
        <v>162040</v>
      </c>
      <c r="K3761" s="61">
        <f>Gastos[[#This Row],[Importe AR$]]/$N$1</f>
        <v>106.95709570957095</v>
      </c>
      <c r="M3761" s="76"/>
      <c r="N3761" s="50" t="str">
        <f>IF(Gastos[[#This Row],[Fecha_Cheque]]&gt;0,WEEKNUM(Gastos[[#This Row],[Fecha_Cheque]]),MID(Gastos[[#This Row],[Semana]],6,2))</f>
        <v>32</v>
      </c>
    </row>
    <row r="3762" spans="1:16" x14ac:dyDescent="0.25">
      <c r="A3762" s="3" t="s">
        <v>3990</v>
      </c>
      <c r="B3762" t="s">
        <v>3048</v>
      </c>
      <c r="C3762" t="s">
        <v>155</v>
      </c>
      <c r="D3762" t="s">
        <v>26</v>
      </c>
      <c r="E3762" t="s">
        <v>42</v>
      </c>
      <c r="F3762">
        <v>1</v>
      </c>
      <c r="G3762" s="3" t="s">
        <v>4</v>
      </c>
      <c r="H3762" s="53" t="s">
        <v>15</v>
      </c>
      <c r="I3762" s="17">
        <v>80000</v>
      </c>
      <c r="J3762" s="17">
        <f>IF(Gastos[[#This Row],[Divisa]]="$", I3762*1, IF(Gastos[[#This Row],[Divisa]]="U$D", I3762*$N$1, IF(Gastos[[#This Row],[Divisa]]="EUR", I3762*$N$2, 0)))</f>
        <v>80000</v>
      </c>
      <c r="K3762" s="61">
        <f>Gastos[[#This Row],[Importe AR$]]/$N$1</f>
        <v>52.805280528052805</v>
      </c>
      <c r="L3762" s="99"/>
      <c r="M3762" s="100"/>
      <c r="N3762" s="101" t="str">
        <f>IF(Gastos[[#This Row],[Fecha_Cheque]]&gt;0,WEEKNUM(Gastos[[#This Row],[Fecha_Cheque]]),MID(Gastos[[#This Row],[Semana]],6,2))</f>
        <v>32</v>
      </c>
      <c r="O3762" s="99"/>
      <c r="P3762" s="99" t="s">
        <v>3991</v>
      </c>
    </row>
    <row r="3763" spans="1:16" hidden="1" x14ac:dyDescent="0.25">
      <c r="A3763" s="3" t="s">
        <v>3779</v>
      </c>
      <c r="B3763" t="s">
        <v>3051</v>
      </c>
      <c r="C3763" t="s">
        <v>2667</v>
      </c>
      <c r="D3763" t="s">
        <v>26</v>
      </c>
      <c r="E3763" t="s">
        <v>42</v>
      </c>
      <c r="F3763">
        <v>2</v>
      </c>
      <c r="G3763" s="3" t="s">
        <v>4</v>
      </c>
      <c r="H3763" s="51" t="s">
        <v>2</v>
      </c>
      <c r="I3763" s="17">
        <v>800</v>
      </c>
      <c r="J3763" s="17">
        <f>IF(Gastos[[#This Row],[Divisa]]="$", I3763*1, IF(Gastos[[#This Row],[Divisa]]="U$D", I3763*$N$1, IF(Gastos[[#This Row],[Divisa]]="EUR", I3763*$N$2, 0)))</f>
        <v>1212000</v>
      </c>
      <c r="K3763" s="61">
        <f>Gastos[[#This Row],[Importe AR$]]/$N$1</f>
        <v>800</v>
      </c>
      <c r="M3763" s="76"/>
      <c r="N3763" s="50" t="str">
        <f>IF(Gastos[[#This Row],[Fecha_Cheque]]&gt;0,WEEKNUM(Gastos[[#This Row],[Fecha_Cheque]]),MID(Gastos[[#This Row],[Semana]],6,2))</f>
        <v>29</v>
      </c>
      <c r="O3763" t="s">
        <v>3834</v>
      </c>
      <c r="P3763" t="s">
        <v>27</v>
      </c>
    </row>
    <row r="3764" spans="1:16" hidden="1" x14ac:dyDescent="0.25">
      <c r="A3764" s="3" t="s">
        <v>3779</v>
      </c>
      <c r="B3764" t="s">
        <v>3803</v>
      </c>
      <c r="C3764" t="s">
        <v>3804</v>
      </c>
      <c r="D3764" t="s">
        <v>26</v>
      </c>
      <c r="E3764" t="s">
        <v>31</v>
      </c>
      <c r="F3764">
        <v>2</v>
      </c>
      <c r="G3764" s="3" t="s">
        <v>32</v>
      </c>
      <c r="H3764" s="51" t="s">
        <v>15</v>
      </c>
      <c r="I3764" s="17">
        <v>600000</v>
      </c>
      <c r="J3764" s="17">
        <f>IF(Gastos[[#This Row],[Divisa]]="$", I3764*1, IF(Gastos[[#This Row],[Divisa]]="U$D", I3764*$N$1, IF(Gastos[[#This Row],[Divisa]]="EUR", I3764*$N$2, 0)))</f>
        <v>600000</v>
      </c>
      <c r="K3764" s="61">
        <f>Gastos[[#This Row],[Importe AR$]]/$N$1</f>
        <v>396.03960396039605</v>
      </c>
      <c r="M3764" s="76">
        <v>46230</v>
      </c>
      <c r="N3764" s="50">
        <f>IF(Gastos[[#This Row],[Fecha_Cheque]]&gt;0,WEEKNUM(Gastos[[#This Row],[Fecha_Cheque]]),MID(Gastos[[#This Row],[Semana]],6,2))</f>
        <v>31</v>
      </c>
      <c r="O3764" t="s">
        <v>3805</v>
      </c>
      <c r="P3764" t="s">
        <v>27</v>
      </c>
    </row>
    <row r="3765" spans="1:16" hidden="1" x14ac:dyDescent="0.25">
      <c r="A3765" s="3" t="s">
        <v>3779</v>
      </c>
      <c r="B3765" t="s">
        <v>3803</v>
      </c>
      <c r="C3765" t="s">
        <v>3804</v>
      </c>
      <c r="D3765" t="s">
        <v>26</v>
      </c>
      <c r="E3765" t="s">
        <v>42</v>
      </c>
      <c r="F3765">
        <v>2</v>
      </c>
      <c r="G3765" s="3" t="s">
        <v>4</v>
      </c>
      <c r="H3765" s="51" t="s">
        <v>15</v>
      </c>
      <c r="I3765" s="17">
        <v>60000</v>
      </c>
      <c r="J3765" s="17">
        <f>IF(Gastos[[#This Row],[Divisa]]="$", I3765*1, IF(Gastos[[#This Row],[Divisa]]="U$D", I3765*$N$1, IF(Gastos[[#This Row],[Divisa]]="EUR", I3765*$N$2, 0)))</f>
        <v>60000</v>
      </c>
      <c r="K3765" s="61">
        <f>Gastos[[#This Row],[Importe AR$]]/$N$1</f>
        <v>39.603960396039604</v>
      </c>
      <c r="M3765" s="76"/>
      <c r="N3765" s="50" t="str">
        <f>IF(Gastos[[#This Row],[Fecha_Cheque]]&gt;0,WEEKNUM(Gastos[[#This Row],[Fecha_Cheque]]),MID(Gastos[[#This Row],[Semana]],6,2))</f>
        <v>29</v>
      </c>
      <c r="O3765" t="s">
        <v>3805</v>
      </c>
      <c r="P3765" t="s">
        <v>27</v>
      </c>
    </row>
    <row r="3766" spans="1:16" x14ac:dyDescent="0.25">
      <c r="A3766" s="3" t="s">
        <v>3990</v>
      </c>
      <c r="B3766" t="s">
        <v>3048</v>
      </c>
      <c r="C3766" t="s">
        <v>155</v>
      </c>
      <c r="D3766" t="s">
        <v>26</v>
      </c>
      <c r="E3766" t="s">
        <v>42</v>
      </c>
      <c r="F3766">
        <v>1</v>
      </c>
      <c r="G3766" s="3" t="s">
        <v>4</v>
      </c>
      <c r="H3766" s="51" t="s">
        <v>15</v>
      </c>
      <c r="I3766" s="17">
        <v>0</v>
      </c>
      <c r="J3766" s="17">
        <f>IF(Gastos[[#This Row],[Divisa]]="$", I3766*1, IF(Gastos[[#This Row],[Divisa]]="U$D", I3766*$N$1, IF(Gastos[[#This Row],[Divisa]]="EUR", I3766*$N$2, 0)))</f>
        <v>0</v>
      </c>
      <c r="K3766" s="61">
        <f>Gastos[[#This Row],[Importe AR$]]/$N$1</f>
        <v>0</v>
      </c>
      <c r="M3766" s="76"/>
      <c r="N3766" s="50" t="str">
        <f>IF(Gastos[[#This Row],[Fecha_Cheque]]&gt;0,WEEKNUM(Gastos[[#This Row],[Fecha_Cheque]]),MID(Gastos[[#This Row],[Semana]],6,2))</f>
        <v>32</v>
      </c>
    </row>
    <row r="3767" spans="1:16" hidden="1" x14ac:dyDescent="0.25">
      <c r="A3767" s="3" t="s">
        <v>3779</v>
      </c>
      <c r="B3767" t="s">
        <v>3728</v>
      </c>
      <c r="C3767" t="s">
        <v>2667</v>
      </c>
      <c r="D3767" t="s">
        <v>26</v>
      </c>
      <c r="E3767" t="s">
        <v>42</v>
      </c>
      <c r="F3767">
        <v>2</v>
      </c>
      <c r="G3767" s="3" t="s">
        <v>4</v>
      </c>
      <c r="H3767" s="51" t="s">
        <v>15</v>
      </c>
      <c r="I3767" s="17">
        <v>1000000</v>
      </c>
      <c r="J3767" s="17">
        <f>IF(Gastos[[#This Row],[Divisa]]="$", I3767*1, IF(Gastos[[#This Row],[Divisa]]="U$D", I3767*$N$1, IF(Gastos[[#This Row],[Divisa]]="EUR", I3767*$N$2, 0)))</f>
        <v>1000000</v>
      </c>
      <c r="K3767" s="61">
        <f>Gastos[[#This Row],[Importe AR$]]/$N$1</f>
        <v>660.0660066006601</v>
      </c>
      <c r="M3767" s="76"/>
      <c r="N3767" s="50" t="str">
        <f>IF(Gastos[[#This Row],[Fecha_Cheque]]&gt;0,WEEKNUM(Gastos[[#This Row],[Fecha_Cheque]]),MID(Gastos[[#This Row],[Semana]],6,2))</f>
        <v>29</v>
      </c>
      <c r="O3767" t="s">
        <v>3831</v>
      </c>
      <c r="P3767" t="s">
        <v>27</v>
      </c>
    </row>
    <row r="3768" spans="1:16" hidden="1" x14ac:dyDescent="0.25">
      <c r="A3768" s="3" t="s">
        <v>3779</v>
      </c>
      <c r="B3768" t="s">
        <v>3728</v>
      </c>
      <c r="C3768" t="s">
        <v>2667</v>
      </c>
      <c r="D3768" t="s">
        <v>26</v>
      </c>
      <c r="E3768" t="s">
        <v>132</v>
      </c>
      <c r="F3768">
        <v>2</v>
      </c>
      <c r="G3768" s="3" t="s">
        <v>4</v>
      </c>
      <c r="H3768" s="51" t="s">
        <v>15</v>
      </c>
      <c r="I3768" s="17">
        <v>1500000</v>
      </c>
      <c r="J3768" s="17">
        <f>IF(Gastos[[#This Row],[Divisa]]="$", I3768*1, IF(Gastos[[#This Row],[Divisa]]="U$D", I3768*$N$1, IF(Gastos[[#This Row],[Divisa]]="EUR", I3768*$N$2, 0)))</f>
        <v>1500000</v>
      </c>
      <c r="K3768" s="61">
        <f>Gastos[[#This Row],[Importe AR$]]/$N$1</f>
        <v>990.09900990099015</v>
      </c>
      <c r="M3768" s="76">
        <v>46239</v>
      </c>
      <c r="N3768" s="50">
        <f>IF(Gastos[[#This Row],[Fecha_Cheque]]&gt;0,WEEKNUM(Gastos[[#This Row],[Fecha_Cheque]]),MID(Gastos[[#This Row],[Semana]],6,2))</f>
        <v>32</v>
      </c>
      <c r="O3768" t="s">
        <v>3797</v>
      </c>
      <c r="P3768" t="s">
        <v>27</v>
      </c>
    </row>
    <row r="3769" spans="1:16" hidden="1" x14ac:dyDescent="0.25">
      <c r="A3769" s="3" t="s">
        <v>3718</v>
      </c>
      <c r="B3769" t="s">
        <v>2501</v>
      </c>
      <c r="C3769" t="s">
        <v>2010</v>
      </c>
      <c r="D3769" t="s">
        <v>26</v>
      </c>
      <c r="E3769" t="s">
        <v>62</v>
      </c>
      <c r="F3769">
        <v>1</v>
      </c>
      <c r="G3769" s="3" t="s">
        <v>32</v>
      </c>
      <c r="H3769" s="53" t="s">
        <v>15</v>
      </c>
      <c r="I3769" s="17">
        <v>2618473</v>
      </c>
      <c r="J3769" s="17">
        <f>IF(Gastos[[#This Row],[Divisa]]="$", I3769*1, IF(Gastos[[#This Row],[Divisa]]="U$D", I3769*$N$1, IF(Gastos[[#This Row],[Divisa]]="EUR", I3769*$N$2, 0)))</f>
        <v>2618473</v>
      </c>
      <c r="K3769" s="61">
        <f>Gastos[[#This Row],[Importe AR$]]/$N$1</f>
        <v>1728.3650165016502</v>
      </c>
      <c r="M3769" s="76">
        <v>46232</v>
      </c>
      <c r="N3769" s="50">
        <f>IF(Gastos[[#This Row],[Fecha_Cheque]]&gt;0,WEEKNUM(Gastos[[#This Row],[Fecha_Cheque]]),MID(Gastos[[#This Row],[Semana]],6,2))</f>
        <v>31</v>
      </c>
      <c r="O3769" t="s">
        <v>3737</v>
      </c>
      <c r="P3769" t="s">
        <v>27</v>
      </c>
    </row>
    <row r="3770" spans="1:16" hidden="1" x14ac:dyDescent="0.25">
      <c r="A3770" s="3" t="s">
        <v>3718</v>
      </c>
      <c r="B3770" t="s">
        <v>2501</v>
      </c>
      <c r="C3770" t="s">
        <v>2010</v>
      </c>
      <c r="D3770" t="s">
        <v>26</v>
      </c>
      <c r="E3770" t="s">
        <v>62</v>
      </c>
      <c r="F3770">
        <v>1</v>
      </c>
      <c r="G3770" s="3" t="s">
        <v>32</v>
      </c>
      <c r="H3770" s="53" t="s">
        <v>15</v>
      </c>
      <c r="I3770" s="17">
        <v>47889.46</v>
      </c>
      <c r="J3770" s="17">
        <f>IF(Gastos[[#This Row],[Divisa]]="$", I3770*1, IF(Gastos[[#This Row],[Divisa]]="U$D", I3770*$N$1, IF(Gastos[[#This Row],[Divisa]]="EUR", I3770*$N$2, 0)))</f>
        <v>47889.46</v>
      </c>
      <c r="K3770" s="61">
        <f>Gastos[[#This Row],[Importe AR$]]/$N$1</f>
        <v>31.610204620462046</v>
      </c>
      <c r="L3770" t="s">
        <v>340</v>
      </c>
      <c r="M3770" s="76"/>
      <c r="N3770" s="50" t="str">
        <f>IF(Gastos[[#This Row],[Fecha_Cheque]]&gt;0,WEEKNUM(Gastos[[#This Row],[Fecha_Cheque]]),MID(Gastos[[#This Row],[Semana]],6,2))</f>
        <v>28</v>
      </c>
      <c r="O3770" t="s">
        <v>3737</v>
      </c>
      <c r="P3770" t="s">
        <v>27</v>
      </c>
    </row>
    <row r="3771" spans="1:16" hidden="1" x14ac:dyDescent="0.25">
      <c r="A3771" s="3" t="s">
        <v>3779</v>
      </c>
      <c r="B3771" t="s">
        <v>3728</v>
      </c>
      <c r="C3771" t="s">
        <v>2667</v>
      </c>
      <c r="D3771" t="s">
        <v>26</v>
      </c>
      <c r="E3771" t="s">
        <v>132</v>
      </c>
      <c r="F3771">
        <v>2</v>
      </c>
      <c r="G3771" s="3" t="s">
        <v>4</v>
      </c>
      <c r="H3771" s="51" t="s">
        <v>15</v>
      </c>
      <c r="I3771" s="17">
        <v>2416500</v>
      </c>
      <c r="J3771" s="17">
        <f>IF(Gastos[[#This Row],[Divisa]]="$", I3771*1, IF(Gastos[[#This Row],[Divisa]]="U$D", I3771*$N$1, IF(Gastos[[#This Row],[Divisa]]="EUR", I3771*$N$2, 0)))</f>
        <v>2416500</v>
      </c>
      <c r="K3771" s="61">
        <f>Gastos[[#This Row],[Importe AR$]]/$N$1</f>
        <v>1595.049504950495</v>
      </c>
      <c r="M3771" s="76">
        <v>46242</v>
      </c>
      <c r="N3771" s="50">
        <f>IF(Gastos[[#This Row],[Fecha_Cheque]]&gt;0,WEEKNUM(Gastos[[#This Row],[Fecha_Cheque]]),MID(Gastos[[#This Row],[Semana]],6,2))</f>
        <v>32</v>
      </c>
      <c r="O3771" t="s">
        <v>3797</v>
      </c>
      <c r="P3771" t="s">
        <v>27</v>
      </c>
    </row>
    <row r="3772" spans="1:16" hidden="1" x14ac:dyDescent="0.25">
      <c r="A3772" s="3" t="s">
        <v>3907</v>
      </c>
      <c r="B3772" t="s">
        <v>1215</v>
      </c>
      <c r="D3772" t="s">
        <v>26</v>
      </c>
      <c r="E3772" t="s">
        <v>42</v>
      </c>
      <c r="F3772">
        <v>2</v>
      </c>
      <c r="G3772" s="3" t="s">
        <v>4</v>
      </c>
      <c r="H3772" s="51" t="s">
        <v>15</v>
      </c>
      <c r="I3772" s="17">
        <v>250000</v>
      </c>
      <c r="J3772" s="17">
        <f>IF(Gastos[[#This Row],[Divisa]]="$", I3772*1, IF(Gastos[[#This Row],[Divisa]]="U$D", I3772*$N$1, IF(Gastos[[#This Row],[Divisa]]="EUR", I3772*$N$2, 0)))</f>
        <v>250000</v>
      </c>
      <c r="K3772" s="61">
        <f>Gastos[[#This Row],[Importe AR$]]/$N$1</f>
        <v>165.01650165016503</v>
      </c>
      <c r="M3772" s="76"/>
      <c r="N3772" s="50" t="str">
        <f>IF(Gastos[[#This Row],[Fecha_Cheque]]&gt;0,WEEKNUM(Gastos[[#This Row],[Fecha_Cheque]]),MID(Gastos[[#This Row],[Semana]],6,2))</f>
        <v>31</v>
      </c>
      <c r="O3772" t="s">
        <v>3967</v>
      </c>
      <c r="P3772" t="s">
        <v>27</v>
      </c>
    </row>
    <row r="3773" spans="1:16" hidden="1" x14ac:dyDescent="0.25">
      <c r="A3773" s="3" t="s">
        <v>3907</v>
      </c>
      <c r="B3773" t="s">
        <v>3931</v>
      </c>
      <c r="C3773" t="s">
        <v>3932</v>
      </c>
      <c r="D3773" t="s">
        <v>26</v>
      </c>
      <c r="E3773" t="s">
        <v>31</v>
      </c>
      <c r="F3773">
        <v>1</v>
      </c>
      <c r="G3773" s="3" t="s">
        <v>32</v>
      </c>
      <c r="H3773" s="51" t="s">
        <v>15</v>
      </c>
      <c r="I3773" s="17">
        <v>647508.4</v>
      </c>
      <c r="J3773" s="17">
        <f>IF(Gastos[[#This Row],[Divisa]]="$", I3773*1, IF(Gastos[[#This Row],[Divisa]]="U$D", I3773*$N$1, IF(Gastos[[#This Row],[Divisa]]="EUR", I3773*$N$2, 0)))</f>
        <v>647508.4</v>
      </c>
      <c r="K3773" s="61">
        <f>Gastos[[#This Row],[Importe AR$]]/$N$1</f>
        <v>427.39828382838283</v>
      </c>
      <c r="M3773" s="76">
        <v>46246</v>
      </c>
      <c r="N3773" s="50">
        <f>IF(Gastos[[#This Row],[Fecha_Cheque]]&gt;0,WEEKNUM(Gastos[[#This Row],[Fecha_Cheque]]),MID(Gastos[[#This Row],[Semana]],6,2))</f>
        <v>33</v>
      </c>
      <c r="O3773" t="s">
        <v>3933</v>
      </c>
      <c r="P3773" t="s">
        <v>27</v>
      </c>
    </row>
    <row r="3774" spans="1:16" hidden="1" x14ac:dyDescent="0.25">
      <c r="A3774" s="3" t="s">
        <v>3907</v>
      </c>
      <c r="B3774" t="s">
        <v>3931</v>
      </c>
      <c r="C3774" t="s">
        <v>3932</v>
      </c>
      <c r="D3774" t="s">
        <v>26</v>
      </c>
      <c r="E3774" t="s">
        <v>31</v>
      </c>
      <c r="F3774">
        <v>1</v>
      </c>
      <c r="G3774" s="3" t="s">
        <v>32</v>
      </c>
      <c r="H3774" s="51" t="s">
        <v>15</v>
      </c>
      <c r="I3774" s="17">
        <v>6327.3</v>
      </c>
      <c r="J3774" s="17">
        <f>IF(Gastos[[#This Row],[Divisa]]="$", I3774*1, IF(Gastos[[#This Row],[Divisa]]="U$D", I3774*$N$1, IF(Gastos[[#This Row],[Divisa]]="EUR", I3774*$N$2, 0)))</f>
        <v>6327.3</v>
      </c>
      <c r="K3774" s="61">
        <f>Gastos[[#This Row],[Importe AR$]]/$N$1</f>
        <v>4.1764356435643561</v>
      </c>
      <c r="L3774" t="s">
        <v>340</v>
      </c>
      <c r="M3774" s="76"/>
      <c r="N3774" s="50" t="str">
        <f>IF(Gastos[[#This Row],[Fecha_Cheque]]&gt;0,WEEKNUM(Gastos[[#This Row],[Fecha_Cheque]]),MID(Gastos[[#This Row],[Semana]],6,2))</f>
        <v>31</v>
      </c>
      <c r="O3774" t="s">
        <v>3933</v>
      </c>
      <c r="P3774" t="s">
        <v>27</v>
      </c>
    </row>
    <row r="3775" spans="1:16" hidden="1" x14ac:dyDescent="0.25">
      <c r="A3775" s="3" t="s">
        <v>3718</v>
      </c>
      <c r="B3775" t="s">
        <v>2525</v>
      </c>
      <c r="C3775" t="s">
        <v>2527</v>
      </c>
      <c r="D3775" t="s">
        <v>26</v>
      </c>
      <c r="E3775" t="s">
        <v>62</v>
      </c>
      <c r="F3775">
        <v>1</v>
      </c>
      <c r="G3775" s="3" t="s">
        <v>32</v>
      </c>
      <c r="H3775" s="53" t="s">
        <v>15</v>
      </c>
      <c r="I3775" s="17">
        <v>2618473</v>
      </c>
      <c r="J3775" s="17">
        <f>IF(Gastos[[#This Row],[Divisa]]="$", I3775*1, IF(Gastos[[#This Row],[Divisa]]="U$D", I3775*$N$1, IF(Gastos[[#This Row],[Divisa]]="EUR", I3775*$N$2, 0)))</f>
        <v>2618473</v>
      </c>
      <c r="K3775" s="61">
        <f>Gastos[[#This Row],[Importe AR$]]/$N$1</f>
        <v>1728.3650165016502</v>
      </c>
      <c r="M3775" s="76">
        <v>46259</v>
      </c>
      <c r="N3775" s="50">
        <f>IF(Gastos[[#This Row],[Fecha_Cheque]]&gt;0,WEEKNUM(Gastos[[#This Row],[Fecha_Cheque]]),MID(Gastos[[#This Row],[Semana]],6,2))</f>
        <v>35</v>
      </c>
      <c r="O3775" t="s">
        <v>3738</v>
      </c>
      <c r="P3775" t="s">
        <v>27</v>
      </c>
    </row>
    <row r="3776" spans="1:16" hidden="1" x14ac:dyDescent="0.25">
      <c r="A3776" s="3" t="s">
        <v>3718</v>
      </c>
      <c r="B3776" t="s">
        <v>2525</v>
      </c>
      <c r="C3776" t="s">
        <v>2527</v>
      </c>
      <c r="D3776" t="s">
        <v>26</v>
      </c>
      <c r="E3776" t="s">
        <v>62</v>
      </c>
      <c r="F3776">
        <v>1</v>
      </c>
      <c r="G3776" s="3" t="s">
        <v>32</v>
      </c>
      <c r="H3776" s="53" t="s">
        <v>15</v>
      </c>
      <c r="I3776" s="17">
        <v>38800.550000000003</v>
      </c>
      <c r="J3776" s="17">
        <f>IF(Gastos[[#This Row],[Divisa]]="$", I3776*1, IF(Gastos[[#This Row],[Divisa]]="U$D", I3776*$N$1, IF(Gastos[[#This Row],[Divisa]]="EUR", I3776*$N$2, 0)))</f>
        <v>38800.550000000003</v>
      </c>
      <c r="K3776" s="61">
        <f>Gastos[[#This Row],[Importe AR$]]/$N$1</f>
        <v>25.610924092409242</v>
      </c>
      <c r="L3776" t="s">
        <v>340</v>
      </c>
      <c r="M3776" s="76"/>
      <c r="N3776" s="50" t="str">
        <f>IF(Gastos[[#This Row],[Fecha_Cheque]]&gt;0,WEEKNUM(Gastos[[#This Row],[Fecha_Cheque]]),MID(Gastos[[#This Row],[Semana]],6,2))</f>
        <v>28</v>
      </c>
      <c r="O3776" t="s">
        <v>3738</v>
      </c>
      <c r="P3776" t="s">
        <v>27</v>
      </c>
    </row>
    <row r="3777" spans="1:16" hidden="1" x14ac:dyDescent="0.25">
      <c r="A3777" s="3" t="s">
        <v>3718</v>
      </c>
      <c r="B3777" t="s">
        <v>3756</v>
      </c>
      <c r="C3777" t="s">
        <v>1948</v>
      </c>
      <c r="D3777" t="s">
        <v>26</v>
      </c>
      <c r="E3777" t="s">
        <v>42</v>
      </c>
      <c r="F3777">
        <v>1</v>
      </c>
      <c r="G3777" s="3" t="s">
        <v>4</v>
      </c>
      <c r="H3777" s="51" t="s">
        <v>15</v>
      </c>
      <c r="I3777" s="17">
        <v>4800</v>
      </c>
      <c r="J3777" s="17">
        <f>IF(Gastos[[#This Row],[Divisa]]="$", I3777*1, IF(Gastos[[#This Row],[Divisa]]="U$D", I3777*$N$1, IF(Gastos[[#This Row],[Divisa]]="EUR", I3777*$N$2, 0)))</f>
        <v>4800</v>
      </c>
      <c r="K3777" s="61">
        <f>Gastos[[#This Row],[Importe AR$]]/$N$1</f>
        <v>3.1683168316831685</v>
      </c>
      <c r="M3777" s="76"/>
      <c r="N3777" s="50" t="str">
        <f>IF(Gastos[[#This Row],[Fecha_Cheque]]&gt;0,WEEKNUM(Gastos[[#This Row],[Fecha_Cheque]]),MID(Gastos[[#This Row],[Semana]],6,2))</f>
        <v>28</v>
      </c>
      <c r="O3777" t="s">
        <v>3757</v>
      </c>
      <c r="P3777" t="s">
        <v>27</v>
      </c>
    </row>
    <row r="3778" spans="1:16" hidden="1" x14ac:dyDescent="0.25">
      <c r="A3778" s="3" t="s">
        <v>3718</v>
      </c>
      <c r="B3778" t="s">
        <v>2377</v>
      </c>
      <c r="C3778" t="s">
        <v>3781</v>
      </c>
      <c r="D3778" t="s">
        <v>26</v>
      </c>
      <c r="E3778" t="s">
        <v>62</v>
      </c>
      <c r="F3778">
        <v>1</v>
      </c>
      <c r="G3778" s="3" t="s">
        <v>32</v>
      </c>
      <c r="H3778" s="51" t="s">
        <v>15</v>
      </c>
      <c r="I3778" s="17">
        <v>2618473</v>
      </c>
      <c r="J3778" s="17">
        <f>IF(Gastos[[#This Row],[Divisa]]="$", I3778*1, IF(Gastos[[#This Row],[Divisa]]="U$D", I3778*$N$1, IF(Gastos[[#This Row],[Divisa]]="EUR", I3778*$N$2, 0)))</f>
        <v>2618473</v>
      </c>
      <c r="K3778" s="61">
        <f>Gastos[[#This Row],[Importe AR$]]/$N$1</f>
        <v>1728.3650165016502</v>
      </c>
      <c r="M3778" s="76">
        <v>46230</v>
      </c>
      <c r="N3778" s="50">
        <f>IF(Gastos[[#This Row],[Fecha_Cheque]]&gt;0,WEEKNUM(Gastos[[#This Row],[Fecha_Cheque]]),MID(Gastos[[#This Row],[Semana]],6,2))</f>
        <v>31</v>
      </c>
      <c r="O3778" t="s">
        <v>3782</v>
      </c>
      <c r="P3778" t="s">
        <v>27</v>
      </c>
    </row>
    <row r="3779" spans="1:16" hidden="1" x14ac:dyDescent="0.25">
      <c r="A3779" s="3" t="s">
        <v>3718</v>
      </c>
      <c r="B3779" t="s">
        <v>2377</v>
      </c>
      <c r="C3779" t="s">
        <v>3781</v>
      </c>
      <c r="D3779" t="s">
        <v>26</v>
      </c>
      <c r="E3779" t="s">
        <v>62</v>
      </c>
      <c r="F3779">
        <v>1</v>
      </c>
      <c r="G3779" s="3" t="s">
        <v>32</v>
      </c>
      <c r="H3779" s="51" t="s">
        <v>15</v>
      </c>
      <c r="I3779" s="17">
        <v>1148379.3999999999</v>
      </c>
      <c r="J3779" s="17">
        <f>IF(Gastos[[#This Row],[Divisa]]="$", I3779*1, IF(Gastos[[#This Row],[Divisa]]="U$D", I3779*$N$1, IF(Gastos[[#This Row],[Divisa]]="EUR", I3779*$N$2, 0)))</f>
        <v>1148379.3999999999</v>
      </c>
      <c r="K3779" s="61">
        <f>Gastos[[#This Row],[Importe AR$]]/$N$1</f>
        <v>758.00620462046197</v>
      </c>
      <c r="M3779" s="76">
        <v>46231</v>
      </c>
      <c r="N3779" s="50">
        <f>IF(Gastos[[#This Row],[Fecha_Cheque]]&gt;0,WEEKNUM(Gastos[[#This Row],[Fecha_Cheque]]),MID(Gastos[[#This Row],[Semana]],6,2))</f>
        <v>31</v>
      </c>
      <c r="O3779" t="s">
        <v>3782</v>
      </c>
      <c r="P3779" t="s">
        <v>27</v>
      </c>
    </row>
    <row r="3780" spans="1:16" hidden="1" x14ac:dyDescent="0.25">
      <c r="A3780" s="3" t="s">
        <v>3718</v>
      </c>
      <c r="B3780" t="s">
        <v>2377</v>
      </c>
      <c r="C3780" t="s">
        <v>3781</v>
      </c>
      <c r="D3780" t="s">
        <v>26</v>
      </c>
      <c r="E3780" t="s">
        <v>62</v>
      </c>
      <c r="F3780">
        <v>1</v>
      </c>
      <c r="G3780" s="3" t="s">
        <v>32</v>
      </c>
      <c r="H3780" s="51" t="s">
        <v>15</v>
      </c>
      <c r="I3780" s="17">
        <v>57782.02</v>
      </c>
      <c r="J3780" s="17">
        <f>IF(Gastos[[#This Row],[Divisa]]="$", I3780*1, IF(Gastos[[#This Row],[Divisa]]="U$D", I3780*$N$1, IF(Gastos[[#This Row],[Divisa]]="EUR", I3780*$N$2, 0)))</f>
        <v>57782.02</v>
      </c>
      <c r="K3780" s="61">
        <f>Gastos[[#This Row],[Importe AR$]]/$N$1</f>
        <v>38.139947194719468</v>
      </c>
      <c r="L3780" t="s">
        <v>340</v>
      </c>
      <c r="M3780" s="76"/>
      <c r="N3780" s="50" t="str">
        <f>IF(Gastos[[#This Row],[Fecha_Cheque]]&gt;0,WEEKNUM(Gastos[[#This Row],[Fecha_Cheque]]),MID(Gastos[[#This Row],[Semana]],6,2))</f>
        <v>28</v>
      </c>
      <c r="O3780" t="s">
        <v>3782</v>
      </c>
      <c r="P3780" t="s">
        <v>27</v>
      </c>
    </row>
    <row r="3781" spans="1:16" hidden="1" x14ac:dyDescent="0.25">
      <c r="A3781" s="3" t="s">
        <v>3718</v>
      </c>
      <c r="B3781" t="s">
        <v>1914</v>
      </c>
      <c r="C3781" t="s">
        <v>1915</v>
      </c>
      <c r="D3781" t="s">
        <v>26</v>
      </c>
      <c r="E3781" t="s">
        <v>62</v>
      </c>
      <c r="F3781">
        <v>1</v>
      </c>
      <c r="G3781" s="3" t="s">
        <v>32</v>
      </c>
      <c r="H3781" s="51" t="s">
        <v>15</v>
      </c>
      <c r="I3781" s="17">
        <v>8918001.4299999997</v>
      </c>
      <c r="J3781" s="17">
        <f>IF(Gastos[[#This Row],[Divisa]]="$", I3781*1, IF(Gastos[[#This Row],[Divisa]]="U$D", I3781*$N$1, IF(Gastos[[#This Row],[Divisa]]="EUR", I3781*$N$2, 0)))</f>
        <v>8918001.4299999997</v>
      </c>
      <c r="K3781" s="61">
        <f>Gastos[[#This Row],[Importe AR$]]/$N$1</f>
        <v>5886.4695907590758</v>
      </c>
      <c r="M3781" s="76">
        <v>46295</v>
      </c>
      <c r="N3781" s="50">
        <f>IF(Gastos[[#This Row],[Fecha_Cheque]]&gt;0,WEEKNUM(Gastos[[#This Row],[Fecha_Cheque]]),MID(Gastos[[#This Row],[Semana]],6,2))</f>
        <v>40</v>
      </c>
      <c r="O3781" t="s">
        <v>3783</v>
      </c>
      <c r="P3781" t="s">
        <v>27</v>
      </c>
    </row>
    <row r="3782" spans="1:16" hidden="1" x14ac:dyDescent="0.25">
      <c r="A3782" s="3" t="s">
        <v>3718</v>
      </c>
      <c r="B3782" t="s">
        <v>1914</v>
      </c>
      <c r="C3782" t="s">
        <v>1915</v>
      </c>
      <c r="D3782" t="s">
        <v>26</v>
      </c>
      <c r="E3782" t="s">
        <v>62</v>
      </c>
      <c r="F3782">
        <v>1</v>
      </c>
      <c r="G3782" s="3" t="s">
        <v>32</v>
      </c>
      <c r="H3782" s="51" t="s">
        <v>15</v>
      </c>
      <c r="I3782" s="17">
        <v>8918001.4399999995</v>
      </c>
      <c r="J3782" s="17">
        <f>IF(Gastos[[#This Row],[Divisa]]="$", I3782*1, IF(Gastos[[#This Row],[Divisa]]="U$D", I3782*$N$1, IF(Gastos[[#This Row],[Divisa]]="EUR", I3782*$N$2, 0)))</f>
        <v>8918001.4399999995</v>
      </c>
      <c r="K3782" s="61">
        <f>Gastos[[#This Row],[Importe AR$]]/$N$1</f>
        <v>5886.4695973597354</v>
      </c>
      <c r="M3782" s="76">
        <v>46309</v>
      </c>
      <c r="N3782" s="50">
        <f>IF(Gastos[[#This Row],[Fecha_Cheque]]&gt;0,WEEKNUM(Gastos[[#This Row],[Fecha_Cheque]]),MID(Gastos[[#This Row],[Semana]],6,2))</f>
        <v>42</v>
      </c>
      <c r="O3782" t="s">
        <v>3783</v>
      </c>
      <c r="P3782" t="s">
        <v>27</v>
      </c>
    </row>
    <row r="3783" spans="1:16" hidden="1" x14ac:dyDescent="0.25">
      <c r="A3783" s="3" t="s">
        <v>3718</v>
      </c>
      <c r="B3783" t="s">
        <v>1914</v>
      </c>
      <c r="C3783" t="s">
        <v>1915</v>
      </c>
      <c r="D3783" t="s">
        <v>26</v>
      </c>
      <c r="E3783" t="s">
        <v>62</v>
      </c>
      <c r="F3783">
        <v>1</v>
      </c>
      <c r="G3783" s="3" t="s">
        <v>32</v>
      </c>
      <c r="H3783" s="51" t="s">
        <v>15</v>
      </c>
      <c r="I3783" s="17">
        <v>8918001.4299999997</v>
      </c>
      <c r="J3783" s="17">
        <f>IF(Gastos[[#This Row],[Divisa]]="$", I3783*1, IF(Gastos[[#This Row],[Divisa]]="U$D", I3783*$N$1, IF(Gastos[[#This Row],[Divisa]]="EUR", I3783*$N$2, 0)))</f>
        <v>8918001.4299999997</v>
      </c>
      <c r="K3783" s="61">
        <f>Gastos[[#This Row],[Importe AR$]]/$N$1</f>
        <v>5886.4695907590758</v>
      </c>
      <c r="M3783" s="76">
        <v>46302</v>
      </c>
      <c r="N3783" s="50">
        <f>IF(Gastos[[#This Row],[Fecha_Cheque]]&gt;0,WEEKNUM(Gastos[[#This Row],[Fecha_Cheque]]),MID(Gastos[[#This Row],[Semana]],6,2))</f>
        <v>41</v>
      </c>
      <c r="O3783" t="s">
        <v>3783</v>
      </c>
      <c r="P3783" t="s">
        <v>27</v>
      </c>
    </row>
    <row r="3784" spans="1:16" hidden="1" x14ac:dyDescent="0.25">
      <c r="A3784" s="3" t="s">
        <v>3718</v>
      </c>
      <c r="B3784" t="s">
        <v>1914</v>
      </c>
      <c r="C3784" t="s">
        <v>1915</v>
      </c>
      <c r="D3784" t="s">
        <v>26</v>
      </c>
      <c r="E3784" t="s">
        <v>62</v>
      </c>
      <c r="F3784">
        <v>1</v>
      </c>
      <c r="G3784" s="3" t="s">
        <v>32</v>
      </c>
      <c r="H3784" s="51" t="s">
        <v>15</v>
      </c>
      <c r="I3784" s="17">
        <v>8918001.4299999997</v>
      </c>
      <c r="J3784" s="17">
        <f>IF(Gastos[[#This Row],[Divisa]]="$", I3784*1, IF(Gastos[[#This Row],[Divisa]]="U$D", I3784*$N$1, IF(Gastos[[#This Row],[Divisa]]="EUR", I3784*$N$2, 0)))</f>
        <v>8918001.4299999997</v>
      </c>
      <c r="K3784" s="61">
        <f>Gastos[[#This Row],[Importe AR$]]/$N$1</f>
        <v>5886.4695907590758</v>
      </c>
      <c r="M3784" s="76">
        <v>46286</v>
      </c>
      <c r="N3784" s="50">
        <f>IF(Gastos[[#This Row],[Fecha_Cheque]]&gt;0,WEEKNUM(Gastos[[#This Row],[Fecha_Cheque]]),MID(Gastos[[#This Row],[Semana]],6,2))</f>
        <v>39</v>
      </c>
      <c r="O3784" t="s">
        <v>3783</v>
      </c>
      <c r="P3784" t="s">
        <v>27</v>
      </c>
    </row>
    <row r="3785" spans="1:16" hidden="1" x14ac:dyDescent="0.25">
      <c r="A3785" s="3" t="s">
        <v>3718</v>
      </c>
      <c r="B3785" t="s">
        <v>1914</v>
      </c>
      <c r="C3785" t="s">
        <v>1915</v>
      </c>
      <c r="D3785" t="s">
        <v>26</v>
      </c>
      <c r="E3785" t="s">
        <v>62</v>
      </c>
      <c r="F3785">
        <v>1</v>
      </c>
      <c r="G3785" s="3" t="s">
        <v>32</v>
      </c>
      <c r="H3785" s="51" t="s">
        <v>15</v>
      </c>
      <c r="I3785" s="17">
        <v>8918001.4299999997</v>
      </c>
      <c r="J3785" s="17">
        <f>IF(Gastos[[#This Row],[Divisa]]="$", I3785*1, IF(Gastos[[#This Row],[Divisa]]="U$D", I3785*$N$1, IF(Gastos[[#This Row],[Divisa]]="EUR", I3785*$N$2, 0)))</f>
        <v>8918001.4299999997</v>
      </c>
      <c r="K3785" s="61">
        <f>Gastos[[#This Row],[Importe AR$]]/$N$1</f>
        <v>5886.4695907590758</v>
      </c>
      <c r="M3785" s="76">
        <v>46279</v>
      </c>
      <c r="N3785" s="50">
        <f>IF(Gastos[[#This Row],[Fecha_Cheque]]&gt;0,WEEKNUM(Gastos[[#This Row],[Fecha_Cheque]]),MID(Gastos[[#This Row],[Semana]],6,2))</f>
        <v>38</v>
      </c>
      <c r="O3785" t="s">
        <v>3783</v>
      </c>
      <c r="P3785" t="s">
        <v>27</v>
      </c>
    </row>
    <row r="3786" spans="1:16" hidden="1" x14ac:dyDescent="0.25">
      <c r="A3786" s="3" t="s">
        <v>3718</v>
      </c>
      <c r="B3786" t="s">
        <v>1914</v>
      </c>
      <c r="C3786" t="s">
        <v>1915</v>
      </c>
      <c r="D3786" t="s">
        <v>26</v>
      </c>
      <c r="E3786" t="s">
        <v>62</v>
      </c>
      <c r="F3786">
        <v>1</v>
      </c>
      <c r="G3786" s="3" t="s">
        <v>32</v>
      </c>
      <c r="H3786" s="51" t="s">
        <v>15</v>
      </c>
      <c r="I3786" s="17">
        <v>744604.49</v>
      </c>
      <c r="J3786" s="17">
        <f>IF(Gastos[[#This Row],[Divisa]]="$", I3786*1, IF(Gastos[[#This Row],[Divisa]]="U$D", I3786*$N$1, IF(Gastos[[#This Row],[Divisa]]="EUR", I3786*$N$2, 0)))</f>
        <v>744604.49</v>
      </c>
      <c r="K3786" s="61">
        <f>Gastos[[#This Row],[Importe AR$]]/$N$1</f>
        <v>491.48811221122111</v>
      </c>
      <c r="L3786" t="s">
        <v>340</v>
      </c>
      <c r="M3786" s="76"/>
      <c r="N3786" s="50" t="str">
        <f>IF(Gastos[[#This Row],[Fecha_Cheque]]&gt;0,WEEKNUM(Gastos[[#This Row],[Fecha_Cheque]]),MID(Gastos[[#This Row],[Semana]],6,2))</f>
        <v>28</v>
      </c>
      <c r="O3786" t="s">
        <v>3783</v>
      </c>
      <c r="P3786" t="s">
        <v>27</v>
      </c>
    </row>
    <row r="3787" spans="1:16" hidden="1" x14ac:dyDescent="0.25">
      <c r="A3787" s="3" t="s">
        <v>3718</v>
      </c>
      <c r="B3787" t="s">
        <v>1719</v>
      </c>
      <c r="C3787" t="s">
        <v>3418</v>
      </c>
      <c r="D3787" t="s">
        <v>26</v>
      </c>
      <c r="E3787" t="s">
        <v>31</v>
      </c>
      <c r="F3787">
        <v>1</v>
      </c>
      <c r="G3787" s="3" t="s">
        <v>32</v>
      </c>
      <c r="H3787" s="51" t="s">
        <v>15</v>
      </c>
      <c r="I3787" s="17">
        <v>230214.6</v>
      </c>
      <c r="J3787" s="17">
        <f>IF(Gastos[[#This Row],[Divisa]]="$", I3787*1, IF(Gastos[[#This Row],[Divisa]]="U$D", I3787*$N$1, IF(Gastos[[#This Row],[Divisa]]="EUR", I3787*$N$2, 0)))</f>
        <v>230214.6</v>
      </c>
      <c r="K3787" s="61">
        <f>Gastos[[#This Row],[Importe AR$]]/$N$1</f>
        <v>151.95683168316833</v>
      </c>
      <c r="M3787" s="76">
        <v>46244</v>
      </c>
      <c r="N3787" s="50">
        <f>IF(Gastos[[#This Row],[Fecha_Cheque]]&gt;0,WEEKNUM(Gastos[[#This Row],[Fecha_Cheque]]),MID(Gastos[[#This Row],[Semana]],6,2))</f>
        <v>33</v>
      </c>
      <c r="O3787" t="s">
        <v>3784</v>
      </c>
      <c r="P3787" t="s">
        <v>27</v>
      </c>
    </row>
    <row r="3788" spans="1:16" hidden="1" x14ac:dyDescent="0.25">
      <c r="A3788" s="3" t="s">
        <v>3779</v>
      </c>
      <c r="B3788" t="s">
        <v>2153</v>
      </c>
      <c r="C3788" t="s">
        <v>155</v>
      </c>
      <c r="D3788" t="s">
        <v>26</v>
      </c>
      <c r="E3788" t="s">
        <v>42</v>
      </c>
      <c r="F3788">
        <v>1</v>
      </c>
      <c r="G3788" s="3" t="s">
        <v>4</v>
      </c>
      <c r="H3788" s="51" t="s">
        <v>15</v>
      </c>
      <c r="I3788" s="17">
        <v>161000.06</v>
      </c>
      <c r="J3788" s="17">
        <f>IF(Gastos[[#This Row],[Divisa]]="$", I3788*1, IF(Gastos[[#This Row],[Divisa]]="U$D", I3788*$N$1, IF(Gastos[[#This Row],[Divisa]]="EUR", I3788*$N$2, 0)))</f>
        <v>161000.06</v>
      </c>
      <c r="K3788" s="61">
        <f>Gastos[[#This Row],[Importe AR$]]/$N$1</f>
        <v>106.27066666666667</v>
      </c>
      <c r="M3788" s="76"/>
      <c r="N3788" s="50" t="str">
        <f>IF(Gastos[[#This Row],[Fecha_Cheque]]&gt;0,WEEKNUM(Gastos[[#This Row],[Fecha_Cheque]]),MID(Gastos[[#This Row],[Semana]],6,2))</f>
        <v>29</v>
      </c>
      <c r="O3788" t="s">
        <v>3811</v>
      </c>
      <c r="P3788" t="s">
        <v>27</v>
      </c>
    </row>
    <row r="3789" spans="1:16" x14ac:dyDescent="0.25">
      <c r="A3789" s="3" t="s">
        <v>3990</v>
      </c>
      <c r="B3789" t="s">
        <v>3886</v>
      </c>
      <c r="C3789" t="s">
        <v>3887</v>
      </c>
      <c r="D3789" t="s">
        <v>26</v>
      </c>
      <c r="E3789" t="s">
        <v>31</v>
      </c>
      <c r="F3789">
        <v>1</v>
      </c>
      <c r="G3789" s="3" t="s">
        <v>32</v>
      </c>
      <c r="H3789" s="51" t="s">
        <v>15</v>
      </c>
      <c r="I3789" s="17">
        <f>19980000*1.21</f>
        <v>24175800</v>
      </c>
      <c r="J3789" s="17">
        <f>IF(Gastos[[#This Row],[Divisa]]="$", I3789*1, IF(Gastos[[#This Row],[Divisa]]="U$D", I3789*$N$1, IF(Gastos[[#This Row],[Divisa]]="EUR", I3789*$N$2, 0)))</f>
        <v>24175800</v>
      </c>
      <c r="K3789" s="61">
        <f>Gastos[[#This Row],[Importe AR$]]/$N$1</f>
        <v>15957.623762376237</v>
      </c>
      <c r="M3789" s="76"/>
      <c r="N3789" s="50" t="str">
        <f>IF(Gastos[[#This Row],[Fecha_Cheque]]&gt;0,WEEKNUM(Gastos[[#This Row],[Fecha_Cheque]]),MID(Gastos[[#This Row],[Semana]],6,2))</f>
        <v>32</v>
      </c>
    </row>
    <row r="3790" spans="1:16" x14ac:dyDescent="0.25">
      <c r="A3790" s="3" t="s">
        <v>3990</v>
      </c>
      <c r="B3790" t="s">
        <v>1269</v>
      </c>
      <c r="C3790" t="s">
        <v>118</v>
      </c>
      <c r="D3790" t="s">
        <v>26</v>
      </c>
      <c r="E3790" t="s">
        <v>3956</v>
      </c>
      <c r="F3790">
        <v>1</v>
      </c>
      <c r="G3790" s="3" t="s">
        <v>32</v>
      </c>
      <c r="H3790" s="53" t="s">
        <v>2</v>
      </c>
      <c r="I3790" s="17">
        <v>0</v>
      </c>
      <c r="J3790" s="17">
        <f>IF(Gastos[[#This Row],[Divisa]]="$", I3790*1, IF(Gastos[[#This Row],[Divisa]]="U$D", I3790*$N$1, IF(Gastos[[#This Row],[Divisa]]="EUR", I3790*$N$2, 0)))</f>
        <v>0</v>
      </c>
      <c r="K3790" s="61">
        <f>Gastos[[#This Row],[Importe AR$]]/$N$1</f>
        <v>0</v>
      </c>
      <c r="M3790" s="76"/>
      <c r="N3790" s="50" t="str">
        <f>IF(Gastos[[#This Row],[Fecha_Cheque]]&gt;0,WEEKNUM(Gastos[[#This Row],[Fecha_Cheque]]),MID(Gastos[[#This Row],[Semana]],6,2))</f>
        <v>32</v>
      </c>
    </row>
    <row r="3791" spans="1:16" hidden="1" x14ac:dyDescent="0.25">
      <c r="A3791" s="3" t="s">
        <v>3907</v>
      </c>
      <c r="B3791" t="s">
        <v>1314</v>
      </c>
      <c r="C3791" t="s">
        <v>3922</v>
      </c>
      <c r="D3791" t="s">
        <v>26</v>
      </c>
      <c r="E3791" t="s">
        <v>31</v>
      </c>
      <c r="F3791">
        <v>1</v>
      </c>
      <c r="G3791" s="3" t="s">
        <v>5</v>
      </c>
      <c r="H3791" s="51" t="s">
        <v>15</v>
      </c>
      <c r="I3791" s="17">
        <v>249734.48</v>
      </c>
      <c r="J3791" s="17">
        <f>IF(Gastos[[#This Row],[Divisa]]="$", I3791*1, IF(Gastos[[#This Row],[Divisa]]="U$D", I3791*$N$1, IF(Gastos[[#This Row],[Divisa]]="EUR", I3791*$N$2, 0)))</f>
        <v>249734.48</v>
      </c>
      <c r="K3791" s="61">
        <f>Gastos[[#This Row],[Importe AR$]]/$N$1</f>
        <v>164.8412409240924</v>
      </c>
      <c r="M3791" s="76"/>
      <c r="N3791" s="50" t="str">
        <f>IF(Gastos[[#This Row],[Fecha_Cheque]]&gt;0,WEEKNUM(Gastos[[#This Row],[Fecha_Cheque]]),MID(Gastos[[#This Row],[Semana]],6,2))</f>
        <v>31</v>
      </c>
      <c r="O3791" t="s">
        <v>3923</v>
      </c>
      <c r="P3791" t="s">
        <v>27</v>
      </c>
    </row>
    <row r="3792" spans="1:16" hidden="1" x14ac:dyDescent="0.25">
      <c r="A3792" s="3" t="s">
        <v>3842</v>
      </c>
      <c r="B3792" t="s">
        <v>1854</v>
      </c>
      <c r="C3792" t="s">
        <v>3870</v>
      </c>
      <c r="D3792" t="s">
        <v>26</v>
      </c>
      <c r="E3792" t="s">
        <v>42</v>
      </c>
      <c r="F3792">
        <v>2</v>
      </c>
      <c r="G3792" s="3" t="s">
        <v>4</v>
      </c>
      <c r="H3792" s="51" t="s">
        <v>15</v>
      </c>
      <c r="I3792" s="17">
        <v>2000000</v>
      </c>
      <c r="J3792" s="17">
        <f>IF(Gastos[[#This Row],[Divisa]]="$", I3792*1, IF(Gastos[[#This Row],[Divisa]]="U$D", I3792*$N$1, IF(Gastos[[#This Row],[Divisa]]="EUR", I3792*$N$2, 0)))</f>
        <v>2000000</v>
      </c>
      <c r="K3792" s="61">
        <f>Gastos[[#This Row],[Importe AR$]]/$N$1</f>
        <v>1320.1320132013202</v>
      </c>
      <c r="M3792" s="76"/>
      <c r="N3792" s="50" t="str">
        <f>IF(Gastos[[#This Row],[Fecha_Cheque]]&gt;0,WEEKNUM(Gastos[[#This Row],[Fecha_Cheque]]),MID(Gastos[[#This Row],[Semana]],6,2))</f>
        <v>30</v>
      </c>
      <c r="O3792" t="s">
        <v>3893</v>
      </c>
      <c r="P3792" t="s">
        <v>27</v>
      </c>
    </row>
    <row r="3793" spans="1:16" hidden="1" x14ac:dyDescent="0.25">
      <c r="A3793" s="3" t="s">
        <v>3842</v>
      </c>
      <c r="B3793" t="s">
        <v>1854</v>
      </c>
      <c r="C3793" t="s">
        <v>2667</v>
      </c>
      <c r="D3793" t="s">
        <v>26</v>
      </c>
      <c r="E3793" t="s">
        <v>132</v>
      </c>
      <c r="F3793">
        <v>2</v>
      </c>
      <c r="G3793" s="3" t="s">
        <v>32</v>
      </c>
      <c r="H3793" s="51" t="s">
        <v>15</v>
      </c>
      <c r="I3793" s="17">
        <v>1349735</v>
      </c>
      <c r="J3793" s="17">
        <f>IF(Gastos[[#This Row],[Divisa]]="$", I3793*1, IF(Gastos[[#This Row],[Divisa]]="U$D", I3793*$N$1, IF(Gastos[[#This Row],[Divisa]]="EUR", I3793*$N$2, 0)))</f>
        <v>1349735</v>
      </c>
      <c r="K3793" s="61">
        <f>Gastos[[#This Row],[Importe AR$]]/$N$1</f>
        <v>890.91419141914196</v>
      </c>
      <c r="M3793" s="76">
        <v>46246</v>
      </c>
      <c r="N3793" s="50">
        <f>IF(Gastos[[#This Row],[Fecha_Cheque]]&gt;0,WEEKNUM(Gastos[[#This Row],[Fecha_Cheque]]),MID(Gastos[[#This Row],[Semana]],6,2))</f>
        <v>33</v>
      </c>
      <c r="O3793" t="s">
        <v>3892</v>
      </c>
      <c r="P3793" t="s">
        <v>27</v>
      </c>
    </row>
    <row r="3794" spans="1:16" hidden="1" x14ac:dyDescent="0.25">
      <c r="A3794" s="3" t="s">
        <v>3842</v>
      </c>
      <c r="B3794" t="s">
        <v>1854</v>
      </c>
      <c r="C3794" t="s">
        <v>3894</v>
      </c>
      <c r="D3794" t="s">
        <v>26</v>
      </c>
      <c r="E3794" t="s">
        <v>42</v>
      </c>
      <c r="F3794">
        <v>2</v>
      </c>
      <c r="G3794" s="3" t="s">
        <v>4</v>
      </c>
      <c r="H3794" s="51" t="s">
        <v>15</v>
      </c>
      <c r="I3794" s="17">
        <v>2000000</v>
      </c>
      <c r="J3794" s="17">
        <f>IF(Gastos[[#This Row],[Divisa]]="$", I3794*1, IF(Gastos[[#This Row],[Divisa]]="U$D", I3794*$N$1, IF(Gastos[[#This Row],[Divisa]]="EUR", I3794*$N$2, 0)))</f>
        <v>2000000</v>
      </c>
      <c r="K3794" s="61">
        <f>Gastos[[#This Row],[Importe AR$]]/$N$1</f>
        <v>1320.1320132013202</v>
      </c>
      <c r="M3794" s="76"/>
      <c r="N3794" s="50" t="str">
        <f>IF(Gastos[[#This Row],[Fecha_Cheque]]&gt;0,WEEKNUM(Gastos[[#This Row],[Fecha_Cheque]]),MID(Gastos[[#This Row],[Semana]],6,2))</f>
        <v>30</v>
      </c>
      <c r="O3794" t="s">
        <v>3895</v>
      </c>
      <c r="P3794" t="s">
        <v>27</v>
      </c>
    </row>
    <row r="3795" spans="1:16" hidden="1" x14ac:dyDescent="0.25">
      <c r="A3795" s="3" t="s">
        <v>3842</v>
      </c>
      <c r="B3795" t="s">
        <v>1854</v>
      </c>
      <c r="C3795" t="s">
        <v>3870</v>
      </c>
      <c r="D3795" t="s">
        <v>26</v>
      </c>
      <c r="E3795" t="s">
        <v>42</v>
      </c>
      <c r="F3795">
        <v>2</v>
      </c>
      <c r="G3795" s="3" t="s">
        <v>4</v>
      </c>
      <c r="H3795" s="51" t="s">
        <v>15</v>
      </c>
      <c r="I3795" s="17">
        <v>526500</v>
      </c>
      <c r="J3795" s="17">
        <f>IF(Gastos[[#This Row],[Divisa]]="$", I3795*1, IF(Gastos[[#This Row],[Divisa]]="U$D", I3795*$N$1, IF(Gastos[[#This Row],[Divisa]]="EUR", I3795*$N$2, 0)))</f>
        <v>526500</v>
      </c>
      <c r="K3795" s="61">
        <f>Gastos[[#This Row],[Importe AR$]]/$N$1</f>
        <v>347.52475247524751</v>
      </c>
      <c r="M3795" s="76"/>
      <c r="N3795" s="50" t="str">
        <f>IF(Gastos[[#This Row],[Fecha_Cheque]]&gt;0,WEEKNUM(Gastos[[#This Row],[Fecha_Cheque]]),MID(Gastos[[#This Row],[Semana]],6,2))</f>
        <v>30</v>
      </c>
      <c r="O3795" t="s">
        <v>3896</v>
      </c>
      <c r="P3795" t="s">
        <v>27</v>
      </c>
    </row>
    <row r="3796" spans="1:16" hidden="1" x14ac:dyDescent="0.25">
      <c r="A3796" s="3" t="s">
        <v>3907</v>
      </c>
      <c r="B3796" t="s">
        <v>1314</v>
      </c>
      <c r="C3796" t="s">
        <v>3922</v>
      </c>
      <c r="D3796" t="s">
        <v>26</v>
      </c>
      <c r="E3796" t="s">
        <v>31</v>
      </c>
      <c r="F3796">
        <v>1</v>
      </c>
      <c r="G3796" s="3" t="s">
        <v>5</v>
      </c>
      <c r="H3796" s="51" t="s">
        <v>15</v>
      </c>
      <c r="I3796" s="17">
        <v>2831.24</v>
      </c>
      <c r="J3796" s="17">
        <f>IF(Gastos[[#This Row],[Divisa]]="$", I3796*1, IF(Gastos[[#This Row],[Divisa]]="U$D", I3796*$N$1, IF(Gastos[[#This Row],[Divisa]]="EUR", I3796*$N$2, 0)))</f>
        <v>2831.24</v>
      </c>
      <c r="K3796" s="61">
        <f>Gastos[[#This Row],[Importe AR$]]/$N$1</f>
        <v>1.8688052805280526</v>
      </c>
      <c r="L3796" t="s">
        <v>340</v>
      </c>
      <c r="M3796" s="76"/>
      <c r="N3796" s="50" t="str">
        <f>IF(Gastos[[#This Row],[Fecha_Cheque]]&gt;0,WEEKNUM(Gastos[[#This Row],[Fecha_Cheque]]),MID(Gastos[[#This Row],[Semana]],6,2))</f>
        <v>31</v>
      </c>
      <c r="O3796" t="s">
        <v>3923</v>
      </c>
      <c r="P3796" t="s">
        <v>27</v>
      </c>
    </row>
    <row r="3797" spans="1:16" x14ac:dyDescent="0.25">
      <c r="A3797" s="3" t="s">
        <v>3990</v>
      </c>
      <c r="B3797" t="s">
        <v>1298</v>
      </c>
      <c r="C3797" t="s">
        <v>1651</v>
      </c>
      <c r="D3797" t="s">
        <v>26</v>
      </c>
      <c r="E3797" t="s">
        <v>62</v>
      </c>
      <c r="F3797">
        <v>1</v>
      </c>
      <c r="G3797" s="3" t="s">
        <v>32</v>
      </c>
      <c r="H3797" s="51" t="s">
        <v>2</v>
      </c>
      <c r="I3797" s="17">
        <v>67738.342610000007</v>
      </c>
      <c r="J3797" s="17">
        <f>IF(Gastos[[#This Row],[Divisa]]="$", I3797*1, IF(Gastos[[#This Row],[Divisa]]="U$D", I3797*$N$1, IF(Gastos[[#This Row],[Divisa]]="EUR", I3797*$N$2, 0)))</f>
        <v>102623589.05415002</v>
      </c>
      <c r="K3797" s="61">
        <f>Gastos[[#This Row],[Importe AR$]]/$N$1</f>
        <v>67738.342610000007</v>
      </c>
      <c r="L3797">
        <v>67738.342606149337</v>
      </c>
      <c r="M3797" s="76"/>
      <c r="N3797" s="50" t="str">
        <f>IF(Gastos[[#This Row],[Fecha_Cheque]]&gt;0,WEEKNUM(Gastos[[#This Row],[Fecha_Cheque]]),MID(Gastos[[#This Row],[Semana]],6,2))</f>
        <v>32</v>
      </c>
      <c r="P3797" t="s">
        <v>3991</v>
      </c>
    </row>
    <row r="3798" spans="1:16" hidden="1" x14ac:dyDescent="0.25">
      <c r="A3798" s="3" t="s">
        <v>3842</v>
      </c>
      <c r="B3798" t="s">
        <v>1976</v>
      </c>
      <c r="C3798" t="s">
        <v>3873</v>
      </c>
      <c r="D3798" t="s">
        <v>26</v>
      </c>
      <c r="E3798" t="s">
        <v>62</v>
      </c>
      <c r="F3798">
        <v>1</v>
      </c>
      <c r="G3798" s="3" t="s">
        <v>32</v>
      </c>
      <c r="H3798" s="51" t="s">
        <v>15</v>
      </c>
      <c r="I3798" s="17">
        <v>778583.39</v>
      </c>
      <c r="J3798" s="17">
        <f>IF(Gastos[[#This Row],[Divisa]]="$", I3798*1, IF(Gastos[[#This Row],[Divisa]]="U$D", I3798*$N$1, IF(Gastos[[#This Row],[Divisa]]="EUR", I3798*$N$2, 0)))</f>
        <v>778583.39</v>
      </c>
      <c r="K3798" s="61">
        <f>Gastos[[#This Row],[Importe AR$]]/$N$1</f>
        <v>513.91642904290427</v>
      </c>
      <c r="M3798" s="76">
        <v>46262</v>
      </c>
      <c r="N3798" s="50">
        <f>IF(Gastos[[#This Row],[Fecha_Cheque]]&gt;0,WEEKNUM(Gastos[[#This Row],[Fecha_Cheque]]),MID(Gastos[[#This Row],[Semana]],6,2))</f>
        <v>35</v>
      </c>
      <c r="O3798" t="s">
        <v>3874</v>
      </c>
      <c r="P3798" t="s">
        <v>27</v>
      </c>
    </row>
    <row r="3799" spans="1:16" hidden="1" x14ac:dyDescent="0.25">
      <c r="A3799" s="3" t="s">
        <v>3842</v>
      </c>
      <c r="B3799" t="s">
        <v>1976</v>
      </c>
      <c r="C3799" t="s">
        <v>3873</v>
      </c>
      <c r="D3799" t="s">
        <v>26</v>
      </c>
      <c r="E3799" t="s">
        <v>42</v>
      </c>
      <c r="F3799">
        <v>1</v>
      </c>
      <c r="G3799" s="3" t="s">
        <v>4</v>
      </c>
      <c r="H3799" s="51" t="s">
        <v>15</v>
      </c>
      <c r="I3799" s="17">
        <v>157243.72</v>
      </c>
      <c r="J3799" s="17">
        <f>IF(Gastos[[#This Row],[Divisa]]="$", I3799*1, IF(Gastos[[#This Row],[Divisa]]="U$D", I3799*$N$1, IF(Gastos[[#This Row],[Divisa]]="EUR", I3799*$N$2, 0)))</f>
        <v>157243.72</v>
      </c>
      <c r="K3799" s="61">
        <f>Gastos[[#This Row],[Importe AR$]]/$N$1</f>
        <v>103.79123432343235</v>
      </c>
      <c r="M3799" s="76"/>
      <c r="N3799" s="50" t="str">
        <f>IF(Gastos[[#This Row],[Fecha_Cheque]]&gt;0,WEEKNUM(Gastos[[#This Row],[Fecha_Cheque]]),MID(Gastos[[#This Row],[Semana]],6,2))</f>
        <v>30</v>
      </c>
      <c r="O3799" t="s">
        <v>3874</v>
      </c>
      <c r="P3799" t="s">
        <v>27</v>
      </c>
    </row>
    <row r="3800" spans="1:16" hidden="1" x14ac:dyDescent="0.25">
      <c r="A3800" s="3" t="s">
        <v>3842</v>
      </c>
      <c r="B3800" t="s">
        <v>1976</v>
      </c>
      <c r="C3800" t="s">
        <v>3873</v>
      </c>
      <c r="D3800" t="s">
        <v>26</v>
      </c>
      <c r="E3800" t="s">
        <v>62</v>
      </c>
      <c r="F3800">
        <v>1</v>
      </c>
      <c r="G3800" s="3" t="s">
        <v>32</v>
      </c>
      <c r="H3800" s="51" t="s">
        <v>15</v>
      </c>
      <c r="I3800" s="17">
        <v>11172.89</v>
      </c>
      <c r="J3800" s="17">
        <f>IF(Gastos[[#This Row],[Divisa]]="$", I3800*1, IF(Gastos[[#This Row],[Divisa]]="U$D", I3800*$N$1, IF(Gastos[[#This Row],[Divisa]]="EUR", I3800*$N$2, 0)))</f>
        <v>11172.89</v>
      </c>
      <c r="K3800" s="61">
        <f>Gastos[[#This Row],[Importe AR$]]/$N$1</f>
        <v>7.3748448844884482</v>
      </c>
      <c r="M3800" s="76"/>
      <c r="N3800" s="50" t="str">
        <f>IF(Gastos[[#This Row],[Fecha_Cheque]]&gt;0,WEEKNUM(Gastos[[#This Row],[Fecha_Cheque]]),MID(Gastos[[#This Row],[Semana]],6,2))</f>
        <v>30</v>
      </c>
      <c r="O3800" t="s">
        <v>3874</v>
      </c>
      <c r="P3800" t="s">
        <v>27</v>
      </c>
    </row>
    <row r="3801" spans="1:16" x14ac:dyDescent="0.25">
      <c r="A3801" s="3" t="s">
        <v>3990</v>
      </c>
      <c r="B3801" t="s">
        <v>1328</v>
      </c>
      <c r="C3801" t="s">
        <v>118</v>
      </c>
      <c r="D3801" t="s">
        <v>26</v>
      </c>
      <c r="E3801" t="s">
        <v>3956</v>
      </c>
      <c r="F3801">
        <v>1</v>
      </c>
      <c r="G3801" s="3" t="s">
        <v>32</v>
      </c>
      <c r="H3801" s="51" t="s">
        <v>2</v>
      </c>
      <c r="I3801" s="8">
        <v>25354</v>
      </c>
      <c r="J3801" s="17">
        <f>IF(Gastos[[#This Row],[Divisa]]="$", I3801*1, IF(Gastos[[#This Row],[Divisa]]="U$D", I3801*$N$1, IF(Gastos[[#This Row],[Divisa]]="EUR", I3801*$N$2, 0)))</f>
        <v>38411310</v>
      </c>
      <c r="K3801" s="61">
        <f>Gastos[[#This Row],[Importe AR$]]/$N$1</f>
        <v>25354</v>
      </c>
      <c r="L3801" s="8"/>
      <c r="M3801" s="76"/>
      <c r="N3801" s="50" t="str">
        <f>IF(Gastos[[#This Row],[Fecha_Cheque]]&gt;0,WEEKNUM(Gastos[[#This Row],[Fecha_Cheque]]),MID(Gastos[[#This Row],[Semana]],6,2))</f>
        <v>32</v>
      </c>
    </row>
    <row r="3802" spans="1:16" hidden="1" x14ac:dyDescent="0.25">
      <c r="A3802" s="3" t="s">
        <v>3779</v>
      </c>
      <c r="B3802" t="s">
        <v>3405</v>
      </c>
      <c r="C3802" t="s">
        <v>1948</v>
      </c>
      <c r="D3802" t="s">
        <v>26</v>
      </c>
      <c r="E3802" t="s">
        <v>42</v>
      </c>
      <c r="F3802">
        <v>1</v>
      </c>
      <c r="G3802" s="3" t="s">
        <v>4</v>
      </c>
      <c r="H3802" s="51" t="s">
        <v>15</v>
      </c>
      <c r="I3802" s="17">
        <v>20000</v>
      </c>
      <c r="J3802" s="17">
        <f>IF(Gastos[[#This Row],[Divisa]]="$", I3802*1, IF(Gastos[[#This Row],[Divisa]]="U$D", I3802*$N$1, IF(Gastos[[#This Row],[Divisa]]="EUR", I3802*$N$2, 0)))</f>
        <v>20000</v>
      </c>
      <c r="K3802" s="61">
        <f>Gastos[[#This Row],[Importe AR$]]/$N$1</f>
        <v>13.201320132013201</v>
      </c>
      <c r="M3802" s="76"/>
      <c r="N3802" s="50" t="str">
        <f>IF(Gastos[[#This Row],[Fecha_Cheque]]&gt;0,WEEKNUM(Gastos[[#This Row],[Fecha_Cheque]]),MID(Gastos[[#This Row],[Semana]],6,2))</f>
        <v>29</v>
      </c>
      <c r="O3802" t="s">
        <v>3815</v>
      </c>
      <c r="P3802" t="s">
        <v>27</v>
      </c>
    </row>
    <row r="3803" spans="1:16" x14ac:dyDescent="0.25">
      <c r="A3803" s="3" t="s">
        <v>3990</v>
      </c>
      <c r="B3803" t="s">
        <v>1347</v>
      </c>
      <c r="C3803" t="s">
        <v>2096</v>
      </c>
      <c r="D3803" t="s">
        <v>26</v>
      </c>
      <c r="E3803" t="s">
        <v>62</v>
      </c>
      <c r="F3803">
        <v>1</v>
      </c>
      <c r="G3803" s="3" t="s">
        <v>32</v>
      </c>
      <c r="H3803" s="51" t="s">
        <v>15</v>
      </c>
      <c r="I3803" s="17">
        <v>21055900.829999998</v>
      </c>
      <c r="J3803" s="17">
        <f>IF(Gastos[[#This Row],[Divisa]]="$", I3803*1, IF(Gastos[[#This Row],[Divisa]]="U$D", I3803*$N$1, IF(Gastos[[#This Row],[Divisa]]="EUR", I3803*$N$2, 0)))</f>
        <v>21055900.829999998</v>
      </c>
      <c r="K3803" s="61">
        <f>Gastos[[#This Row],[Importe AR$]]/$N$1</f>
        <v>13898.284376237623</v>
      </c>
      <c r="M3803" s="76"/>
      <c r="N3803" s="50" t="str">
        <f>IF(Gastos[[#This Row],[Fecha_Cheque]]&gt;0,WEEKNUM(Gastos[[#This Row],[Fecha_Cheque]]),MID(Gastos[[#This Row],[Semana]],6,2))</f>
        <v>32</v>
      </c>
    </row>
    <row r="3804" spans="1:16" hidden="1" x14ac:dyDescent="0.25">
      <c r="A3804" s="3" t="s">
        <v>3842</v>
      </c>
      <c r="B3804" t="s">
        <v>2002</v>
      </c>
      <c r="C3804" t="s">
        <v>3866</v>
      </c>
      <c r="D3804" t="s">
        <v>26</v>
      </c>
      <c r="E3804" t="s">
        <v>62</v>
      </c>
      <c r="F3804">
        <v>1</v>
      </c>
      <c r="G3804" s="3" t="s">
        <v>32</v>
      </c>
      <c r="H3804" s="51" t="s">
        <v>15</v>
      </c>
      <c r="I3804" s="17">
        <v>987419.2</v>
      </c>
      <c r="J3804" s="17">
        <f>IF(Gastos[[#This Row],[Divisa]]="$", I3804*1, IF(Gastos[[#This Row],[Divisa]]="U$D", I3804*$N$1, IF(Gastos[[#This Row],[Divisa]]="EUR", I3804*$N$2, 0)))</f>
        <v>987419.2</v>
      </c>
      <c r="K3804" s="61">
        <f>Gastos[[#This Row],[Importe AR$]]/$N$1</f>
        <v>651.7618481848184</v>
      </c>
      <c r="M3804" s="76"/>
      <c r="N3804" s="50" t="str">
        <f>IF(Gastos[[#This Row],[Fecha_Cheque]]&gt;0,WEEKNUM(Gastos[[#This Row],[Fecha_Cheque]]),MID(Gastos[[#This Row],[Semana]],6,2))</f>
        <v>30</v>
      </c>
      <c r="O3804" t="s">
        <v>3867</v>
      </c>
      <c r="P3804" t="s">
        <v>27</v>
      </c>
    </row>
    <row r="3805" spans="1:16" hidden="1" x14ac:dyDescent="0.25">
      <c r="A3805" s="3" t="s">
        <v>3842</v>
      </c>
      <c r="B3805" t="s">
        <v>2049</v>
      </c>
      <c r="C3805" t="s">
        <v>2473</v>
      </c>
      <c r="D3805" t="s">
        <v>26</v>
      </c>
      <c r="E3805" t="s">
        <v>62</v>
      </c>
      <c r="F3805">
        <v>1</v>
      </c>
      <c r="G3805" s="3" t="s">
        <v>32</v>
      </c>
      <c r="H3805" s="53" t="s">
        <v>15</v>
      </c>
      <c r="I3805" s="17">
        <v>5112965.3600000003</v>
      </c>
      <c r="J3805" s="17">
        <f>IF(Gastos[[#This Row],[Divisa]]="$", I3805*1, IF(Gastos[[#This Row],[Divisa]]="U$D", I3805*$N$1, IF(Gastos[[#This Row],[Divisa]]="EUR", I3805*$N$2, 0)))</f>
        <v>5112965.3600000003</v>
      </c>
      <c r="K3805" s="61">
        <f>Gastos[[#This Row],[Importe AR$]]/$N$1</f>
        <v>3374.8946270627066</v>
      </c>
      <c r="M3805" s="76">
        <v>46263</v>
      </c>
      <c r="N3805" s="50">
        <f>IF(Gastos[[#This Row],[Fecha_Cheque]]&gt;0,WEEKNUM(Gastos[[#This Row],[Fecha_Cheque]]),MID(Gastos[[#This Row],[Semana]],6,2))</f>
        <v>35</v>
      </c>
      <c r="O3805" t="s">
        <v>3759</v>
      </c>
      <c r="P3805" t="s">
        <v>27</v>
      </c>
    </row>
    <row r="3806" spans="1:16" hidden="1" x14ac:dyDescent="0.25">
      <c r="A3806" s="3" t="s">
        <v>3842</v>
      </c>
      <c r="B3806" t="s">
        <v>2049</v>
      </c>
      <c r="C3806" t="s">
        <v>2473</v>
      </c>
      <c r="D3806" t="s">
        <v>26</v>
      </c>
      <c r="E3806" t="s">
        <v>62</v>
      </c>
      <c r="F3806">
        <v>1</v>
      </c>
      <c r="G3806" s="3" t="s">
        <v>32</v>
      </c>
      <c r="H3806" s="53" t="s">
        <v>15</v>
      </c>
      <c r="I3806" s="17">
        <v>97779.31</v>
      </c>
      <c r="J3806" s="17">
        <f>IF(Gastos[[#This Row],[Divisa]]="$", I3806*1, IF(Gastos[[#This Row],[Divisa]]="U$D", I3806*$N$1, IF(Gastos[[#This Row],[Divisa]]="EUR", I3806*$N$2, 0)))</f>
        <v>97779.31</v>
      </c>
      <c r="K3806" s="61">
        <f>Gastos[[#This Row],[Importe AR$]]/$N$1</f>
        <v>64.54079867986799</v>
      </c>
      <c r="L3806" t="s">
        <v>340</v>
      </c>
      <c r="M3806" s="76"/>
      <c r="N3806" s="50" t="str">
        <f>IF(Gastos[[#This Row],[Fecha_Cheque]]&gt;0,WEEKNUM(Gastos[[#This Row],[Fecha_Cheque]]),MID(Gastos[[#This Row],[Semana]],6,2))</f>
        <v>30</v>
      </c>
      <c r="O3806" t="s">
        <v>3759</v>
      </c>
      <c r="P3806" t="s">
        <v>27</v>
      </c>
    </row>
    <row r="3807" spans="1:16" x14ac:dyDescent="0.25">
      <c r="A3807" s="3" t="s">
        <v>3990</v>
      </c>
      <c r="B3807" t="s">
        <v>1363</v>
      </c>
      <c r="C3807" t="s">
        <v>3346</v>
      </c>
      <c r="D3807" t="s">
        <v>26</v>
      </c>
      <c r="E3807" t="s">
        <v>91</v>
      </c>
      <c r="F3807">
        <v>1</v>
      </c>
      <c r="G3807" s="3" t="s">
        <v>5</v>
      </c>
      <c r="H3807" s="51" t="s">
        <v>15</v>
      </c>
      <c r="I3807" s="17">
        <f>14673*3</f>
        <v>44019</v>
      </c>
      <c r="J3807" s="17">
        <f>IF(Gastos[[#This Row],[Divisa]]="$", I3807*1, IF(Gastos[[#This Row],[Divisa]]="U$D", I3807*$N$1, IF(Gastos[[#This Row],[Divisa]]="EUR", I3807*$N$2, 0)))</f>
        <v>44019</v>
      </c>
      <c r="K3807" s="61">
        <f>Gastos[[#This Row],[Importe AR$]]/$N$1</f>
        <v>29.055445544554455</v>
      </c>
      <c r="M3807" s="76"/>
      <c r="N3807" s="50" t="str">
        <f>IF(Gastos[[#This Row],[Fecha_Cheque]]&gt;0,WEEKNUM(Gastos[[#This Row],[Fecha_Cheque]]),MID(Gastos[[#This Row],[Semana]],6,2))</f>
        <v>32</v>
      </c>
      <c r="P3807" t="s">
        <v>3991</v>
      </c>
    </row>
    <row r="3808" spans="1:16" x14ac:dyDescent="0.25">
      <c r="A3808" s="3" t="s">
        <v>3990</v>
      </c>
      <c r="B3808" t="s">
        <v>1370</v>
      </c>
      <c r="C3808" t="s">
        <v>3920</v>
      </c>
      <c r="D3808" t="s">
        <v>26</v>
      </c>
      <c r="E3808" t="s">
        <v>62</v>
      </c>
      <c r="F3808">
        <v>1</v>
      </c>
      <c r="G3808" s="3" t="s">
        <v>32</v>
      </c>
      <c r="H3808" s="53" t="s">
        <v>15</v>
      </c>
      <c r="I3808" s="17">
        <v>3507894.19</v>
      </c>
      <c r="J3808" s="17">
        <f>IF(Gastos[[#This Row],[Divisa]]="$", I3808*1, IF(Gastos[[#This Row],[Divisa]]="U$D", I3808*$N$1, IF(Gastos[[#This Row],[Divisa]]="EUR", I3808*$N$2, 0)))</f>
        <v>3507894.19</v>
      </c>
      <c r="K3808" s="61">
        <f>Gastos[[#This Row],[Importe AR$]]/$N$1</f>
        <v>2315.4417095709568</v>
      </c>
      <c r="M3808" s="76"/>
      <c r="N3808" s="50" t="str">
        <f>IF(Gastos[[#This Row],[Fecha_Cheque]]&gt;0,WEEKNUM(Gastos[[#This Row],[Fecha_Cheque]]),MID(Gastos[[#This Row],[Semana]],6,2))</f>
        <v>32</v>
      </c>
    </row>
    <row r="3809" spans="1:16" x14ac:dyDescent="0.25">
      <c r="A3809" s="3" t="s">
        <v>3990</v>
      </c>
      <c r="B3809" t="s">
        <v>3149</v>
      </c>
      <c r="C3809" t="s">
        <v>3178</v>
      </c>
      <c r="D3809" t="s">
        <v>26</v>
      </c>
      <c r="E3809" t="s">
        <v>62</v>
      </c>
      <c r="F3809">
        <v>1</v>
      </c>
      <c r="G3809" s="3" t="s">
        <v>32</v>
      </c>
      <c r="H3809" s="51" t="s">
        <v>2</v>
      </c>
      <c r="I3809" s="17">
        <v>3615.48</v>
      </c>
      <c r="J3809" s="17">
        <f>IF(Gastos[[#This Row],[Divisa]]="$", I3809*1, IF(Gastos[[#This Row],[Divisa]]="U$D", I3809*$N$1, IF(Gastos[[#This Row],[Divisa]]="EUR", I3809*$N$2, 0)))</f>
        <v>5477452.2000000002</v>
      </c>
      <c r="K3809" s="61">
        <f>Gastos[[#This Row],[Importe AR$]]/$N$1</f>
        <v>3615.48</v>
      </c>
      <c r="L3809" t="s">
        <v>3351</v>
      </c>
      <c r="M3809" s="76"/>
      <c r="N3809" s="50" t="str">
        <f>IF(Gastos[[#This Row],[Fecha_Cheque]]&gt;0,WEEKNUM(Gastos[[#This Row],[Fecha_Cheque]]),MID(Gastos[[#This Row],[Semana]],6,2))</f>
        <v>32</v>
      </c>
    </row>
    <row r="3810" spans="1:16" hidden="1" x14ac:dyDescent="0.25">
      <c r="A3810" s="3" t="s">
        <v>3779</v>
      </c>
      <c r="B3810" t="s">
        <v>3169</v>
      </c>
      <c r="C3810" t="s">
        <v>3170</v>
      </c>
      <c r="D3810" t="s">
        <v>26</v>
      </c>
      <c r="E3810" t="s">
        <v>42</v>
      </c>
      <c r="F3810">
        <v>1</v>
      </c>
      <c r="G3810" s="3" t="s">
        <v>4</v>
      </c>
      <c r="H3810" s="51" t="s">
        <v>15</v>
      </c>
      <c r="I3810" s="17">
        <v>335000</v>
      </c>
      <c r="J3810" s="17">
        <f>IF(Gastos[[#This Row],[Divisa]]="$", I3810*1, IF(Gastos[[#This Row],[Divisa]]="U$D", I3810*$N$1, IF(Gastos[[#This Row],[Divisa]]="EUR", I3810*$N$2, 0)))</f>
        <v>335000</v>
      </c>
      <c r="K3810" s="61">
        <f>Gastos[[#This Row],[Importe AR$]]/$N$1</f>
        <v>221.12211221122112</v>
      </c>
      <c r="M3810" s="76"/>
      <c r="N3810" s="50" t="str">
        <f>IF(Gastos[[#This Row],[Fecha_Cheque]]&gt;0,WEEKNUM(Gastos[[#This Row],[Fecha_Cheque]]),MID(Gastos[[#This Row],[Semana]],6,2))</f>
        <v>29</v>
      </c>
      <c r="O3810" t="s">
        <v>3830</v>
      </c>
      <c r="P3810" t="s">
        <v>27</v>
      </c>
    </row>
    <row r="3811" spans="1:16" hidden="1" x14ac:dyDescent="0.25">
      <c r="A3811" s="3" t="s">
        <v>3842</v>
      </c>
      <c r="B3811" t="s">
        <v>3051</v>
      </c>
      <c r="C3811" t="s">
        <v>2667</v>
      </c>
      <c r="D3811" t="s">
        <v>26</v>
      </c>
      <c r="E3811" t="s">
        <v>42</v>
      </c>
      <c r="F3811">
        <v>2</v>
      </c>
      <c r="G3811" s="3" t="s">
        <v>4</v>
      </c>
      <c r="H3811" s="51" t="s">
        <v>15</v>
      </c>
      <c r="I3811" s="17">
        <v>500000</v>
      </c>
      <c r="J3811" s="17">
        <f>IF(Gastos[[#This Row],[Divisa]]="$", I3811*1, IF(Gastos[[#This Row],[Divisa]]="U$D", I3811*$N$1, IF(Gastos[[#This Row],[Divisa]]="EUR", I3811*$N$2, 0)))</f>
        <v>500000</v>
      </c>
      <c r="K3811" s="61">
        <f>Gastos[[#This Row],[Importe AR$]]/$N$1</f>
        <v>330.03300330033005</v>
      </c>
      <c r="M3811" s="76"/>
      <c r="N3811" s="50" t="str">
        <f>IF(Gastos[[#This Row],[Fecha_Cheque]]&gt;0,WEEKNUM(Gastos[[#This Row],[Fecha_Cheque]]),MID(Gastos[[#This Row],[Semana]],6,2))</f>
        <v>30</v>
      </c>
      <c r="O3811" t="s">
        <v>3899</v>
      </c>
      <c r="P3811" t="s">
        <v>27</v>
      </c>
    </row>
    <row r="3812" spans="1:16" hidden="1" x14ac:dyDescent="0.25">
      <c r="A3812" s="3" t="s">
        <v>3907</v>
      </c>
      <c r="B3812" t="s">
        <v>3359</v>
      </c>
      <c r="C3812" t="s">
        <v>1747</v>
      </c>
      <c r="D3812" t="s">
        <v>26</v>
      </c>
      <c r="E3812" t="s">
        <v>42</v>
      </c>
      <c r="F3812">
        <v>1</v>
      </c>
      <c r="G3812" s="3" t="s">
        <v>4</v>
      </c>
      <c r="H3812" s="51" t="s">
        <v>15</v>
      </c>
      <c r="I3812" s="17">
        <v>500000</v>
      </c>
      <c r="J3812" s="17">
        <f>IF(Gastos[[#This Row],[Divisa]]="$", I3812*1, IF(Gastos[[#This Row],[Divisa]]="U$D", I3812*$N$1, IF(Gastos[[#This Row],[Divisa]]="EUR", I3812*$N$2, 0)))</f>
        <v>500000</v>
      </c>
      <c r="K3812" s="61">
        <f>Gastos[[#This Row],[Importe AR$]]/$N$1</f>
        <v>330.03300330033005</v>
      </c>
      <c r="M3812" s="76"/>
      <c r="N3812" s="50" t="str">
        <f>IF(Gastos[[#This Row],[Fecha_Cheque]]&gt;0,WEEKNUM(Gastos[[#This Row],[Fecha_Cheque]]),MID(Gastos[[#This Row],[Semana]],6,2))</f>
        <v>31</v>
      </c>
      <c r="O3812" t="s">
        <v>3938</v>
      </c>
      <c r="P3812" t="s">
        <v>27</v>
      </c>
    </row>
    <row r="3813" spans="1:16" hidden="1" x14ac:dyDescent="0.25">
      <c r="A3813" s="3" t="s">
        <v>3842</v>
      </c>
      <c r="B3813" t="s">
        <v>3728</v>
      </c>
      <c r="C3813" t="s">
        <v>2667</v>
      </c>
      <c r="D3813" t="s">
        <v>26</v>
      </c>
      <c r="E3813" t="s">
        <v>132</v>
      </c>
      <c r="F3813">
        <v>2</v>
      </c>
      <c r="G3813" s="3" t="s">
        <v>32</v>
      </c>
      <c r="H3813" s="51" t="s">
        <v>15</v>
      </c>
      <c r="I3813" s="17">
        <v>500000</v>
      </c>
      <c r="J3813" s="17">
        <f>IF(Gastos[[#This Row],[Divisa]]="$", I3813*1, IF(Gastos[[#This Row],[Divisa]]="U$D", I3813*$N$1, IF(Gastos[[#This Row],[Divisa]]="EUR", I3813*$N$2, 0)))</f>
        <v>500000</v>
      </c>
      <c r="K3813" s="61">
        <f>Gastos[[#This Row],[Importe AR$]]/$N$1</f>
        <v>330.03300330033005</v>
      </c>
      <c r="M3813" s="76"/>
      <c r="N3813" s="50" t="str">
        <f>IF(Gastos[[#This Row],[Fecha_Cheque]]&gt;0,WEEKNUM(Gastos[[#This Row],[Fecha_Cheque]]),MID(Gastos[[#This Row],[Semana]],6,2))</f>
        <v>30</v>
      </c>
      <c r="O3813" t="s">
        <v>3901</v>
      </c>
      <c r="P3813" t="s">
        <v>27</v>
      </c>
    </row>
    <row r="3814" spans="1:16" hidden="1" x14ac:dyDescent="0.25">
      <c r="A3814" s="3" t="s">
        <v>3907</v>
      </c>
      <c r="B3814" t="s">
        <v>3359</v>
      </c>
      <c r="C3814" t="s">
        <v>1747</v>
      </c>
      <c r="D3814" t="s">
        <v>26</v>
      </c>
      <c r="E3814" t="s">
        <v>42</v>
      </c>
      <c r="F3814">
        <v>1</v>
      </c>
      <c r="G3814" s="3" t="s">
        <v>4</v>
      </c>
      <c r="H3814" s="51" t="s">
        <v>15</v>
      </c>
      <c r="I3814" s="17">
        <v>11670.24</v>
      </c>
      <c r="J3814" s="17">
        <f>IF(Gastos[[#This Row],[Divisa]]="$", I3814*1, IF(Gastos[[#This Row],[Divisa]]="U$D", I3814*$N$1, IF(Gastos[[#This Row],[Divisa]]="EUR", I3814*$N$2, 0)))</f>
        <v>11670.24</v>
      </c>
      <c r="K3814" s="61">
        <f>Gastos[[#This Row],[Importe AR$]]/$N$1</f>
        <v>7.7031287128712869</v>
      </c>
      <c r="L3814" t="s">
        <v>340</v>
      </c>
      <c r="M3814" s="76"/>
      <c r="N3814" s="50" t="str">
        <f>IF(Gastos[[#This Row],[Fecha_Cheque]]&gt;0,WEEKNUM(Gastos[[#This Row],[Fecha_Cheque]]),MID(Gastos[[#This Row],[Semana]],6,2))</f>
        <v>31</v>
      </c>
      <c r="O3814" t="s">
        <v>3938</v>
      </c>
      <c r="P3814" t="s">
        <v>27</v>
      </c>
    </row>
    <row r="3815" spans="1:16" hidden="1" x14ac:dyDescent="0.25">
      <c r="A3815" s="3" t="s">
        <v>3779</v>
      </c>
      <c r="B3815" t="s">
        <v>2978</v>
      </c>
      <c r="C3815" t="s">
        <v>3821</v>
      </c>
      <c r="D3815" t="s">
        <v>26</v>
      </c>
      <c r="E3815" t="s">
        <v>42</v>
      </c>
      <c r="F3815">
        <v>1</v>
      </c>
      <c r="G3815" s="3" t="s">
        <v>4</v>
      </c>
      <c r="H3815" s="51" t="s">
        <v>15</v>
      </c>
      <c r="I3815" s="17">
        <v>22000</v>
      </c>
      <c r="J3815" s="17">
        <f>IF(Gastos[[#This Row],[Divisa]]="$", I3815*1, IF(Gastos[[#This Row],[Divisa]]="U$D", I3815*$N$1, IF(Gastos[[#This Row],[Divisa]]="EUR", I3815*$N$2, 0)))</f>
        <v>22000</v>
      </c>
      <c r="K3815" s="61">
        <f>Gastos[[#This Row],[Importe AR$]]/$N$1</f>
        <v>14.521452145214521</v>
      </c>
      <c r="M3815" s="76"/>
      <c r="N3815" s="50" t="str">
        <f>IF(Gastos[[#This Row],[Fecha_Cheque]]&gt;0,WEEKNUM(Gastos[[#This Row],[Fecha_Cheque]]),MID(Gastos[[#This Row],[Semana]],6,2))</f>
        <v>29</v>
      </c>
      <c r="O3815" t="s">
        <v>3822</v>
      </c>
      <c r="P3815" t="s">
        <v>27</v>
      </c>
    </row>
    <row r="3816" spans="1:16" x14ac:dyDescent="0.25">
      <c r="A3816" s="3" t="s">
        <v>3990</v>
      </c>
      <c r="B3816" t="s">
        <v>3935</v>
      </c>
      <c r="C3816" t="s">
        <v>3934</v>
      </c>
      <c r="D3816" t="s">
        <v>26</v>
      </c>
      <c r="E3816" t="s">
        <v>31</v>
      </c>
      <c r="F3816">
        <v>1</v>
      </c>
      <c r="G3816" s="3" t="s">
        <v>32</v>
      </c>
      <c r="H3816" s="51" t="s">
        <v>15</v>
      </c>
      <c r="I3816" s="17">
        <v>8500000</v>
      </c>
      <c r="J3816" s="17">
        <f>IF(Gastos[[#This Row],[Divisa]]="$", I3816*1, IF(Gastos[[#This Row],[Divisa]]="U$D", I3816*$N$1, IF(Gastos[[#This Row],[Divisa]]="EUR", I3816*$N$2, 0)))</f>
        <v>8500000</v>
      </c>
      <c r="K3816" s="61">
        <f>Gastos[[#This Row],[Importe AR$]]/$N$1</f>
        <v>5610.561056105611</v>
      </c>
      <c r="M3816" s="76"/>
      <c r="N3816" s="50" t="str">
        <f>IF(Gastos[[#This Row],[Fecha_Cheque]]&gt;0,WEEKNUM(Gastos[[#This Row],[Fecha_Cheque]]),MID(Gastos[[#This Row],[Semana]],6,2))</f>
        <v>32</v>
      </c>
      <c r="P3816" t="s">
        <v>3991</v>
      </c>
    </row>
    <row r="3817" spans="1:16" x14ac:dyDescent="0.25">
      <c r="A3817" s="3" t="s">
        <v>3990</v>
      </c>
      <c r="B3817" t="s">
        <v>3024</v>
      </c>
      <c r="C3817" t="s">
        <v>1948</v>
      </c>
      <c r="D3817" t="s">
        <v>26</v>
      </c>
      <c r="E3817" t="s">
        <v>42</v>
      </c>
      <c r="F3817">
        <v>1</v>
      </c>
      <c r="G3817" s="3" t="s">
        <v>4</v>
      </c>
      <c r="H3817" s="51" t="s">
        <v>15</v>
      </c>
      <c r="I3817" s="17">
        <v>38800.01</v>
      </c>
      <c r="J3817" s="17">
        <f>IF(Gastos[[#This Row],[Divisa]]="$", I3817*1, IF(Gastos[[#This Row],[Divisa]]="U$D", I3817*$N$1, IF(Gastos[[#This Row],[Divisa]]="EUR", I3817*$N$2, 0)))</f>
        <v>38800.01</v>
      </c>
      <c r="K3817" s="61">
        <f>Gastos[[#This Row],[Importe AR$]]/$N$1</f>
        <v>25.610567656765678</v>
      </c>
      <c r="M3817" s="76"/>
      <c r="N3817" s="50" t="str">
        <f>IF(Gastos[[#This Row],[Fecha_Cheque]]&gt;0,WEEKNUM(Gastos[[#This Row],[Fecha_Cheque]]),MID(Gastos[[#This Row],[Semana]],6,2))</f>
        <v>32</v>
      </c>
      <c r="O3817" t="s">
        <v>3995</v>
      </c>
      <c r="P3817" t="s">
        <v>27</v>
      </c>
    </row>
    <row r="3818" spans="1:16" hidden="1" x14ac:dyDescent="0.25">
      <c r="A3818" s="3" t="s">
        <v>3907</v>
      </c>
      <c r="B3818" t="s">
        <v>2908</v>
      </c>
      <c r="C3818" t="s">
        <v>1948</v>
      </c>
      <c r="D3818" t="s">
        <v>26</v>
      </c>
      <c r="E3818" t="s">
        <v>42</v>
      </c>
      <c r="F3818">
        <v>1</v>
      </c>
      <c r="G3818" s="3" t="s">
        <v>4</v>
      </c>
      <c r="H3818" s="51" t="s">
        <v>15</v>
      </c>
      <c r="I3818" s="17">
        <v>159844</v>
      </c>
      <c r="J3818" s="17">
        <f>IF(Gastos[[#This Row],[Divisa]]="$", I3818*1, IF(Gastos[[#This Row],[Divisa]]="U$D", I3818*$N$1, IF(Gastos[[#This Row],[Divisa]]="EUR", I3818*$N$2, 0)))</f>
        <v>159844</v>
      </c>
      <c r="K3818" s="61">
        <f>Gastos[[#This Row],[Importe AR$]]/$N$1</f>
        <v>105.50759075907591</v>
      </c>
      <c r="M3818" s="76"/>
      <c r="N3818" s="50" t="str">
        <f>IF(Gastos[[#This Row],[Fecha_Cheque]]&gt;0,WEEKNUM(Gastos[[#This Row],[Fecha_Cheque]]),MID(Gastos[[#This Row],[Semana]],6,2))</f>
        <v>31</v>
      </c>
      <c r="O3818" t="s">
        <v>3909</v>
      </c>
      <c r="P3818" t="s">
        <v>27</v>
      </c>
    </row>
    <row r="3819" spans="1:16" hidden="1" x14ac:dyDescent="0.25">
      <c r="A3819" s="3" t="s">
        <v>3907</v>
      </c>
      <c r="B3819" t="s">
        <v>3040</v>
      </c>
      <c r="C3819" t="s">
        <v>1211</v>
      </c>
      <c r="D3819" t="s">
        <v>26</v>
      </c>
      <c r="E3819" t="s">
        <v>42</v>
      </c>
      <c r="F3819">
        <v>1</v>
      </c>
      <c r="G3819" s="3" t="s">
        <v>4</v>
      </c>
      <c r="H3819" s="51" t="s">
        <v>15</v>
      </c>
      <c r="I3819" s="17">
        <v>79135</v>
      </c>
      <c r="J3819" s="17">
        <f>IF(Gastos[[#This Row],[Divisa]]="$", I3819*1, IF(Gastos[[#This Row],[Divisa]]="U$D", I3819*$N$1, IF(Gastos[[#This Row],[Divisa]]="EUR", I3819*$N$2, 0)))</f>
        <v>79135</v>
      </c>
      <c r="K3819" s="61">
        <f>Gastos[[#This Row],[Importe AR$]]/$N$1</f>
        <v>52.234323432343231</v>
      </c>
      <c r="M3819" s="76"/>
      <c r="N3819" s="50" t="str">
        <f>IF(Gastos[[#This Row],[Fecha_Cheque]]&gt;0,WEEKNUM(Gastos[[#This Row],[Fecha_Cheque]]),MID(Gastos[[#This Row],[Semana]],6,2))</f>
        <v>31</v>
      </c>
      <c r="O3819" t="s">
        <v>3968</v>
      </c>
      <c r="P3819" t="s">
        <v>27</v>
      </c>
    </row>
    <row r="3820" spans="1:16" hidden="1" x14ac:dyDescent="0.25">
      <c r="A3820" s="3" t="s">
        <v>3907</v>
      </c>
      <c r="B3820" t="s">
        <v>3380</v>
      </c>
      <c r="C3820" t="s">
        <v>3847</v>
      </c>
      <c r="D3820" t="s">
        <v>26</v>
      </c>
      <c r="E3820" t="s">
        <v>31</v>
      </c>
      <c r="F3820">
        <v>1</v>
      </c>
      <c r="G3820" s="3" t="s">
        <v>5</v>
      </c>
      <c r="H3820" s="51" t="s">
        <v>15</v>
      </c>
      <c r="I3820" s="17">
        <v>775481.69</v>
      </c>
      <c r="J3820" s="17">
        <f>IF(Gastos[[#This Row],[Divisa]]="$", I3820*1, IF(Gastos[[#This Row],[Divisa]]="U$D", I3820*$N$1, IF(Gastos[[#This Row],[Divisa]]="EUR", I3820*$N$2, 0)))</f>
        <v>775481.69</v>
      </c>
      <c r="K3820" s="61">
        <f>Gastos[[#This Row],[Importe AR$]]/$N$1</f>
        <v>511.86910231023097</v>
      </c>
      <c r="M3820" s="76"/>
      <c r="N3820" s="50" t="str">
        <f>IF(Gastos[[#This Row],[Fecha_Cheque]]&gt;0,WEEKNUM(Gastos[[#This Row],[Fecha_Cheque]]),MID(Gastos[[#This Row],[Semana]],6,2))</f>
        <v>31</v>
      </c>
      <c r="O3820" t="s">
        <v>3960</v>
      </c>
      <c r="P3820" t="s">
        <v>27</v>
      </c>
    </row>
    <row r="3821" spans="1:16" hidden="1" x14ac:dyDescent="0.25">
      <c r="A3821" s="3" t="s">
        <v>3907</v>
      </c>
      <c r="B3821" t="s">
        <v>3380</v>
      </c>
      <c r="C3821" t="s">
        <v>3847</v>
      </c>
      <c r="D3821" t="s">
        <v>26</v>
      </c>
      <c r="E3821" t="s">
        <v>31</v>
      </c>
      <c r="F3821">
        <v>1</v>
      </c>
      <c r="G3821" s="3" t="s">
        <v>5</v>
      </c>
      <c r="H3821" s="51" t="s">
        <v>15</v>
      </c>
      <c r="I3821" s="17">
        <v>13033.31</v>
      </c>
      <c r="J3821" s="17">
        <f>IF(Gastos[[#This Row],[Divisa]]="$", I3821*1, IF(Gastos[[#This Row],[Divisa]]="U$D", I3821*$N$1, IF(Gastos[[#This Row],[Divisa]]="EUR", I3821*$N$2, 0)))</f>
        <v>13033.31</v>
      </c>
      <c r="K3821" s="61">
        <f>Gastos[[#This Row],[Importe AR$]]/$N$1</f>
        <v>8.602844884488448</v>
      </c>
      <c r="L3821" t="s">
        <v>340</v>
      </c>
      <c r="M3821" s="76"/>
      <c r="N3821" s="50" t="str">
        <f>IF(Gastos[[#This Row],[Fecha_Cheque]]&gt;0,WEEKNUM(Gastos[[#This Row],[Fecha_Cheque]]),MID(Gastos[[#This Row],[Semana]],6,2))</f>
        <v>31</v>
      </c>
      <c r="O3821" t="s">
        <v>3960</v>
      </c>
      <c r="P3821" t="s">
        <v>27</v>
      </c>
    </row>
    <row r="3822" spans="1:16" x14ac:dyDescent="0.25">
      <c r="A3822" s="3" t="s">
        <v>3990</v>
      </c>
      <c r="B3822" t="s">
        <v>3024</v>
      </c>
      <c r="C3822" t="s">
        <v>1948</v>
      </c>
      <c r="D3822" t="s">
        <v>26</v>
      </c>
      <c r="E3822" t="s">
        <v>42</v>
      </c>
      <c r="F3822">
        <v>1</v>
      </c>
      <c r="G3822" s="3" t="s">
        <v>4</v>
      </c>
      <c r="H3822" s="51" t="s">
        <v>15</v>
      </c>
      <c r="I3822" s="17">
        <v>11600</v>
      </c>
      <c r="J3822" s="17">
        <f>IF(Gastos[[#This Row],[Divisa]]="$", I3822*1, IF(Gastos[[#This Row],[Divisa]]="U$D", I3822*$N$1, IF(Gastos[[#This Row],[Divisa]]="EUR", I3822*$N$2, 0)))</f>
        <v>11600</v>
      </c>
      <c r="K3822" s="61">
        <f>Gastos[[#This Row],[Importe AR$]]/$N$1</f>
        <v>7.6567656765676571</v>
      </c>
      <c r="M3822" s="76"/>
      <c r="N3822" s="50" t="str">
        <f>IF(Gastos[[#This Row],[Fecha_Cheque]]&gt;0,WEEKNUM(Gastos[[#This Row],[Fecha_Cheque]]),MID(Gastos[[#This Row],[Semana]],6,2))</f>
        <v>32</v>
      </c>
      <c r="O3822" t="s">
        <v>4000</v>
      </c>
      <c r="P3822" t="s">
        <v>27</v>
      </c>
    </row>
    <row r="3823" spans="1:16" hidden="1" x14ac:dyDescent="0.25">
      <c r="A3823" s="3" t="s">
        <v>3779</v>
      </c>
      <c r="B3823" t="s">
        <v>3793</v>
      </c>
      <c r="C3823" t="s">
        <v>3794</v>
      </c>
      <c r="D3823" t="s">
        <v>26</v>
      </c>
      <c r="E3823" t="s">
        <v>91</v>
      </c>
      <c r="F3823">
        <v>1</v>
      </c>
      <c r="G3823" s="3" t="s">
        <v>5</v>
      </c>
      <c r="H3823" s="51" t="s">
        <v>15</v>
      </c>
      <c r="I3823" s="17">
        <v>262437</v>
      </c>
      <c r="J3823" s="17">
        <f>IF(Gastos[[#This Row],[Divisa]]="$", I3823*1, IF(Gastos[[#This Row],[Divisa]]="U$D", I3823*$N$1, IF(Gastos[[#This Row],[Divisa]]="EUR", I3823*$N$2, 0)))</f>
        <v>262437</v>
      </c>
      <c r="K3823" s="61">
        <f>Gastos[[#This Row],[Importe AR$]]/$N$1</f>
        <v>173.22574257425742</v>
      </c>
      <c r="M3823" s="76"/>
      <c r="N3823" s="50" t="str">
        <f>IF(Gastos[[#This Row],[Fecha_Cheque]]&gt;0,WEEKNUM(Gastos[[#This Row],[Fecha_Cheque]]),MID(Gastos[[#This Row],[Semana]],6,2))</f>
        <v>29</v>
      </c>
      <c r="O3823" t="s">
        <v>3795</v>
      </c>
      <c r="P3823" t="s">
        <v>27</v>
      </c>
    </row>
    <row r="3824" spans="1:16" hidden="1" x14ac:dyDescent="0.25">
      <c r="A3824" s="3" t="s">
        <v>3779</v>
      </c>
      <c r="B3824" t="s">
        <v>2587</v>
      </c>
      <c r="C3824" t="s">
        <v>1948</v>
      </c>
      <c r="D3824" t="s">
        <v>26</v>
      </c>
      <c r="E3824" t="s">
        <v>42</v>
      </c>
      <c r="F3824">
        <v>1</v>
      </c>
      <c r="G3824" s="3" t="s">
        <v>4</v>
      </c>
      <c r="H3824" s="51" t="s">
        <v>15</v>
      </c>
      <c r="I3824" s="17">
        <v>96100</v>
      </c>
      <c r="J3824" s="17">
        <f>IF(Gastos[[#This Row],[Divisa]]="$", I3824*1, IF(Gastos[[#This Row],[Divisa]]="U$D", I3824*$N$1, IF(Gastos[[#This Row],[Divisa]]="EUR", I3824*$N$2, 0)))</f>
        <v>96100</v>
      </c>
      <c r="K3824" s="61">
        <f>Gastos[[#This Row],[Importe AR$]]/$N$1</f>
        <v>63.432343234323433</v>
      </c>
      <c r="M3824" s="76"/>
      <c r="N3824" s="50" t="str">
        <f>IF(Gastos[[#This Row],[Fecha_Cheque]]&gt;0,WEEKNUM(Gastos[[#This Row],[Fecha_Cheque]]),MID(Gastos[[#This Row],[Semana]],6,2))</f>
        <v>29</v>
      </c>
      <c r="O3824" t="s">
        <v>3823</v>
      </c>
      <c r="P3824" t="s">
        <v>27</v>
      </c>
    </row>
    <row r="3825" spans="1:16" hidden="1" x14ac:dyDescent="0.25">
      <c r="A3825" s="3" t="s">
        <v>3779</v>
      </c>
      <c r="B3825" t="s">
        <v>3827</v>
      </c>
      <c r="C3825" t="s">
        <v>574</v>
      </c>
      <c r="D3825" t="s">
        <v>26</v>
      </c>
      <c r="E3825" t="s">
        <v>31</v>
      </c>
      <c r="F3825">
        <v>1</v>
      </c>
      <c r="G3825" s="3" t="s">
        <v>32</v>
      </c>
      <c r="H3825" s="51" t="s">
        <v>15</v>
      </c>
      <c r="I3825" s="17">
        <v>1230000</v>
      </c>
      <c r="J3825" s="17">
        <f>IF(Gastos[[#This Row],[Divisa]]="$", I3825*1, IF(Gastos[[#This Row],[Divisa]]="U$D", I3825*$N$1, IF(Gastos[[#This Row],[Divisa]]="EUR", I3825*$N$2, 0)))</f>
        <v>1230000</v>
      </c>
      <c r="K3825" s="61">
        <f>Gastos[[#This Row],[Importe AR$]]/$N$1</f>
        <v>811.88118811881191</v>
      </c>
      <c r="M3825" s="76">
        <v>46239</v>
      </c>
      <c r="N3825" s="50">
        <f>IF(Gastos[[#This Row],[Fecha_Cheque]]&gt;0,WEEKNUM(Gastos[[#This Row],[Fecha_Cheque]]),MID(Gastos[[#This Row],[Semana]],6,2))</f>
        <v>32</v>
      </c>
      <c r="O3825" t="s">
        <v>3828</v>
      </c>
      <c r="P3825" t="s">
        <v>27</v>
      </c>
    </row>
    <row r="3826" spans="1:16" hidden="1" x14ac:dyDescent="0.25">
      <c r="A3826" s="3" t="s">
        <v>3779</v>
      </c>
      <c r="B3826" t="s">
        <v>3827</v>
      </c>
      <c r="C3826" t="s">
        <v>574</v>
      </c>
      <c r="D3826" t="s">
        <v>26</v>
      </c>
      <c r="E3826" t="s">
        <v>42</v>
      </c>
      <c r="F3826">
        <v>1</v>
      </c>
      <c r="G3826" s="3" t="s">
        <v>32</v>
      </c>
      <c r="H3826" s="51" t="s">
        <v>15</v>
      </c>
      <c r="I3826" s="17">
        <v>202480</v>
      </c>
      <c r="J3826" s="17">
        <f>IF(Gastos[[#This Row],[Divisa]]="$", I3826*1, IF(Gastos[[#This Row],[Divisa]]="U$D", I3826*$N$1, IF(Gastos[[#This Row],[Divisa]]="EUR", I3826*$N$2, 0)))</f>
        <v>202480</v>
      </c>
      <c r="K3826" s="61">
        <f>Gastos[[#This Row],[Importe AR$]]/$N$1</f>
        <v>133.65016501650166</v>
      </c>
      <c r="M3826" s="76"/>
      <c r="N3826" s="50" t="str">
        <f>IF(Gastos[[#This Row],[Fecha_Cheque]]&gt;0,WEEKNUM(Gastos[[#This Row],[Fecha_Cheque]]),MID(Gastos[[#This Row],[Semana]],6,2))</f>
        <v>29</v>
      </c>
      <c r="O3826" t="s">
        <v>3828</v>
      </c>
      <c r="P3826" t="s">
        <v>27</v>
      </c>
    </row>
    <row r="3827" spans="1:16" hidden="1" x14ac:dyDescent="0.25">
      <c r="A3827" s="3" t="s">
        <v>3779</v>
      </c>
      <c r="B3827" t="s">
        <v>3827</v>
      </c>
      <c r="C3827" t="s">
        <v>574</v>
      </c>
      <c r="D3827" t="s">
        <v>26</v>
      </c>
      <c r="E3827" t="s">
        <v>31</v>
      </c>
      <c r="F3827">
        <v>1</v>
      </c>
      <c r="G3827" s="3" t="s">
        <v>32</v>
      </c>
      <c r="H3827" s="51" t="s">
        <v>15</v>
      </c>
      <c r="I3827" s="17">
        <v>19520</v>
      </c>
      <c r="J3827" s="17">
        <f>IF(Gastos[[#This Row],[Divisa]]="$", I3827*1, IF(Gastos[[#This Row],[Divisa]]="U$D", I3827*$N$1, IF(Gastos[[#This Row],[Divisa]]="EUR", I3827*$N$2, 0)))</f>
        <v>19520</v>
      </c>
      <c r="K3827" s="61">
        <f>Gastos[[#This Row],[Importe AR$]]/$N$1</f>
        <v>12.884488448844884</v>
      </c>
      <c r="L3827" t="s">
        <v>340</v>
      </c>
      <c r="M3827" s="76"/>
      <c r="N3827" s="50" t="str">
        <f>IF(Gastos[[#This Row],[Fecha_Cheque]]&gt;0,WEEKNUM(Gastos[[#This Row],[Fecha_Cheque]]),MID(Gastos[[#This Row],[Semana]],6,2))</f>
        <v>29</v>
      </c>
      <c r="O3827" t="s">
        <v>3828</v>
      </c>
      <c r="P3827" t="s">
        <v>27</v>
      </c>
    </row>
    <row r="3828" spans="1:16" hidden="1" x14ac:dyDescent="0.25">
      <c r="A3828" s="3" t="s">
        <v>3779</v>
      </c>
      <c r="B3828" t="s">
        <v>643</v>
      </c>
      <c r="C3828" t="s">
        <v>1442</v>
      </c>
      <c r="D3828" t="s">
        <v>26</v>
      </c>
      <c r="E3828" t="s">
        <v>31</v>
      </c>
      <c r="F3828">
        <v>1</v>
      </c>
      <c r="G3828" s="3" t="s">
        <v>32</v>
      </c>
      <c r="H3828" s="51" t="s">
        <v>15</v>
      </c>
      <c r="I3828" s="17">
        <v>1562981.2</v>
      </c>
      <c r="J3828" s="17">
        <f>IF(Gastos[[#This Row],[Divisa]]="$", I3828*1, IF(Gastos[[#This Row],[Divisa]]="U$D", I3828*$N$1, IF(Gastos[[#This Row],[Divisa]]="EUR", I3828*$N$2, 0)))</f>
        <v>1562981.2</v>
      </c>
      <c r="K3828" s="61">
        <f>Gastos[[#This Row],[Importe AR$]]/$N$1</f>
        <v>1031.6707590759077</v>
      </c>
      <c r="M3828" s="76">
        <v>46266</v>
      </c>
      <c r="N3828" s="50">
        <f>IF(Gastos[[#This Row],[Fecha_Cheque]]&gt;0,WEEKNUM(Gastos[[#This Row],[Fecha_Cheque]]),MID(Gastos[[#This Row],[Semana]],6,2))</f>
        <v>36</v>
      </c>
      <c r="O3828" t="s">
        <v>3829</v>
      </c>
      <c r="P3828" t="s">
        <v>27</v>
      </c>
    </row>
    <row r="3829" spans="1:16" hidden="1" x14ac:dyDescent="0.25">
      <c r="A3829" s="3" t="s">
        <v>3779</v>
      </c>
      <c r="B3829" t="s">
        <v>643</v>
      </c>
      <c r="C3829" t="s">
        <v>1442</v>
      </c>
      <c r="D3829" t="s">
        <v>26</v>
      </c>
      <c r="E3829" t="s">
        <v>42</v>
      </c>
      <c r="F3829">
        <v>1</v>
      </c>
      <c r="G3829" s="3" t="s">
        <v>4</v>
      </c>
      <c r="H3829" s="51" t="s">
        <v>15</v>
      </c>
      <c r="I3829" s="17">
        <v>53626.3</v>
      </c>
      <c r="J3829" s="17">
        <f>IF(Gastos[[#This Row],[Divisa]]="$", I3829*1, IF(Gastos[[#This Row],[Divisa]]="U$D", I3829*$N$1, IF(Gastos[[#This Row],[Divisa]]="EUR", I3829*$N$2, 0)))</f>
        <v>53626.3</v>
      </c>
      <c r="K3829" s="61">
        <f>Gastos[[#This Row],[Importe AR$]]/$N$1</f>
        <v>35.396897689768977</v>
      </c>
      <c r="M3829" s="76"/>
      <c r="N3829" s="50" t="str">
        <f>IF(Gastos[[#This Row],[Fecha_Cheque]]&gt;0,WEEKNUM(Gastos[[#This Row],[Fecha_Cheque]]),MID(Gastos[[#This Row],[Semana]],6,2))</f>
        <v>29</v>
      </c>
      <c r="O3829" t="s">
        <v>3829</v>
      </c>
      <c r="P3829" t="s">
        <v>27</v>
      </c>
    </row>
    <row r="3830" spans="1:16" hidden="1" x14ac:dyDescent="0.25">
      <c r="A3830" s="3" t="s">
        <v>3779</v>
      </c>
      <c r="B3830" t="s">
        <v>643</v>
      </c>
      <c r="C3830" t="s">
        <v>1442</v>
      </c>
      <c r="D3830" t="s">
        <v>26</v>
      </c>
      <c r="E3830" t="s">
        <v>31</v>
      </c>
      <c r="F3830">
        <v>1</v>
      </c>
      <c r="G3830" s="3" t="s">
        <v>32</v>
      </c>
      <c r="H3830" s="51" t="s">
        <v>15</v>
      </c>
      <c r="I3830" s="17">
        <v>23392.5</v>
      </c>
      <c r="J3830" s="17">
        <f>IF(Gastos[[#This Row],[Divisa]]="$", I3830*1, IF(Gastos[[#This Row],[Divisa]]="U$D", I3830*$N$1, IF(Gastos[[#This Row],[Divisa]]="EUR", I3830*$N$2, 0)))</f>
        <v>23392.5</v>
      </c>
      <c r="K3830" s="61">
        <f>Gastos[[#This Row],[Importe AR$]]/$N$1</f>
        <v>15.440594059405941</v>
      </c>
      <c r="L3830" t="s">
        <v>340</v>
      </c>
      <c r="M3830" s="76"/>
      <c r="N3830" s="50" t="str">
        <f>IF(Gastos[[#This Row],[Fecha_Cheque]]&gt;0,WEEKNUM(Gastos[[#This Row],[Fecha_Cheque]]),MID(Gastos[[#This Row],[Semana]],6,2))</f>
        <v>29</v>
      </c>
      <c r="O3830" t="s">
        <v>3829</v>
      </c>
      <c r="P3830" t="s">
        <v>27</v>
      </c>
    </row>
    <row r="3831" spans="1:16" hidden="1" x14ac:dyDescent="0.25">
      <c r="A3831" s="3" t="s">
        <v>3779</v>
      </c>
      <c r="B3831" t="s">
        <v>1674</v>
      </c>
      <c r="C3831" t="s">
        <v>2946</v>
      </c>
      <c r="D3831" t="s">
        <v>26</v>
      </c>
      <c r="E3831" t="s">
        <v>42</v>
      </c>
      <c r="F3831">
        <v>1</v>
      </c>
      <c r="G3831" s="3" t="s">
        <v>4</v>
      </c>
      <c r="H3831" s="51" t="s">
        <v>15</v>
      </c>
      <c r="I3831" s="17">
        <v>160000</v>
      </c>
      <c r="J3831" s="17">
        <f>IF(Gastos[[#This Row],[Divisa]]="$", I3831*1, IF(Gastos[[#This Row],[Divisa]]="U$D", I3831*$N$1, IF(Gastos[[#This Row],[Divisa]]="EUR", I3831*$N$2, 0)))</f>
        <v>160000</v>
      </c>
      <c r="K3831" s="61">
        <f>Gastos[[#This Row],[Importe AR$]]/$N$1</f>
        <v>105.61056105610561</v>
      </c>
      <c r="M3831" s="76"/>
      <c r="N3831" s="50" t="str">
        <f>IF(Gastos[[#This Row],[Fecha_Cheque]]&gt;0,WEEKNUM(Gastos[[#This Row],[Fecha_Cheque]]),MID(Gastos[[#This Row],[Semana]],6,2))</f>
        <v>29</v>
      </c>
      <c r="O3831" t="s">
        <v>3825</v>
      </c>
      <c r="P3831" t="s">
        <v>27</v>
      </c>
    </row>
    <row r="3832" spans="1:16" hidden="1" x14ac:dyDescent="0.25">
      <c r="A3832" s="3" t="s">
        <v>3779</v>
      </c>
      <c r="B3832" t="s">
        <v>1048</v>
      </c>
      <c r="C3832" t="s">
        <v>3832</v>
      </c>
      <c r="D3832" t="s">
        <v>26</v>
      </c>
      <c r="E3832" t="s">
        <v>42</v>
      </c>
      <c r="F3832">
        <v>1</v>
      </c>
      <c r="G3832" s="3" t="s">
        <v>4</v>
      </c>
      <c r="H3832" s="51" t="s">
        <v>15</v>
      </c>
      <c r="I3832" s="17">
        <v>565058.54</v>
      </c>
      <c r="J3832" s="17">
        <f>IF(Gastos[[#This Row],[Divisa]]="$", I3832*1, IF(Gastos[[#This Row],[Divisa]]="U$D", I3832*$N$1, IF(Gastos[[#This Row],[Divisa]]="EUR", I3832*$N$2, 0)))</f>
        <v>565058.54</v>
      </c>
      <c r="K3832" s="61">
        <f>Gastos[[#This Row],[Importe AR$]]/$N$1</f>
        <v>372.97593399339934</v>
      </c>
      <c r="M3832" s="76"/>
      <c r="N3832" s="50" t="str">
        <f>IF(Gastos[[#This Row],[Fecha_Cheque]]&gt;0,WEEKNUM(Gastos[[#This Row],[Fecha_Cheque]]),MID(Gastos[[#This Row],[Semana]],6,2))</f>
        <v>29</v>
      </c>
      <c r="O3832" t="s">
        <v>3833</v>
      </c>
      <c r="P3832" t="s">
        <v>27</v>
      </c>
    </row>
    <row r="3833" spans="1:16" hidden="1" x14ac:dyDescent="0.25">
      <c r="A3833" s="3" t="s">
        <v>3779</v>
      </c>
      <c r="B3833" t="s">
        <v>1048</v>
      </c>
      <c r="C3833" t="s">
        <v>3832</v>
      </c>
      <c r="D3833" t="s">
        <v>26</v>
      </c>
      <c r="E3833" t="s">
        <v>42</v>
      </c>
      <c r="F3833">
        <v>1</v>
      </c>
      <c r="G3833" s="3" t="s">
        <v>4</v>
      </c>
      <c r="H3833" s="51" t="s">
        <v>15</v>
      </c>
      <c r="I3833" s="17">
        <v>4941.49</v>
      </c>
      <c r="J3833" s="17">
        <f>IF(Gastos[[#This Row],[Divisa]]="$", I3833*1, IF(Gastos[[#This Row],[Divisa]]="U$D", I3833*$N$1, IF(Gastos[[#This Row],[Divisa]]="EUR", I3833*$N$2, 0)))</f>
        <v>4941.49</v>
      </c>
      <c r="K3833" s="61">
        <f>Gastos[[#This Row],[Importe AR$]]/$N$1</f>
        <v>3.2617095709570956</v>
      </c>
      <c r="L3833" t="s">
        <v>340</v>
      </c>
      <c r="M3833" s="76"/>
      <c r="N3833" s="50" t="str">
        <f>IF(Gastos[[#This Row],[Fecha_Cheque]]&gt;0,WEEKNUM(Gastos[[#This Row],[Fecha_Cheque]]),MID(Gastos[[#This Row],[Semana]],6,2))</f>
        <v>29</v>
      </c>
      <c r="O3833" t="s">
        <v>3833</v>
      </c>
      <c r="P3833" t="s">
        <v>27</v>
      </c>
    </row>
    <row r="3834" spans="1:16" hidden="1" x14ac:dyDescent="0.25">
      <c r="A3834" s="3" t="s">
        <v>3779</v>
      </c>
      <c r="B3834" t="s">
        <v>3839</v>
      </c>
      <c r="C3834" t="s">
        <v>3840</v>
      </c>
      <c r="D3834" t="s">
        <v>26</v>
      </c>
      <c r="E3834" t="s">
        <v>31</v>
      </c>
      <c r="F3834">
        <v>2</v>
      </c>
      <c r="G3834" s="3" t="s">
        <v>32</v>
      </c>
      <c r="H3834" s="51" t="s">
        <v>15</v>
      </c>
      <c r="I3834" s="17">
        <v>1200000</v>
      </c>
      <c r="J3834" s="17">
        <f>IF(Gastos[[#This Row],[Divisa]]="$", I3834*1, IF(Gastos[[#This Row],[Divisa]]="U$D", I3834*$N$1, IF(Gastos[[#This Row],[Divisa]]="EUR", I3834*$N$2, 0)))</f>
        <v>1200000</v>
      </c>
      <c r="K3834" s="61">
        <f>Gastos[[#This Row],[Importe AR$]]/$N$1</f>
        <v>792.0792079207921</v>
      </c>
      <c r="M3834" s="76"/>
      <c r="N3834" s="50" t="str">
        <f>IF(Gastos[[#This Row],[Fecha_Cheque]]&gt;0,WEEKNUM(Gastos[[#This Row],[Fecha_Cheque]]),MID(Gastos[[#This Row],[Semana]],6,2))</f>
        <v>29</v>
      </c>
      <c r="O3834" t="s">
        <v>3841</v>
      </c>
      <c r="P3834" t="s">
        <v>27</v>
      </c>
    </row>
    <row r="3835" spans="1:16" hidden="1" x14ac:dyDescent="0.25">
      <c r="A3835" s="3" t="s">
        <v>3779</v>
      </c>
      <c r="B3835" t="s">
        <v>3839</v>
      </c>
      <c r="C3835" t="s">
        <v>3840</v>
      </c>
      <c r="D3835" t="s">
        <v>26</v>
      </c>
      <c r="E3835" t="s">
        <v>31</v>
      </c>
      <c r="F3835">
        <v>2</v>
      </c>
      <c r="G3835" s="3" t="s">
        <v>32</v>
      </c>
      <c r="H3835" s="51" t="s">
        <v>15</v>
      </c>
      <c r="I3835" s="17">
        <v>2000000</v>
      </c>
      <c r="J3835" s="17">
        <f>IF(Gastos[[#This Row],[Divisa]]="$", I3835*1, IF(Gastos[[#This Row],[Divisa]]="U$D", I3835*$N$1, IF(Gastos[[#This Row],[Divisa]]="EUR", I3835*$N$2, 0)))</f>
        <v>2000000</v>
      </c>
      <c r="K3835" s="61">
        <f>Gastos[[#This Row],[Importe AR$]]/$N$1</f>
        <v>1320.1320132013202</v>
      </c>
      <c r="M3835" s="76"/>
      <c r="N3835" s="50" t="str">
        <f>IF(Gastos[[#This Row],[Fecha_Cheque]]&gt;0,WEEKNUM(Gastos[[#This Row],[Fecha_Cheque]]),MID(Gastos[[#This Row],[Semana]],6,2))</f>
        <v>29</v>
      </c>
      <c r="O3835" t="s">
        <v>3841</v>
      </c>
      <c r="P3835" t="s">
        <v>27</v>
      </c>
    </row>
    <row r="3836" spans="1:16" x14ac:dyDescent="0.25">
      <c r="A3836" s="3" t="s">
        <v>3990</v>
      </c>
      <c r="B3836" t="s">
        <v>3024</v>
      </c>
      <c r="C3836" t="s">
        <v>1948</v>
      </c>
      <c r="D3836" t="s">
        <v>26</v>
      </c>
      <c r="E3836" t="s">
        <v>42</v>
      </c>
      <c r="F3836">
        <v>1</v>
      </c>
      <c r="G3836" s="3" t="s">
        <v>4</v>
      </c>
      <c r="H3836" s="51" t="s">
        <v>15</v>
      </c>
      <c r="I3836" s="17">
        <v>6700</v>
      </c>
      <c r="J3836" s="17">
        <f>IF(Gastos[[#This Row],[Divisa]]="$", I3836*1, IF(Gastos[[#This Row],[Divisa]]="U$D", I3836*$N$1, IF(Gastos[[#This Row],[Divisa]]="EUR", I3836*$N$2, 0)))</f>
        <v>6700</v>
      </c>
      <c r="K3836" s="61">
        <f>Gastos[[#This Row],[Importe AR$]]/$N$1</f>
        <v>4.4224422442244222</v>
      </c>
      <c r="M3836" s="76"/>
      <c r="N3836" s="50" t="str">
        <f>IF(Gastos[[#This Row],[Fecha_Cheque]]&gt;0,WEEKNUM(Gastos[[#This Row],[Fecha_Cheque]]),MID(Gastos[[#This Row],[Semana]],6,2))</f>
        <v>32</v>
      </c>
      <c r="O3836" t="s">
        <v>4001</v>
      </c>
      <c r="P3836" t="s">
        <v>27</v>
      </c>
    </row>
    <row r="3837" spans="1:16" hidden="1" x14ac:dyDescent="0.25">
      <c r="A3837" s="3" t="s">
        <v>3842</v>
      </c>
      <c r="B3837" t="s">
        <v>2171</v>
      </c>
      <c r="C3837" t="s">
        <v>2181</v>
      </c>
      <c r="D3837" t="s">
        <v>61</v>
      </c>
      <c r="E3837" t="s">
        <v>62</v>
      </c>
      <c r="F3837">
        <v>1</v>
      </c>
      <c r="G3837" s="3" t="s">
        <v>32</v>
      </c>
      <c r="H3837" s="53" t="s">
        <v>15</v>
      </c>
      <c r="I3837" s="17">
        <v>2618473</v>
      </c>
      <c r="J3837" s="17">
        <f>IF(Gastos[[#This Row],[Divisa]]="$", I3837*1, IF(Gastos[[#This Row],[Divisa]]="U$D", I3837*$N$1, IF(Gastos[[#This Row],[Divisa]]="EUR", I3837*$N$2, 0)))</f>
        <v>2618473</v>
      </c>
      <c r="K3837" s="61">
        <f>Gastos[[#This Row],[Importe AR$]]/$N$1</f>
        <v>1728.3650165016502</v>
      </c>
      <c r="M3837" s="76">
        <v>46267</v>
      </c>
      <c r="N3837" s="50">
        <f>IF(Gastos[[#This Row],[Fecha_Cheque]]&gt;0,WEEKNUM(Gastos[[#This Row],[Fecha_Cheque]]),MID(Gastos[[#This Row],[Semana]],6,2))</f>
        <v>36</v>
      </c>
      <c r="O3837" t="s">
        <v>3869</v>
      </c>
      <c r="P3837" t="s">
        <v>27</v>
      </c>
    </row>
    <row r="3838" spans="1:16" hidden="1" x14ac:dyDescent="0.25">
      <c r="A3838" s="3" t="s">
        <v>3842</v>
      </c>
      <c r="B3838" t="s">
        <v>2171</v>
      </c>
      <c r="C3838" t="s">
        <v>2181</v>
      </c>
      <c r="D3838" t="s">
        <v>61</v>
      </c>
      <c r="E3838" t="s">
        <v>62</v>
      </c>
      <c r="F3838">
        <v>1</v>
      </c>
      <c r="G3838" s="3" t="s">
        <v>32</v>
      </c>
      <c r="H3838" s="53" t="s">
        <v>15</v>
      </c>
      <c r="I3838" s="17">
        <v>47889.46</v>
      </c>
      <c r="J3838" s="17">
        <f>IF(Gastos[[#This Row],[Divisa]]="$", I3838*1, IF(Gastos[[#This Row],[Divisa]]="U$D", I3838*$N$1, IF(Gastos[[#This Row],[Divisa]]="EUR", I3838*$N$2, 0)))</f>
        <v>47889.46</v>
      </c>
      <c r="K3838" s="61">
        <f>Gastos[[#This Row],[Importe AR$]]/$N$1</f>
        <v>31.610204620462046</v>
      </c>
      <c r="L3838" t="s">
        <v>340</v>
      </c>
      <c r="M3838" s="76"/>
      <c r="N3838" s="50" t="str">
        <f>IF(Gastos[[#This Row],[Fecha_Cheque]]&gt;0,WEEKNUM(Gastos[[#This Row],[Fecha_Cheque]]),MID(Gastos[[#This Row],[Semana]],6,2))</f>
        <v>30</v>
      </c>
      <c r="O3838" t="s">
        <v>3869</v>
      </c>
      <c r="P3838" t="s">
        <v>27</v>
      </c>
    </row>
    <row r="3839" spans="1:16" x14ac:dyDescent="0.25">
      <c r="A3839" s="98" t="s">
        <v>3990</v>
      </c>
      <c r="B3839" s="99" t="s">
        <v>3359</v>
      </c>
      <c r="C3839" s="99" t="s">
        <v>4010</v>
      </c>
      <c r="D3839" s="99" t="s">
        <v>26</v>
      </c>
      <c r="E3839" s="99" t="s">
        <v>31</v>
      </c>
      <c r="F3839" s="99">
        <v>1</v>
      </c>
      <c r="G3839" s="98" t="s">
        <v>32</v>
      </c>
      <c r="H3839" s="51" t="s">
        <v>15</v>
      </c>
      <c r="I3839" s="17">
        <v>443526.2</v>
      </c>
      <c r="J3839" s="17">
        <f>IF(Gastos[[#This Row],[Divisa]]="$", I3839*1, IF(Gastos[[#This Row],[Divisa]]="U$D", I3839*$N$1, IF(Gastos[[#This Row],[Divisa]]="EUR", I3839*$N$2, 0)))</f>
        <v>443526.2</v>
      </c>
      <c r="K3839" s="61">
        <f>Gastos[[#This Row],[Importe AR$]]/$N$1</f>
        <v>292.7565676567657</v>
      </c>
      <c r="L3839" s="99"/>
      <c r="M3839" s="100">
        <v>46254</v>
      </c>
      <c r="N3839" s="101">
        <f>IF(Gastos[[#This Row],[Fecha_Cheque]]&gt;0,WEEKNUM(Gastos[[#This Row],[Fecha_Cheque]]),MID(Gastos[[#This Row],[Semana]],6,2))</f>
        <v>34</v>
      </c>
      <c r="O3839" s="99" t="s">
        <v>4011</v>
      </c>
      <c r="P3839" s="99" t="s">
        <v>27</v>
      </c>
    </row>
    <row r="3840" spans="1:16" hidden="1" x14ac:dyDescent="0.25">
      <c r="A3840" s="3" t="s">
        <v>3907</v>
      </c>
      <c r="B3840" t="s">
        <v>1580</v>
      </c>
      <c r="C3840" t="s">
        <v>3206</v>
      </c>
      <c r="D3840" t="s">
        <v>26</v>
      </c>
      <c r="E3840" t="s">
        <v>62</v>
      </c>
      <c r="F3840">
        <v>2</v>
      </c>
      <c r="G3840" s="3" t="s">
        <v>4</v>
      </c>
      <c r="H3840" s="53" t="s">
        <v>15</v>
      </c>
      <c r="I3840" s="17">
        <v>500000</v>
      </c>
      <c r="J3840" s="17">
        <f>IF(Gastos[[#This Row],[Divisa]]="$", I3840*1, IF(Gastos[[#This Row],[Divisa]]="U$D", I3840*$N$1, IF(Gastos[[#This Row],[Divisa]]="EUR", I3840*$N$2, 0)))</f>
        <v>500000</v>
      </c>
      <c r="K3840" s="61">
        <f>Gastos[[#This Row],[Importe AR$]]/$N$1</f>
        <v>330.03300330033005</v>
      </c>
      <c r="M3840" s="76"/>
      <c r="N3840" s="50" t="str">
        <f>IF(Gastos[[#This Row],[Fecha_Cheque]]&gt;0,WEEKNUM(Gastos[[#This Row],[Fecha_Cheque]]),MID(Gastos[[#This Row],[Semana]],6,2))</f>
        <v>31</v>
      </c>
      <c r="O3840" t="s">
        <v>3983</v>
      </c>
      <c r="P3840" t="s">
        <v>27</v>
      </c>
    </row>
    <row r="3841" spans="1:16" x14ac:dyDescent="0.25">
      <c r="A3841" s="98" t="s">
        <v>3990</v>
      </c>
      <c r="B3841" s="99" t="s">
        <v>3359</v>
      </c>
      <c r="C3841" s="99" t="s">
        <v>4010</v>
      </c>
      <c r="D3841" s="99" t="s">
        <v>26</v>
      </c>
      <c r="E3841" s="99" t="s">
        <v>31</v>
      </c>
      <c r="F3841" s="99">
        <v>1</v>
      </c>
      <c r="G3841" s="98" t="s">
        <v>32</v>
      </c>
      <c r="H3841" s="51" t="s">
        <v>15</v>
      </c>
      <c r="I3841" s="17">
        <v>1466400</v>
      </c>
      <c r="J3841" s="17">
        <f>IF(Gastos[[#This Row],[Divisa]]="$", I3841*1, IF(Gastos[[#This Row],[Divisa]]="U$D", I3841*$N$1, IF(Gastos[[#This Row],[Divisa]]="EUR", I3841*$N$2, 0)))</f>
        <v>1466400</v>
      </c>
      <c r="K3841" s="61">
        <f>Gastos[[#This Row],[Importe AR$]]/$N$1</f>
        <v>967.9207920792079</v>
      </c>
      <c r="L3841" s="99"/>
      <c r="M3841" s="100">
        <v>46248</v>
      </c>
      <c r="N3841" s="101">
        <f>IF(Gastos[[#This Row],[Fecha_Cheque]]&gt;0,WEEKNUM(Gastos[[#This Row],[Fecha_Cheque]]),MID(Gastos[[#This Row],[Semana]],6,2))</f>
        <v>33</v>
      </c>
      <c r="O3841" s="99" t="s">
        <v>4011</v>
      </c>
      <c r="P3841" s="99" t="s">
        <v>27</v>
      </c>
    </row>
    <row r="3842" spans="1:16" x14ac:dyDescent="0.25">
      <c r="A3842" s="98" t="s">
        <v>3990</v>
      </c>
      <c r="B3842" s="99" t="s">
        <v>3359</v>
      </c>
      <c r="C3842" s="99" t="s">
        <v>4010</v>
      </c>
      <c r="D3842" s="99" t="s">
        <v>26</v>
      </c>
      <c r="E3842" s="99" t="s">
        <v>31</v>
      </c>
      <c r="F3842" s="99">
        <v>1</v>
      </c>
      <c r="G3842" s="98" t="s">
        <v>32</v>
      </c>
      <c r="H3842" s="51" t="s">
        <v>15</v>
      </c>
      <c r="I3842" s="17">
        <v>33718.519999999997</v>
      </c>
      <c r="J3842" s="17">
        <f>IF(Gastos[[#This Row],[Divisa]]="$", I3842*1, IF(Gastos[[#This Row],[Divisa]]="U$D", I3842*$N$1, IF(Gastos[[#This Row],[Divisa]]="EUR", I3842*$N$2, 0)))</f>
        <v>33718.519999999997</v>
      </c>
      <c r="K3842" s="61">
        <f>Gastos[[#This Row],[Importe AR$]]/$N$1</f>
        <v>22.256448844884485</v>
      </c>
      <c r="L3842" s="99" t="s">
        <v>340</v>
      </c>
      <c r="M3842" s="100"/>
      <c r="N3842" s="101" t="str">
        <f>IF(Gastos[[#This Row],[Fecha_Cheque]]&gt;0,WEEKNUM(Gastos[[#This Row],[Fecha_Cheque]]),MID(Gastos[[#This Row],[Semana]],6,2))</f>
        <v>32</v>
      </c>
      <c r="O3842" s="99" t="s">
        <v>4011</v>
      </c>
      <c r="P3842" s="99" t="s">
        <v>27</v>
      </c>
    </row>
    <row r="3843" spans="1:16" x14ac:dyDescent="0.25">
      <c r="A3843" s="3" t="s">
        <v>3990</v>
      </c>
      <c r="B3843" t="s">
        <v>1462</v>
      </c>
      <c r="C3843" t="s">
        <v>422</v>
      </c>
      <c r="D3843" t="s">
        <v>26</v>
      </c>
      <c r="E3843" t="s">
        <v>91</v>
      </c>
      <c r="F3843">
        <v>1</v>
      </c>
      <c r="G3843" s="3" t="s">
        <v>5</v>
      </c>
      <c r="H3843" s="51" t="s">
        <v>15</v>
      </c>
      <c r="I3843" s="17">
        <v>2597906.6</v>
      </c>
      <c r="J3843" s="17">
        <f>IF(Gastos[[#This Row],[Divisa]]="$", I3843*1, IF(Gastos[[#This Row],[Divisa]]="U$D", I3843*$N$1, IF(Gastos[[#This Row],[Divisa]]="EUR", I3843*$N$2, 0)))</f>
        <v>2597906.6</v>
      </c>
      <c r="K3843" s="61">
        <f>Gastos[[#This Row],[Importe AR$]]/$N$1</f>
        <v>1714.7898349834984</v>
      </c>
      <c r="M3843" s="76"/>
      <c r="N3843" s="50" t="str">
        <f>IF(Gastos[[#This Row],[Fecha_Cheque]]&gt;0,WEEKNUM(Gastos[[#This Row],[Fecha_Cheque]]),MID(Gastos[[#This Row],[Semana]],6,2))</f>
        <v>32</v>
      </c>
      <c r="P3843" t="s">
        <v>3991</v>
      </c>
    </row>
    <row r="3844" spans="1:16" x14ac:dyDescent="0.25">
      <c r="A3844" s="3" t="s">
        <v>3990</v>
      </c>
      <c r="B3844" t="s">
        <v>3374</v>
      </c>
      <c r="C3844" t="s">
        <v>3375</v>
      </c>
      <c r="D3844" t="s">
        <v>26</v>
      </c>
      <c r="E3844" t="s">
        <v>62</v>
      </c>
      <c r="F3844">
        <v>2</v>
      </c>
      <c r="G3844" s="3" t="s">
        <v>32</v>
      </c>
      <c r="H3844" s="51" t="s">
        <v>3</v>
      </c>
      <c r="I3844" s="17">
        <v>110845.98</v>
      </c>
      <c r="J3844" s="17">
        <f>IF(Gastos[[#This Row],[Divisa]]="$", I3844*1, IF(Gastos[[#This Row],[Divisa]]="U$D", I3844*$N$1, IF(Gastos[[#This Row],[Divisa]]="EUR", I3844*$N$2, 0)))</f>
        <v>196197384.59999999</v>
      </c>
      <c r="K3844" s="61">
        <f>Gastos[[#This Row],[Importe AR$]]/$N$1</f>
        <v>129503.22415841583</v>
      </c>
      <c r="L3844">
        <v>110845.98</v>
      </c>
      <c r="M3844" s="76"/>
      <c r="N3844" s="50" t="str">
        <f>IF(Gastos[[#This Row],[Fecha_Cheque]]&gt;0,WEEKNUM(Gastos[[#This Row],[Fecha_Cheque]]),MID(Gastos[[#This Row],[Semana]],6,2))</f>
        <v>32</v>
      </c>
    </row>
    <row r="3845" spans="1:16" x14ac:dyDescent="0.25">
      <c r="A3845" s="3" t="s">
        <v>3990</v>
      </c>
      <c r="B3845" t="s">
        <v>2908</v>
      </c>
      <c r="C3845" t="s">
        <v>1948</v>
      </c>
      <c r="D3845" t="s">
        <v>26</v>
      </c>
      <c r="E3845" t="s">
        <v>42</v>
      </c>
      <c r="F3845">
        <v>1</v>
      </c>
      <c r="G3845" s="3" t="s">
        <v>4</v>
      </c>
      <c r="H3845" s="51" t="s">
        <v>15</v>
      </c>
      <c r="I3845" s="17">
        <v>142657</v>
      </c>
      <c r="J3845" s="17">
        <f>IF(Gastos[[#This Row],[Divisa]]="$", I3845*1, IF(Gastos[[#This Row],[Divisa]]="U$D", I3845*$N$1, IF(Gastos[[#This Row],[Divisa]]="EUR", I3845*$N$2, 0)))</f>
        <v>142657</v>
      </c>
      <c r="K3845" s="61">
        <f>Gastos[[#This Row],[Importe AR$]]/$N$1</f>
        <v>94.163036303630363</v>
      </c>
      <c r="M3845" s="76"/>
      <c r="N3845" s="50" t="str">
        <f>IF(Gastos[[#This Row],[Fecha_Cheque]]&gt;0,WEEKNUM(Gastos[[#This Row],[Fecha_Cheque]]),MID(Gastos[[#This Row],[Semana]],6,2))</f>
        <v>32</v>
      </c>
      <c r="O3845" t="s">
        <v>3994</v>
      </c>
      <c r="P3845" t="s">
        <v>27</v>
      </c>
    </row>
    <row r="3846" spans="1:16" hidden="1" x14ac:dyDescent="0.25">
      <c r="A3846" s="3" t="s">
        <v>3842</v>
      </c>
      <c r="B3846" t="s">
        <v>2508</v>
      </c>
      <c r="C3846" t="s">
        <v>3613</v>
      </c>
      <c r="D3846" t="s">
        <v>26</v>
      </c>
      <c r="E3846" t="s">
        <v>42</v>
      </c>
      <c r="F3846">
        <v>1</v>
      </c>
      <c r="G3846" s="3" t="s">
        <v>4</v>
      </c>
      <c r="H3846" s="51" t="s">
        <v>15</v>
      </c>
      <c r="I3846" s="17">
        <v>147462.04</v>
      </c>
      <c r="J3846" s="17">
        <f>IF(Gastos[[#This Row],[Divisa]]="$", I3846*1, IF(Gastos[[#This Row],[Divisa]]="U$D", I3846*$N$1, IF(Gastos[[#This Row],[Divisa]]="EUR", I3846*$N$2, 0)))</f>
        <v>147462.04</v>
      </c>
      <c r="K3846" s="61">
        <f>Gastos[[#This Row],[Importe AR$]]/$N$1</f>
        <v>97.334679867986807</v>
      </c>
      <c r="M3846" s="76"/>
      <c r="N3846" s="50" t="str">
        <f>IF(Gastos[[#This Row],[Fecha_Cheque]]&gt;0,WEEKNUM(Gastos[[#This Row],[Fecha_Cheque]]),MID(Gastos[[#This Row],[Semana]],6,2))</f>
        <v>30</v>
      </c>
      <c r="O3846" t="s">
        <v>3872</v>
      </c>
      <c r="P3846" t="s">
        <v>27</v>
      </c>
    </row>
    <row r="3847" spans="1:16" x14ac:dyDescent="0.25">
      <c r="A3847" s="3" t="s">
        <v>3990</v>
      </c>
      <c r="B3847" t="s">
        <v>2908</v>
      </c>
      <c r="C3847" t="s">
        <v>1948</v>
      </c>
      <c r="D3847" t="s">
        <v>26</v>
      </c>
      <c r="E3847" t="s">
        <v>42</v>
      </c>
      <c r="F3847">
        <v>1</v>
      </c>
      <c r="G3847" s="3" t="s">
        <v>4</v>
      </c>
      <c r="H3847" s="51" t="s">
        <v>15</v>
      </c>
      <c r="I3847" s="17">
        <v>143108</v>
      </c>
      <c r="J3847" s="17">
        <f>IF(Gastos[[#This Row],[Divisa]]="$", I3847*1, IF(Gastos[[#This Row],[Divisa]]="U$D", I3847*$N$1, IF(Gastos[[#This Row],[Divisa]]="EUR", I3847*$N$2, 0)))</f>
        <v>143108</v>
      </c>
      <c r="K3847" s="61">
        <f>Gastos[[#This Row],[Importe AR$]]/$N$1</f>
        <v>94.460726072607258</v>
      </c>
      <c r="M3847" s="76"/>
      <c r="N3847" s="50" t="str">
        <f>IF(Gastos[[#This Row],[Fecha_Cheque]]&gt;0,WEEKNUM(Gastos[[#This Row],[Fecha_Cheque]]),MID(Gastos[[#This Row],[Semana]],6,2))</f>
        <v>32</v>
      </c>
      <c r="O3847" t="s">
        <v>4002</v>
      </c>
      <c r="P3847" t="s">
        <v>27</v>
      </c>
    </row>
    <row r="3848" spans="1:16" hidden="1" x14ac:dyDescent="0.25">
      <c r="A3848" s="3" t="s">
        <v>3842</v>
      </c>
      <c r="B3848" t="s">
        <v>2508</v>
      </c>
      <c r="C3848" t="s">
        <v>3613</v>
      </c>
      <c r="D3848" t="s">
        <v>26</v>
      </c>
      <c r="E3848" t="s">
        <v>62</v>
      </c>
      <c r="F3848">
        <v>1</v>
      </c>
      <c r="G3848" s="3" t="s">
        <v>32</v>
      </c>
      <c r="H3848" s="51" t="s">
        <v>15</v>
      </c>
      <c r="I3848" s="17">
        <v>2115786.48</v>
      </c>
      <c r="J3848" s="17">
        <f>IF(Gastos[[#This Row],[Divisa]]="$", I3848*1, IF(Gastos[[#This Row],[Divisa]]="U$D", I3848*$N$1, IF(Gastos[[#This Row],[Divisa]]="EUR", I3848*$N$2, 0)))</f>
        <v>2115786.48</v>
      </c>
      <c r="K3848" s="61">
        <f>Gastos[[#This Row],[Importe AR$]]/$N$1</f>
        <v>1396.5587326732673</v>
      </c>
      <c r="M3848" s="76">
        <v>46263</v>
      </c>
      <c r="N3848" s="50">
        <f>IF(Gastos[[#This Row],[Fecha_Cheque]]&gt;0,WEEKNUM(Gastos[[#This Row],[Fecha_Cheque]]),MID(Gastos[[#This Row],[Semana]],6,2))</f>
        <v>35</v>
      </c>
      <c r="O3848" t="s">
        <v>3872</v>
      </c>
      <c r="P3848" t="s">
        <v>27</v>
      </c>
    </row>
    <row r="3849" spans="1:16" hidden="1" x14ac:dyDescent="0.25">
      <c r="A3849" s="3" t="s">
        <v>3842</v>
      </c>
      <c r="B3849" t="s">
        <v>2508</v>
      </c>
      <c r="C3849" t="s">
        <v>3613</v>
      </c>
      <c r="D3849" t="s">
        <v>26</v>
      </c>
      <c r="E3849" t="s">
        <v>62</v>
      </c>
      <c r="F3849">
        <v>1</v>
      </c>
      <c r="G3849" s="3" t="s">
        <v>32</v>
      </c>
      <c r="H3849" s="51" t="s">
        <v>15</v>
      </c>
      <c r="I3849" s="17">
        <v>36671.81</v>
      </c>
      <c r="J3849" s="17">
        <f>IF(Gastos[[#This Row],[Divisa]]="$", I3849*1, IF(Gastos[[#This Row],[Divisa]]="U$D", I3849*$N$1, IF(Gastos[[#This Row],[Divisa]]="EUR", I3849*$N$2, 0)))</f>
        <v>36671.81</v>
      </c>
      <c r="K3849" s="61">
        <f>Gastos[[#This Row],[Importe AR$]]/$N$1</f>
        <v>24.205815181518151</v>
      </c>
      <c r="L3849" t="s">
        <v>340</v>
      </c>
      <c r="M3849" s="76"/>
      <c r="N3849" s="50" t="str">
        <f>IF(Gastos[[#This Row],[Fecha_Cheque]]&gt;0,WEEKNUM(Gastos[[#This Row],[Fecha_Cheque]]),MID(Gastos[[#This Row],[Semana]],6,2))</f>
        <v>30</v>
      </c>
      <c r="O3849" t="s">
        <v>3872</v>
      </c>
      <c r="P3849" t="s">
        <v>27</v>
      </c>
    </row>
    <row r="3850" spans="1:16" hidden="1" x14ac:dyDescent="0.25">
      <c r="A3850" s="3" t="s">
        <v>3907</v>
      </c>
      <c r="B3850" t="s">
        <v>2652</v>
      </c>
      <c r="C3850" t="s">
        <v>3790</v>
      </c>
      <c r="D3850" t="s">
        <v>26</v>
      </c>
      <c r="E3850" t="s">
        <v>62</v>
      </c>
      <c r="F3850">
        <v>2</v>
      </c>
      <c r="G3850" s="3" t="s">
        <v>4</v>
      </c>
      <c r="H3850" s="51" t="s">
        <v>15</v>
      </c>
      <c r="I3850" s="17">
        <v>500000</v>
      </c>
      <c r="J3850" s="17">
        <f>IF(Gastos[[#This Row],[Divisa]]="$", I3850*1, IF(Gastos[[#This Row],[Divisa]]="U$D", I3850*$N$1, IF(Gastos[[#This Row],[Divisa]]="EUR", I3850*$N$2, 0)))</f>
        <v>500000</v>
      </c>
      <c r="K3850" s="61">
        <f>Gastos[[#This Row],[Importe AR$]]/$N$1</f>
        <v>330.03300330033005</v>
      </c>
      <c r="M3850" s="76"/>
      <c r="N3850" s="50" t="str">
        <f>IF(Gastos[[#This Row],[Fecha_Cheque]]&gt;0,WEEKNUM(Gastos[[#This Row],[Fecha_Cheque]]),MID(Gastos[[#This Row],[Semana]],6,2))</f>
        <v>31</v>
      </c>
      <c r="O3850" t="s">
        <v>3982</v>
      </c>
      <c r="P3850" t="s">
        <v>27</v>
      </c>
    </row>
    <row r="3851" spans="1:16" x14ac:dyDescent="0.25">
      <c r="A3851" s="3" t="s">
        <v>3990</v>
      </c>
      <c r="B3851" t="s">
        <v>1525</v>
      </c>
      <c r="C3851" t="s">
        <v>693</v>
      </c>
      <c r="D3851" t="s">
        <v>26</v>
      </c>
      <c r="E3851" t="s">
        <v>91</v>
      </c>
      <c r="F3851">
        <v>1</v>
      </c>
      <c r="G3851" s="3" t="s">
        <v>5</v>
      </c>
      <c r="H3851" s="51" t="s">
        <v>15</v>
      </c>
      <c r="I3851" s="17">
        <v>796101</v>
      </c>
      <c r="J3851" s="17">
        <f>IF(Gastos[[#This Row],[Divisa]]="$", I3851*1, IF(Gastos[[#This Row],[Divisa]]="U$D", I3851*$N$1, IF(Gastos[[#This Row],[Divisa]]="EUR", I3851*$N$2, 0)))</f>
        <v>796101</v>
      </c>
      <c r="K3851" s="61">
        <f>Gastos[[#This Row],[Importe AR$]]/$N$1</f>
        <v>525.47920792079208</v>
      </c>
      <c r="M3851" s="76"/>
      <c r="N3851" s="50" t="str">
        <f>IF(Gastos[[#This Row],[Fecha_Cheque]]&gt;0,WEEKNUM(Gastos[[#This Row],[Fecha_Cheque]]),MID(Gastos[[#This Row],[Semana]],6,2))</f>
        <v>32</v>
      </c>
      <c r="P3851" t="s">
        <v>3991</v>
      </c>
    </row>
    <row r="3852" spans="1:16" x14ac:dyDescent="0.25">
      <c r="A3852" s="3" t="s">
        <v>3990</v>
      </c>
      <c r="B3852" t="s">
        <v>1525</v>
      </c>
      <c r="C3852" t="s">
        <v>422</v>
      </c>
      <c r="D3852" t="s">
        <v>26</v>
      </c>
      <c r="E3852" t="s">
        <v>91</v>
      </c>
      <c r="F3852">
        <v>1</v>
      </c>
      <c r="G3852" s="3" t="s">
        <v>5</v>
      </c>
      <c r="H3852" s="51" t="s">
        <v>15</v>
      </c>
      <c r="I3852" s="17">
        <v>1041101</v>
      </c>
      <c r="J3852" s="17">
        <f>IF(Gastos[[#This Row],[Divisa]]="$", I3852*1, IF(Gastos[[#This Row],[Divisa]]="U$D", I3852*$N$1, IF(Gastos[[#This Row],[Divisa]]="EUR", I3852*$N$2, 0)))</f>
        <v>1041101</v>
      </c>
      <c r="K3852" s="61">
        <f>Gastos[[#This Row],[Importe AR$]]/$N$1</f>
        <v>687.19537953795384</v>
      </c>
      <c r="M3852" s="76"/>
      <c r="N3852" s="50" t="str">
        <f>IF(Gastos[[#This Row],[Fecha_Cheque]]&gt;0,WEEKNUM(Gastos[[#This Row],[Fecha_Cheque]]),MID(Gastos[[#This Row],[Semana]],6,2))</f>
        <v>32</v>
      </c>
      <c r="P3852" t="s">
        <v>3991</v>
      </c>
    </row>
    <row r="3853" spans="1:16" hidden="1" x14ac:dyDescent="0.25">
      <c r="A3853" s="3" t="s">
        <v>3842</v>
      </c>
      <c r="B3853" t="s">
        <v>3844</v>
      </c>
      <c r="C3853" t="s">
        <v>3845</v>
      </c>
      <c r="D3853" t="s">
        <v>26</v>
      </c>
      <c r="E3853" t="s">
        <v>31</v>
      </c>
      <c r="F3853">
        <v>2</v>
      </c>
      <c r="G3853" s="3" t="s">
        <v>32</v>
      </c>
      <c r="H3853" s="51" t="s">
        <v>15</v>
      </c>
      <c r="I3853" s="17">
        <v>2500000</v>
      </c>
      <c r="J3853" s="17">
        <f>IF(Gastos[[#This Row],[Divisa]]="$", I3853*1, IF(Gastos[[#This Row],[Divisa]]="U$D", I3853*$N$1, IF(Gastos[[#This Row],[Divisa]]="EUR", I3853*$N$2, 0)))</f>
        <v>2500000</v>
      </c>
      <c r="K3853" s="61">
        <f>Gastos[[#This Row],[Importe AR$]]/$N$1</f>
        <v>1650.1650165016501</v>
      </c>
      <c r="M3853" s="76">
        <v>46252</v>
      </c>
      <c r="N3853" s="50">
        <f>IF(Gastos[[#This Row],[Fecha_Cheque]]&gt;0,WEEKNUM(Gastos[[#This Row],[Fecha_Cheque]]),MID(Gastos[[#This Row],[Semana]],6,2))</f>
        <v>34</v>
      </c>
      <c r="O3853" t="s">
        <v>3846</v>
      </c>
      <c r="P3853" t="s">
        <v>27</v>
      </c>
    </row>
    <row r="3854" spans="1:16" hidden="1" x14ac:dyDescent="0.25">
      <c r="A3854" s="3" t="s">
        <v>3842</v>
      </c>
      <c r="B3854" t="s">
        <v>3844</v>
      </c>
      <c r="C3854" t="s">
        <v>3845</v>
      </c>
      <c r="D3854" t="s">
        <v>26</v>
      </c>
      <c r="E3854" t="s">
        <v>31</v>
      </c>
      <c r="F3854">
        <v>2</v>
      </c>
      <c r="G3854" s="3" t="s">
        <v>32</v>
      </c>
      <c r="H3854" s="51" t="s">
        <v>15</v>
      </c>
      <c r="I3854" s="17">
        <v>2726733</v>
      </c>
      <c r="J3854" s="17">
        <f>IF(Gastos[[#This Row],[Divisa]]="$", I3854*1, IF(Gastos[[#This Row],[Divisa]]="U$D", I3854*$N$1, IF(Gastos[[#This Row],[Divisa]]="EUR", I3854*$N$2, 0)))</f>
        <v>2726733</v>
      </c>
      <c r="K3854" s="61">
        <f>Gastos[[#This Row],[Importe AR$]]/$N$1</f>
        <v>1799.8237623762377</v>
      </c>
      <c r="M3854" s="76">
        <v>46262</v>
      </c>
      <c r="N3854" s="50">
        <f>IF(Gastos[[#This Row],[Fecha_Cheque]]&gt;0,WEEKNUM(Gastos[[#This Row],[Fecha_Cheque]]),MID(Gastos[[#This Row],[Semana]],6,2))</f>
        <v>35</v>
      </c>
      <c r="O3854" t="s">
        <v>3846</v>
      </c>
      <c r="P3854" t="s">
        <v>27</v>
      </c>
    </row>
    <row r="3855" spans="1:16" hidden="1" x14ac:dyDescent="0.25">
      <c r="A3855" s="3" t="s">
        <v>3842</v>
      </c>
      <c r="B3855" t="s">
        <v>2587</v>
      </c>
      <c r="C3855" t="s">
        <v>1948</v>
      </c>
      <c r="D3855" t="s">
        <v>26</v>
      </c>
      <c r="E3855" t="s">
        <v>42</v>
      </c>
      <c r="F3855">
        <v>1</v>
      </c>
      <c r="G3855" s="3" t="s">
        <v>4</v>
      </c>
      <c r="H3855" s="51" t="s">
        <v>15</v>
      </c>
      <c r="I3855" s="17">
        <v>144000</v>
      </c>
      <c r="J3855" s="17">
        <f>IF(Gastos[[#This Row],[Divisa]]="$", I3855*1, IF(Gastos[[#This Row],[Divisa]]="U$D", I3855*$N$1, IF(Gastos[[#This Row],[Divisa]]="EUR", I3855*$N$2, 0)))</f>
        <v>144000</v>
      </c>
      <c r="K3855" s="61">
        <f>Gastos[[#This Row],[Importe AR$]]/$N$1</f>
        <v>95.049504950495049</v>
      </c>
      <c r="M3855" s="76"/>
      <c r="N3855" s="50" t="str">
        <f>IF(Gastos[[#This Row],[Fecha_Cheque]]&gt;0,WEEKNUM(Gastos[[#This Row],[Fecha_Cheque]]),MID(Gastos[[#This Row],[Semana]],6,2))</f>
        <v>30</v>
      </c>
      <c r="O3855" t="s">
        <v>3854</v>
      </c>
      <c r="P3855" t="s">
        <v>27</v>
      </c>
    </row>
    <row r="3856" spans="1:16" hidden="1" x14ac:dyDescent="0.25">
      <c r="A3856" s="3" t="s">
        <v>3842</v>
      </c>
      <c r="B3856" t="s">
        <v>2587</v>
      </c>
      <c r="C3856" t="s">
        <v>1948</v>
      </c>
      <c r="D3856" t="s">
        <v>26</v>
      </c>
      <c r="E3856" t="s">
        <v>42</v>
      </c>
      <c r="F3856">
        <v>1</v>
      </c>
      <c r="G3856" s="3" t="s">
        <v>4</v>
      </c>
      <c r="H3856" s="51" t="s">
        <v>15</v>
      </c>
      <c r="I3856" s="17">
        <v>72600</v>
      </c>
      <c r="J3856" s="17">
        <f>IF(Gastos[[#This Row],[Divisa]]="$", I3856*1, IF(Gastos[[#This Row],[Divisa]]="U$D", I3856*$N$1, IF(Gastos[[#This Row],[Divisa]]="EUR", I3856*$N$2, 0)))</f>
        <v>72600</v>
      </c>
      <c r="K3856" s="61">
        <f>Gastos[[#This Row],[Importe AR$]]/$N$1</f>
        <v>47.920792079207921</v>
      </c>
      <c r="M3856" s="76"/>
      <c r="N3856" s="50" t="str">
        <f>IF(Gastos[[#This Row],[Fecha_Cheque]]&gt;0,WEEKNUM(Gastos[[#This Row],[Fecha_Cheque]]),MID(Gastos[[#This Row],[Semana]],6,2))</f>
        <v>30</v>
      </c>
      <c r="O3856" t="s">
        <v>3878</v>
      </c>
      <c r="P3856" t="s">
        <v>27</v>
      </c>
    </row>
    <row r="3857" spans="1:16" hidden="1" x14ac:dyDescent="0.25">
      <c r="A3857" s="3" t="s">
        <v>3842</v>
      </c>
      <c r="B3857" t="s">
        <v>344</v>
      </c>
      <c r="C3857" t="s">
        <v>3880</v>
      </c>
      <c r="D3857" t="s">
        <v>26</v>
      </c>
      <c r="E3857" t="s">
        <v>31</v>
      </c>
      <c r="F3857">
        <v>1</v>
      </c>
      <c r="G3857" s="3" t="s">
        <v>32</v>
      </c>
      <c r="H3857" s="51" t="s">
        <v>15</v>
      </c>
      <c r="I3857" s="17">
        <v>153000</v>
      </c>
      <c r="J3857" s="17">
        <f>IF(Gastos[[#This Row],[Divisa]]="$", I3857*1, IF(Gastos[[#This Row],[Divisa]]="U$D", I3857*$N$1, IF(Gastos[[#This Row],[Divisa]]="EUR", I3857*$N$2, 0)))</f>
        <v>153000</v>
      </c>
      <c r="K3857" s="61">
        <f>Gastos[[#This Row],[Importe AR$]]/$N$1</f>
        <v>100.99009900990099</v>
      </c>
      <c r="M3857" s="76"/>
      <c r="N3857" s="50" t="str">
        <f>IF(Gastos[[#This Row],[Fecha_Cheque]]&gt;0,WEEKNUM(Gastos[[#This Row],[Fecha_Cheque]]),MID(Gastos[[#This Row],[Semana]],6,2))</f>
        <v>30</v>
      </c>
      <c r="O3857" t="s">
        <v>3881</v>
      </c>
      <c r="P3857" t="s">
        <v>27</v>
      </c>
    </row>
    <row r="3858" spans="1:16" x14ac:dyDescent="0.25">
      <c r="A3858" s="3" t="s">
        <v>3990</v>
      </c>
      <c r="B3858" t="s">
        <v>1571</v>
      </c>
      <c r="C3858" t="s">
        <v>155</v>
      </c>
      <c r="D3858" t="s">
        <v>26</v>
      </c>
      <c r="E3858" t="s">
        <v>42</v>
      </c>
      <c r="F3858">
        <v>1</v>
      </c>
      <c r="G3858" s="3" t="s">
        <v>4</v>
      </c>
      <c r="H3858" s="53" t="s">
        <v>15</v>
      </c>
      <c r="I3858" s="17">
        <v>190000</v>
      </c>
      <c r="J3858" s="17">
        <f>IF(Gastos[[#This Row],[Divisa]]="$", I3858*1, IF(Gastos[[#This Row],[Divisa]]="U$D", I3858*$N$1, IF(Gastos[[#This Row],[Divisa]]="EUR", I3858*$N$2, 0)))</f>
        <v>190000</v>
      </c>
      <c r="K3858" s="61">
        <f>Gastos[[#This Row],[Importe AR$]]/$N$1</f>
        <v>125.41254125412541</v>
      </c>
      <c r="L3858" s="99"/>
      <c r="M3858" s="100"/>
      <c r="N3858" s="101" t="str">
        <f>IF(Gastos[[#This Row],[Fecha_Cheque]]&gt;0,WEEKNUM(Gastos[[#This Row],[Fecha_Cheque]]),MID(Gastos[[#This Row],[Semana]],6,2))</f>
        <v>32</v>
      </c>
      <c r="O3858" s="99"/>
      <c r="P3858" s="99" t="s">
        <v>3991</v>
      </c>
    </row>
    <row r="3859" spans="1:16" hidden="1" x14ac:dyDescent="0.25">
      <c r="A3859" s="3" t="s">
        <v>3907</v>
      </c>
      <c r="B3859" t="s">
        <v>1760</v>
      </c>
      <c r="C3859" t="s">
        <v>3945</v>
      </c>
      <c r="D3859" t="s">
        <v>26</v>
      </c>
      <c r="E3859" t="s">
        <v>62</v>
      </c>
      <c r="F3859">
        <v>2</v>
      </c>
      <c r="G3859" s="3" t="s">
        <v>4</v>
      </c>
      <c r="H3859" s="51" t="s">
        <v>15</v>
      </c>
      <c r="I3859" s="17">
        <v>924739</v>
      </c>
      <c r="J3859" s="17">
        <f>IF(Gastos[[#This Row],[Divisa]]="$", I3859*1, IF(Gastos[[#This Row],[Divisa]]="U$D", I3859*$N$1, IF(Gastos[[#This Row],[Divisa]]="EUR", I3859*$N$2, 0)))</f>
        <v>924739</v>
      </c>
      <c r="K3859" s="61">
        <f>Gastos[[#This Row],[Importe AR$]]/$N$1</f>
        <v>610.38877887788783</v>
      </c>
      <c r="M3859" s="76"/>
      <c r="N3859" s="50" t="str">
        <f>IF(Gastos[[#This Row],[Fecha_Cheque]]&gt;0,WEEKNUM(Gastos[[#This Row],[Fecha_Cheque]]),MID(Gastos[[#This Row],[Semana]],6,2))</f>
        <v>31</v>
      </c>
      <c r="O3859" t="s">
        <v>3981</v>
      </c>
      <c r="P3859" t="s">
        <v>27</v>
      </c>
    </row>
    <row r="3860" spans="1:16" x14ac:dyDescent="0.25">
      <c r="A3860" s="3" t="s">
        <v>3990</v>
      </c>
      <c r="B3860" t="s">
        <v>1571</v>
      </c>
      <c r="C3860" t="s">
        <v>155</v>
      </c>
      <c r="D3860" t="s">
        <v>26</v>
      </c>
      <c r="E3860" t="s">
        <v>42</v>
      </c>
      <c r="F3860">
        <v>1</v>
      </c>
      <c r="G3860" s="3" t="s">
        <v>4</v>
      </c>
      <c r="H3860" s="51" t="s">
        <v>15</v>
      </c>
      <c r="I3860" s="17">
        <v>0</v>
      </c>
      <c r="J3860" s="17">
        <f>IF(Gastos[[#This Row],[Divisa]]="$", I3860*1, IF(Gastos[[#This Row],[Divisa]]="U$D", I3860*$N$1, IF(Gastos[[#This Row],[Divisa]]="EUR", I3860*$N$2, 0)))</f>
        <v>0</v>
      </c>
      <c r="K3860" s="61">
        <f>Gastos[[#This Row],[Importe AR$]]/$N$1</f>
        <v>0</v>
      </c>
      <c r="M3860" s="76"/>
      <c r="N3860" s="50" t="str">
        <f>IF(Gastos[[#This Row],[Fecha_Cheque]]&gt;0,WEEKNUM(Gastos[[#This Row],[Fecha_Cheque]]),MID(Gastos[[#This Row],[Semana]],6,2))</f>
        <v>32</v>
      </c>
    </row>
    <row r="3861" spans="1:16" x14ac:dyDescent="0.25">
      <c r="A3861" s="3" t="s">
        <v>3990</v>
      </c>
      <c r="B3861" t="s">
        <v>1580</v>
      </c>
      <c r="C3861" t="s">
        <v>3400</v>
      </c>
      <c r="D3861" t="s">
        <v>26</v>
      </c>
      <c r="E3861" t="s">
        <v>62</v>
      </c>
      <c r="F3861">
        <v>1</v>
      </c>
      <c r="G3861" s="3" t="s">
        <v>32</v>
      </c>
      <c r="H3861" s="51" t="s">
        <v>15</v>
      </c>
      <c r="I3861" s="17">
        <v>2300000</v>
      </c>
      <c r="J3861" s="17">
        <f>IF(Gastos[[#This Row],[Divisa]]="$", I3861*1, IF(Gastos[[#This Row],[Divisa]]="U$D", I3861*$N$1, IF(Gastos[[#This Row],[Divisa]]="EUR", I3861*$N$2, 0)))</f>
        <v>2300000</v>
      </c>
      <c r="K3861" s="61">
        <f>Gastos[[#This Row],[Importe AR$]]/$N$1</f>
        <v>1518.1518151815183</v>
      </c>
      <c r="M3861" s="76"/>
      <c r="N3861" s="50" t="str">
        <f>IF(Gastos[[#This Row],[Fecha_Cheque]]&gt;0,WEEKNUM(Gastos[[#This Row],[Fecha_Cheque]]),MID(Gastos[[#This Row],[Semana]],6,2))</f>
        <v>32</v>
      </c>
    </row>
    <row r="3862" spans="1:16" hidden="1" x14ac:dyDescent="0.25">
      <c r="A3862" s="3" t="s">
        <v>3842</v>
      </c>
      <c r="B3862" t="s">
        <v>3839</v>
      </c>
      <c r="C3862" t="s">
        <v>2741</v>
      </c>
      <c r="D3862" t="s">
        <v>26</v>
      </c>
      <c r="E3862" t="s">
        <v>3897</v>
      </c>
      <c r="F3862">
        <v>1</v>
      </c>
      <c r="G3862" s="3" t="s">
        <v>32</v>
      </c>
      <c r="H3862" s="51" t="s">
        <v>15</v>
      </c>
      <c r="I3862" s="17">
        <v>1328280</v>
      </c>
      <c r="J3862" s="17">
        <f>IF(Gastos[[#This Row],[Divisa]]="$", I3862*1, IF(Gastos[[#This Row],[Divisa]]="U$D", I3862*$N$1, IF(Gastos[[#This Row],[Divisa]]="EUR", I3862*$N$2, 0)))</f>
        <v>1328280</v>
      </c>
      <c r="K3862" s="61">
        <f>Gastos[[#This Row],[Importe AR$]]/$N$1</f>
        <v>876.75247524752479</v>
      </c>
      <c r="M3862" s="76">
        <v>46246</v>
      </c>
      <c r="N3862" s="50">
        <f>IF(Gastos[[#This Row],[Fecha_Cheque]]&gt;0,WEEKNUM(Gastos[[#This Row],[Fecha_Cheque]]),MID(Gastos[[#This Row],[Semana]],6,2))</f>
        <v>33</v>
      </c>
      <c r="O3862" t="s">
        <v>3898</v>
      </c>
      <c r="P3862" t="s">
        <v>27</v>
      </c>
    </row>
    <row r="3863" spans="1:16" hidden="1" x14ac:dyDescent="0.25">
      <c r="A3863" s="3" t="s">
        <v>3842</v>
      </c>
      <c r="B3863" t="s">
        <v>3839</v>
      </c>
      <c r="C3863" t="s">
        <v>2741</v>
      </c>
      <c r="D3863" t="s">
        <v>26</v>
      </c>
      <c r="E3863" t="s">
        <v>42</v>
      </c>
      <c r="F3863">
        <v>1</v>
      </c>
      <c r="G3863" s="3" t="s">
        <v>4</v>
      </c>
      <c r="H3863" s="51" t="s">
        <v>15</v>
      </c>
      <c r="I3863" s="17">
        <v>171720</v>
      </c>
      <c r="J3863" s="17">
        <f>IF(Gastos[[#This Row],[Divisa]]="$", I3863*1, IF(Gastos[[#This Row],[Divisa]]="U$D", I3863*$N$1, IF(Gastos[[#This Row],[Divisa]]="EUR", I3863*$N$2, 0)))</f>
        <v>171720</v>
      </c>
      <c r="K3863" s="61">
        <f>Gastos[[#This Row],[Importe AR$]]/$N$1</f>
        <v>113.34653465346534</v>
      </c>
      <c r="M3863" s="76">
        <v>46246</v>
      </c>
      <c r="N3863" s="50">
        <f>IF(Gastos[[#This Row],[Fecha_Cheque]]&gt;0,WEEKNUM(Gastos[[#This Row],[Fecha_Cheque]]),MID(Gastos[[#This Row],[Semana]],6,2))</f>
        <v>33</v>
      </c>
      <c r="O3863" t="s">
        <v>3898</v>
      </c>
      <c r="P3863" t="s">
        <v>27</v>
      </c>
    </row>
    <row r="3864" spans="1:16" hidden="1" x14ac:dyDescent="0.25">
      <c r="A3864" s="3" t="s">
        <v>3842</v>
      </c>
      <c r="B3864" t="s">
        <v>3294</v>
      </c>
      <c r="C3864" t="s">
        <v>3626</v>
      </c>
      <c r="D3864" t="s">
        <v>26</v>
      </c>
      <c r="E3864" t="s">
        <v>42</v>
      </c>
      <c r="F3864">
        <v>2</v>
      </c>
      <c r="G3864" s="3" t="s">
        <v>4</v>
      </c>
      <c r="H3864" s="51" t="s">
        <v>15</v>
      </c>
      <c r="I3864" s="17">
        <v>380000</v>
      </c>
      <c r="J3864" s="17">
        <f>IF(Gastos[[#This Row],[Divisa]]="$", I3864*1, IF(Gastos[[#This Row],[Divisa]]="U$D", I3864*$N$1, IF(Gastos[[#This Row],[Divisa]]="EUR", I3864*$N$2, 0)))</f>
        <v>380000</v>
      </c>
      <c r="K3864" s="61">
        <f>Gastos[[#This Row],[Importe AR$]]/$N$1</f>
        <v>250.82508250825083</v>
      </c>
      <c r="M3864" s="76"/>
      <c r="N3864" s="50" t="str">
        <f>IF(Gastos[[#This Row],[Fecha_Cheque]]&gt;0,WEEKNUM(Gastos[[#This Row],[Fecha_Cheque]]),MID(Gastos[[#This Row],[Semana]],6,2))</f>
        <v>30</v>
      </c>
      <c r="O3864" t="s">
        <v>3906</v>
      </c>
      <c r="P3864" t="s">
        <v>27</v>
      </c>
    </row>
    <row r="3865" spans="1:16" hidden="1" x14ac:dyDescent="0.25">
      <c r="A3865" s="3" t="s">
        <v>3907</v>
      </c>
      <c r="B3865" t="s">
        <v>1760</v>
      </c>
      <c r="C3865" t="s">
        <v>3070</v>
      </c>
      <c r="D3865" t="s">
        <v>26</v>
      </c>
      <c r="E3865" t="s">
        <v>62</v>
      </c>
      <c r="F3865">
        <v>2</v>
      </c>
      <c r="G3865" s="3" t="s">
        <v>32</v>
      </c>
      <c r="H3865" s="51" t="s">
        <v>15</v>
      </c>
      <c r="I3865" s="17">
        <v>631970</v>
      </c>
      <c r="J3865" s="17">
        <f>IF(Gastos[[#This Row],[Divisa]]="$", I3865*1, IF(Gastos[[#This Row],[Divisa]]="U$D", I3865*$N$1, IF(Gastos[[#This Row],[Divisa]]="EUR", I3865*$N$2, 0)))</f>
        <v>631970</v>
      </c>
      <c r="K3865" s="61">
        <f>Gastos[[#This Row],[Importe AR$]]/$N$1</f>
        <v>417.14191419141912</v>
      </c>
      <c r="M3865" s="76">
        <v>46244</v>
      </c>
      <c r="N3865" s="50">
        <f>IF(Gastos[[#This Row],[Fecha_Cheque]]&gt;0,WEEKNUM(Gastos[[#This Row],[Fecha_Cheque]]),MID(Gastos[[#This Row],[Semana]],6,2))</f>
        <v>33</v>
      </c>
      <c r="O3865" t="s">
        <v>3944</v>
      </c>
      <c r="P3865" t="s">
        <v>27</v>
      </c>
    </row>
    <row r="3866" spans="1:16" hidden="1" x14ac:dyDescent="0.25">
      <c r="A3866" s="3" t="s">
        <v>3907</v>
      </c>
      <c r="B3866" t="s">
        <v>1760</v>
      </c>
      <c r="C3866" t="s">
        <v>3070</v>
      </c>
      <c r="D3866" t="s">
        <v>26</v>
      </c>
      <c r="E3866" t="s">
        <v>62</v>
      </c>
      <c r="F3866">
        <v>2</v>
      </c>
      <c r="G3866" s="3" t="s">
        <v>32</v>
      </c>
      <c r="H3866" s="51" t="s">
        <v>15</v>
      </c>
      <c r="I3866" s="17">
        <v>1081844</v>
      </c>
      <c r="J3866" s="17">
        <f>IF(Gastos[[#This Row],[Divisa]]="$", I3866*1, IF(Gastos[[#This Row],[Divisa]]="U$D", I3866*$N$1, IF(Gastos[[#This Row],[Divisa]]="EUR", I3866*$N$2, 0)))</f>
        <v>1081844</v>
      </c>
      <c r="K3866" s="61">
        <f>Gastos[[#This Row],[Importe AR$]]/$N$1</f>
        <v>714.08844884488451</v>
      </c>
      <c r="M3866" s="76">
        <v>46250</v>
      </c>
      <c r="N3866" s="50">
        <f>IF(Gastos[[#This Row],[Fecha_Cheque]]&gt;0,WEEKNUM(Gastos[[#This Row],[Fecha_Cheque]]),MID(Gastos[[#This Row],[Semana]],6,2))</f>
        <v>34</v>
      </c>
      <c r="O3866" t="s">
        <v>3944</v>
      </c>
      <c r="P3866" t="s">
        <v>27</v>
      </c>
    </row>
    <row r="3867" spans="1:16" hidden="1" x14ac:dyDescent="0.25">
      <c r="A3867" s="3" t="s">
        <v>3907</v>
      </c>
      <c r="B3867" t="s">
        <v>1760</v>
      </c>
      <c r="C3867" t="s">
        <v>3070</v>
      </c>
      <c r="D3867" t="s">
        <v>26</v>
      </c>
      <c r="E3867" t="s">
        <v>62</v>
      </c>
      <c r="F3867">
        <v>2</v>
      </c>
      <c r="G3867" s="3" t="s">
        <v>32</v>
      </c>
      <c r="H3867" s="51" t="s">
        <v>15</v>
      </c>
      <c r="I3867" s="17">
        <v>1200000</v>
      </c>
      <c r="J3867" s="17">
        <f>IF(Gastos[[#This Row],[Divisa]]="$", I3867*1, IF(Gastos[[#This Row],[Divisa]]="U$D", I3867*$N$1, IF(Gastos[[#This Row],[Divisa]]="EUR", I3867*$N$2, 0)))</f>
        <v>1200000</v>
      </c>
      <c r="K3867" s="61">
        <f>Gastos[[#This Row],[Importe AR$]]/$N$1</f>
        <v>792.0792079207921</v>
      </c>
      <c r="M3867" s="76">
        <v>46250</v>
      </c>
      <c r="N3867" s="50">
        <f>IF(Gastos[[#This Row],[Fecha_Cheque]]&gt;0,WEEKNUM(Gastos[[#This Row],[Fecha_Cheque]]),MID(Gastos[[#This Row],[Semana]],6,2))</f>
        <v>34</v>
      </c>
      <c r="O3867" t="s">
        <v>3944</v>
      </c>
      <c r="P3867" t="s">
        <v>27</v>
      </c>
    </row>
    <row r="3868" spans="1:16" hidden="1" x14ac:dyDescent="0.25">
      <c r="A3868" s="3" t="s">
        <v>3907</v>
      </c>
      <c r="B3868" t="s">
        <v>1760</v>
      </c>
      <c r="C3868" t="s">
        <v>3070</v>
      </c>
      <c r="D3868" t="s">
        <v>26</v>
      </c>
      <c r="E3868" t="s">
        <v>62</v>
      </c>
      <c r="F3868">
        <v>2</v>
      </c>
      <c r="G3868" s="3" t="s">
        <v>32</v>
      </c>
      <c r="H3868" s="51" t="s">
        <v>15</v>
      </c>
      <c r="I3868" s="17">
        <v>2500000</v>
      </c>
      <c r="J3868" s="17">
        <f>IF(Gastos[[#This Row],[Divisa]]="$", I3868*1, IF(Gastos[[#This Row],[Divisa]]="U$D", I3868*$N$1, IF(Gastos[[#This Row],[Divisa]]="EUR", I3868*$N$2, 0)))</f>
        <v>2500000</v>
      </c>
      <c r="K3868" s="61">
        <f>Gastos[[#This Row],[Importe AR$]]/$N$1</f>
        <v>1650.1650165016501</v>
      </c>
      <c r="M3868" s="76">
        <v>46254</v>
      </c>
      <c r="N3868" s="50">
        <f>IF(Gastos[[#This Row],[Fecha_Cheque]]&gt;0,WEEKNUM(Gastos[[#This Row],[Fecha_Cheque]]),MID(Gastos[[#This Row],[Semana]],6,2))</f>
        <v>34</v>
      </c>
      <c r="O3868" t="s">
        <v>3944</v>
      </c>
      <c r="P3868" t="s">
        <v>27</v>
      </c>
    </row>
    <row r="3869" spans="1:16" hidden="1" x14ac:dyDescent="0.25">
      <c r="A3869" s="3" t="s">
        <v>3907</v>
      </c>
      <c r="B3869" t="s">
        <v>1760</v>
      </c>
      <c r="C3869" t="s">
        <v>3070</v>
      </c>
      <c r="D3869" t="s">
        <v>26</v>
      </c>
      <c r="E3869" t="s">
        <v>62</v>
      </c>
      <c r="F3869">
        <v>2</v>
      </c>
      <c r="G3869" s="3" t="s">
        <v>32</v>
      </c>
      <c r="H3869" s="51" t="s">
        <v>15</v>
      </c>
      <c r="I3869" s="17">
        <v>400997</v>
      </c>
      <c r="J3869" s="17">
        <f>IF(Gastos[[#This Row],[Divisa]]="$", I3869*1, IF(Gastos[[#This Row],[Divisa]]="U$D", I3869*$N$1, IF(Gastos[[#This Row],[Divisa]]="EUR", I3869*$N$2, 0)))</f>
        <v>400997</v>
      </c>
      <c r="K3869" s="61">
        <f>Gastos[[#This Row],[Importe AR$]]/$N$1</f>
        <v>264.68448844884489</v>
      </c>
      <c r="M3869" s="76">
        <v>46295</v>
      </c>
      <c r="N3869" s="50">
        <f>IF(Gastos[[#This Row],[Fecha_Cheque]]&gt;0,WEEKNUM(Gastos[[#This Row],[Fecha_Cheque]]),MID(Gastos[[#This Row],[Semana]],6,2))</f>
        <v>40</v>
      </c>
      <c r="O3869" t="s">
        <v>3944</v>
      </c>
      <c r="P3869" t="s">
        <v>27</v>
      </c>
    </row>
    <row r="3870" spans="1:16" hidden="1" x14ac:dyDescent="0.25">
      <c r="A3870" s="3" t="s">
        <v>3907</v>
      </c>
      <c r="B3870" t="s">
        <v>1760</v>
      </c>
      <c r="C3870" t="s">
        <v>3070</v>
      </c>
      <c r="D3870" t="s">
        <v>26</v>
      </c>
      <c r="E3870" t="s">
        <v>62</v>
      </c>
      <c r="F3870">
        <v>2</v>
      </c>
      <c r="G3870" s="3" t="s">
        <v>32</v>
      </c>
      <c r="H3870" s="51" t="s">
        <v>15</v>
      </c>
      <c r="I3870" s="17">
        <v>2511450</v>
      </c>
      <c r="J3870" s="17">
        <f>IF(Gastos[[#This Row],[Divisa]]="$", I3870*1, IF(Gastos[[#This Row],[Divisa]]="U$D", I3870*$N$1, IF(Gastos[[#This Row],[Divisa]]="EUR", I3870*$N$2, 0)))</f>
        <v>2511450</v>
      </c>
      <c r="K3870" s="61">
        <f>Gastos[[#This Row],[Importe AR$]]/$N$1</f>
        <v>1657.7227722772277</v>
      </c>
      <c r="M3870" s="76">
        <v>46261</v>
      </c>
      <c r="N3870" s="50">
        <f>IF(Gastos[[#This Row],[Fecha_Cheque]]&gt;0,WEEKNUM(Gastos[[#This Row],[Fecha_Cheque]]),MID(Gastos[[#This Row],[Semana]],6,2))</f>
        <v>35</v>
      </c>
      <c r="O3870" t="s">
        <v>3944</v>
      </c>
      <c r="P3870" t="s">
        <v>27</v>
      </c>
    </row>
    <row r="3871" spans="1:16" x14ac:dyDescent="0.25">
      <c r="A3871" s="3" t="s">
        <v>3990</v>
      </c>
      <c r="B3871" t="s">
        <v>1580</v>
      </c>
      <c r="C3871" t="s">
        <v>3401</v>
      </c>
      <c r="D3871" t="s">
        <v>26</v>
      </c>
      <c r="E3871" t="s">
        <v>62</v>
      </c>
      <c r="F3871">
        <v>1</v>
      </c>
      <c r="G3871" s="3" t="s">
        <v>32</v>
      </c>
      <c r="H3871" s="51" t="s">
        <v>15</v>
      </c>
      <c r="I3871" s="17">
        <v>1700000</v>
      </c>
      <c r="J3871" s="17">
        <f>IF(Gastos[[#This Row],[Divisa]]="$", I3871*1, IF(Gastos[[#This Row],[Divisa]]="U$D", I3871*$N$1, IF(Gastos[[#This Row],[Divisa]]="EUR", I3871*$N$2, 0)))</f>
        <v>1700000</v>
      </c>
      <c r="K3871" s="61">
        <f>Gastos[[#This Row],[Importe AR$]]/$N$1</f>
        <v>1122.1122112211222</v>
      </c>
      <c r="M3871" s="76"/>
      <c r="N3871" s="50" t="str">
        <f>IF(Gastos[[#This Row],[Fecha_Cheque]]&gt;0,WEEKNUM(Gastos[[#This Row],[Fecha_Cheque]]),MID(Gastos[[#This Row],[Semana]],6,2))</f>
        <v>32</v>
      </c>
    </row>
    <row r="3872" spans="1:16" x14ac:dyDescent="0.25">
      <c r="A3872" s="3" t="s">
        <v>3990</v>
      </c>
      <c r="B3872" t="s">
        <v>3407</v>
      </c>
      <c r="C3872" t="s">
        <v>3408</v>
      </c>
      <c r="D3872" t="s">
        <v>26</v>
      </c>
      <c r="E3872" t="s">
        <v>62</v>
      </c>
      <c r="F3872">
        <v>1</v>
      </c>
      <c r="G3872" s="3" t="s">
        <v>32</v>
      </c>
      <c r="H3872" s="53" t="s">
        <v>15</v>
      </c>
      <c r="I3872" s="17">
        <v>4528680.96</v>
      </c>
      <c r="J3872" s="17">
        <f>IF(Gastos[[#This Row],[Divisa]]="$", I3872*1, IF(Gastos[[#This Row],[Divisa]]="U$D", I3872*$N$1, IF(Gastos[[#This Row],[Divisa]]="EUR", I3872*$N$2, 0)))</f>
        <v>4528680.96</v>
      </c>
      <c r="K3872" s="61">
        <f>Gastos[[#This Row],[Importe AR$]]/$N$1</f>
        <v>2989.2283564356435</v>
      </c>
      <c r="M3872" s="76"/>
      <c r="N3872" s="50" t="str">
        <f>IF(Gastos[[#This Row],[Fecha_Cheque]]&gt;0,WEEKNUM(Gastos[[#This Row],[Fecha_Cheque]]),MID(Gastos[[#This Row],[Semana]],6,2))</f>
        <v>32</v>
      </c>
    </row>
    <row r="3873" spans="1:16" x14ac:dyDescent="0.25">
      <c r="A3873" s="3" t="s">
        <v>3990</v>
      </c>
      <c r="B3873" t="s">
        <v>2643</v>
      </c>
      <c r="C3873" t="s">
        <v>2644</v>
      </c>
      <c r="D3873" t="s">
        <v>26</v>
      </c>
      <c r="E3873" t="s">
        <v>62</v>
      </c>
      <c r="F3873">
        <v>1</v>
      </c>
      <c r="G3873" s="3" t="s">
        <v>32</v>
      </c>
      <c r="H3873" s="51" t="s">
        <v>15</v>
      </c>
      <c r="I3873" s="17">
        <v>1233360.3700000001</v>
      </c>
      <c r="J3873" s="17">
        <f>IF(Gastos[[#This Row],[Divisa]]="$", I3873*1, IF(Gastos[[#This Row],[Divisa]]="U$D", I3873*$N$1, IF(Gastos[[#This Row],[Divisa]]="EUR", I3873*$N$2, 0)))</f>
        <v>1233360.3700000001</v>
      </c>
      <c r="K3873" s="61">
        <f>Gastos[[#This Row],[Importe AR$]]/$N$1</f>
        <v>814.09925412541259</v>
      </c>
      <c r="M3873" s="76"/>
      <c r="N3873" s="50" t="str">
        <f>IF(Gastos[[#This Row],[Fecha_Cheque]]&gt;0,WEEKNUM(Gastos[[#This Row],[Fecha_Cheque]]),MID(Gastos[[#This Row],[Semana]],6,2))</f>
        <v>32</v>
      </c>
    </row>
    <row r="3874" spans="1:16" x14ac:dyDescent="0.25">
      <c r="A3874" s="3" t="s">
        <v>3990</v>
      </c>
      <c r="B3874" t="s">
        <v>1644</v>
      </c>
      <c r="C3874" t="s">
        <v>1645</v>
      </c>
      <c r="D3874" t="s">
        <v>26</v>
      </c>
      <c r="E3874" t="s">
        <v>62</v>
      </c>
      <c r="F3874">
        <v>1</v>
      </c>
      <c r="G3874" s="3" t="s">
        <v>32</v>
      </c>
      <c r="H3874" s="53" t="s">
        <v>15</v>
      </c>
      <c r="I3874" s="17">
        <f>9160951.38+2534000</f>
        <v>11694951.380000001</v>
      </c>
      <c r="J3874" s="17">
        <f>IF(Gastos[[#This Row],[Divisa]]="$", I3874*1, IF(Gastos[[#This Row],[Divisa]]="U$D", I3874*$N$1, IF(Gastos[[#This Row],[Divisa]]="EUR", I3874*$N$2, 0)))</f>
        <v>11694951.380000001</v>
      </c>
      <c r="K3874" s="61">
        <f>Gastos[[#This Row],[Importe AR$]]/$N$1</f>
        <v>7719.4398547854789</v>
      </c>
      <c r="M3874" s="76"/>
      <c r="N3874" s="50" t="str">
        <f>IF(Gastos[[#This Row],[Fecha_Cheque]]&gt;0,WEEKNUM(Gastos[[#This Row],[Fecha_Cheque]]),MID(Gastos[[#This Row],[Semana]],6,2))</f>
        <v>32</v>
      </c>
    </row>
    <row r="3875" spans="1:16" hidden="1" x14ac:dyDescent="0.25">
      <c r="A3875" s="3" t="s">
        <v>3907</v>
      </c>
      <c r="B3875" t="s">
        <v>1854</v>
      </c>
      <c r="C3875" t="s">
        <v>2667</v>
      </c>
      <c r="D3875" t="s">
        <v>26</v>
      </c>
      <c r="E3875" t="s">
        <v>3955</v>
      </c>
      <c r="F3875">
        <v>2</v>
      </c>
      <c r="G3875" s="3" t="s">
        <v>4</v>
      </c>
      <c r="H3875" s="51" t="s">
        <v>15</v>
      </c>
      <c r="I3875" s="17">
        <v>2000000</v>
      </c>
      <c r="J3875" s="17">
        <f>IF(Gastos[[#This Row],[Divisa]]="$", I3875*1, IF(Gastos[[#This Row],[Divisa]]="U$D", I3875*$N$1, IF(Gastos[[#This Row],[Divisa]]="EUR", I3875*$N$2, 0)))</f>
        <v>2000000</v>
      </c>
      <c r="K3875" s="61">
        <f>Gastos[[#This Row],[Importe AR$]]/$N$1</f>
        <v>1320.1320132013202</v>
      </c>
      <c r="M3875" s="76"/>
      <c r="N3875" s="50" t="str">
        <f>IF(Gastos[[#This Row],[Fecha_Cheque]]&gt;0,WEEKNUM(Gastos[[#This Row],[Fecha_Cheque]]),MID(Gastos[[#This Row],[Semana]],6,2))</f>
        <v>31</v>
      </c>
      <c r="O3875" t="s">
        <v>3989</v>
      </c>
      <c r="P3875" t="s">
        <v>27</v>
      </c>
    </row>
    <row r="3876" spans="1:16" x14ac:dyDescent="0.25">
      <c r="A3876" s="3" t="s">
        <v>3990</v>
      </c>
      <c r="B3876" t="s">
        <v>2652</v>
      </c>
      <c r="C3876" t="s">
        <v>3790</v>
      </c>
      <c r="D3876" t="s">
        <v>26</v>
      </c>
      <c r="E3876" t="s">
        <v>62</v>
      </c>
      <c r="F3876">
        <v>2</v>
      </c>
      <c r="G3876" s="3" t="s">
        <v>4</v>
      </c>
      <c r="H3876" s="51" t="s">
        <v>15</v>
      </c>
      <c r="I3876" s="17">
        <v>144000</v>
      </c>
      <c r="J3876" s="17">
        <f>IF(Gastos[[#This Row],[Divisa]]="$", I3876*1, IF(Gastos[[#This Row],[Divisa]]="U$D", I3876*$N$1, IF(Gastos[[#This Row],[Divisa]]="EUR", I3876*$N$2, 0)))</f>
        <v>144000</v>
      </c>
      <c r="K3876" s="61">
        <f>Gastos[[#This Row],[Importe AR$]]/$N$1</f>
        <v>95.049504950495049</v>
      </c>
      <c r="M3876" s="76"/>
      <c r="N3876" s="50" t="str">
        <f>IF(Gastos[[#This Row],[Fecha_Cheque]]&gt;0,WEEKNUM(Gastos[[#This Row],[Fecha_Cheque]]),MID(Gastos[[#This Row],[Semana]],6,2))</f>
        <v>32</v>
      </c>
    </row>
    <row r="3877" spans="1:16" hidden="1" x14ac:dyDescent="0.25">
      <c r="A3877" s="3" t="s">
        <v>3842</v>
      </c>
      <c r="B3877" t="s">
        <v>3169</v>
      </c>
      <c r="C3877" t="s">
        <v>3170</v>
      </c>
      <c r="D3877" t="s">
        <v>26</v>
      </c>
      <c r="E3877" t="s">
        <v>42</v>
      </c>
      <c r="F3877">
        <v>1</v>
      </c>
      <c r="G3877" s="3" t="s">
        <v>4</v>
      </c>
      <c r="H3877" s="51" t="s">
        <v>15</v>
      </c>
      <c r="I3877" s="17">
        <v>300000</v>
      </c>
      <c r="J3877" s="17">
        <f>IF(Gastos[[#This Row],[Divisa]]="$", I3877*1, IF(Gastos[[#This Row],[Divisa]]="U$D", I3877*$N$1, IF(Gastos[[#This Row],[Divisa]]="EUR", I3877*$N$2, 0)))</f>
        <v>300000</v>
      </c>
      <c r="K3877" s="61">
        <f>Gastos[[#This Row],[Importe AR$]]/$N$1</f>
        <v>198.01980198019803</v>
      </c>
      <c r="M3877" s="76"/>
      <c r="N3877" s="50" t="str">
        <f>IF(Gastos[[#This Row],[Fecha_Cheque]]&gt;0,WEEKNUM(Gastos[[#This Row],[Fecha_Cheque]]),MID(Gastos[[#This Row],[Semana]],6,2))</f>
        <v>30</v>
      </c>
      <c r="O3877" t="s">
        <v>3926</v>
      </c>
      <c r="P3877" t="s">
        <v>27</v>
      </c>
    </row>
    <row r="3878" spans="1:16" x14ac:dyDescent="0.25">
      <c r="A3878" s="3" t="s">
        <v>3990</v>
      </c>
      <c r="B3878" t="s">
        <v>2652</v>
      </c>
      <c r="C3878" t="s">
        <v>3790</v>
      </c>
      <c r="D3878" t="s">
        <v>26</v>
      </c>
      <c r="E3878" t="s">
        <v>62</v>
      </c>
      <c r="F3878">
        <v>2</v>
      </c>
      <c r="G3878" s="3" t="s">
        <v>4</v>
      </c>
      <c r="H3878" s="51" t="s">
        <v>15</v>
      </c>
      <c r="I3878" s="17">
        <v>500000</v>
      </c>
      <c r="J3878" s="17">
        <f>IF(Gastos[[#This Row],[Divisa]]="$", I3878*1, IF(Gastos[[#This Row],[Divisa]]="U$D", I3878*$N$1, IF(Gastos[[#This Row],[Divisa]]="EUR", I3878*$N$2, 0)))</f>
        <v>500000</v>
      </c>
      <c r="K3878" s="61">
        <f>Gastos[[#This Row],[Importe AR$]]/$N$1</f>
        <v>330.03300330033005</v>
      </c>
      <c r="L3878" s="99"/>
      <c r="M3878" s="100"/>
      <c r="N3878" s="101" t="str">
        <f>IF(Gastos[[#This Row],[Fecha_Cheque]]&gt;0,WEEKNUM(Gastos[[#This Row],[Fecha_Cheque]]),MID(Gastos[[#This Row],[Semana]],6,2))</f>
        <v>32</v>
      </c>
      <c r="O3878" s="99"/>
      <c r="P3878" s="99" t="s">
        <v>3991</v>
      </c>
    </row>
    <row r="3879" spans="1:16" hidden="1" x14ac:dyDescent="0.25">
      <c r="A3879" s="3" t="s">
        <v>3907</v>
      </c>
      <c r="B3879" t="s">
        <v>3105</v>
      </c>
      <c r="C3879" t="s">
        <v>3011</v>
      </c>
      <c r="D3879" t="s">
        <v>26</v>
      </c>
      <c r="E3879" t="s">
        <v>62</v>
      </c>
      <c r="F3879">
        <v>1</v>
      </c>
      <c r="G3879" s="3" t="s">
        <v>32</v>
      </c>
      <c r="H3879" s="51" t="s">
        <v>15</v>
      </c>
      <c r="I3879" s="17">
        <v>930079</v>
      </c>
      <c r="J3879" s="17">
        <f>IF(Gastos[[#This Row],[Divisa]]="$", I3879*1, IF(Gastos[[#This Row],[Divisa]]="U$D", I3879*$N$1, IF(Gastos[[#This Row],[Divisa]]="EUR", I3879*$N$2, 0)))</f>
        <v>930079</v>
      </c>
      <c r="K3879" s="61">
        <f>Gastos[[#This Row],[Importe AR$]]/$N$1</f>
        <v>613.91353135313534</v>
      </c>
      <c r="M3879" s="76">
        <v>46262</v>
      </c>
      <c r="N3879" s="50">
        <f>IF(Gastos[[#This Row],[Fecha_Cheque]]&gt;0,WEEKNUM(Gastos[[#This Row],[Fecha_Cheque]]),MID(Gastos[[#This Row],[Semana]],6,2))</f>
        <v>35</v>
      </c>
      <c r="O3879" t="s">
        <v>3939</v>
      </c>
      <c r="P3879" t="s">
        <v>27</v>
      </c>
    </row>
    <row r="3880" spans="1:16" hidden="1" x14ac:dyDescent="0.25">
      <c r="A3880" s="3" t="s">
        <v>3907</v>
      </c>
      <c r="B3880" t="s">
        <v>3105</v>
      </c>
      <c r="C3880" t="s">
        <v>3011</v>
      </c>
      <c r="D3880" t="s">
        <v>26</v>
      </c>
      <c r="E3880" t="s">
        <v>62</v>
      </c>
      <c r="F3880">
        <v>1</v>
      </c>
      <c r="G3880" s="3" t="s">
        <v>5</v>
      </c>
      <c r="H3880" s="51" t="s">
        <v>15</v>
      </c>
      <c r="I3880" s="17">
        <v>81858.45</v>
      </c>
      <c r="J3880" s="17">
        <f>IF(Gastos[[#This Row],[Divisa]]="$", I3880*1, IF(Gastos[[#This Row],[Divisa]]="U$D", I3880*$N$1, IF(Gastos[[#This Row],[Divisa]]="EUR", I3880*$N$2, 0)))</f>
        <v>81858.45</v>
      </c>
      <c r="K3880" s="61">
        <f>Gastos[[#This Row],[Importe AR$]]/$N$1</f>
        <v>54.031980198019802</v>
      </c>
      <c r="M3880" s="76"/>
      <c r="N3880" s="50" t="str">
        <f>IF(Gastos[[#This Row],[Fecha_Cheque]]&gt;0,WEEKNUM(Gastos[[#This Row],[Fecha_Cheque]]),MID(Gastos[[#This Row],[Semana]],6,2))</f>
        <v>31</v>
      </c>
      <c r="O3880" t="s">
        <v>3924</v>
      </c>
      <c r="P3880" t="s">
        <v>27</v>
      </c>
    </row>
    <row r="3881" spans="1:16" hidden="1" x14ac:dyDescent="0.25">
      <c r="A3881" s="3" t="s">
        <v>3907</v>
      </c>
      <c r="B3881" t="s">
        <v>3105</v>
      </c>
      <c r="C3881" t="s">
        <v>3011</v>
      </c>
      <c r="D3881" t="s">
        <v>26</v>
      </c>
      <c r="E3881" t="s">
        <v>62</v>
      </c>
      <c r="F3881">
        <v>1</v>
      </c>
      <c r="G3881" s="3" t="s">
        <v>32</v>
      </c>
      <c r="H3881" s="51" t="s">
        <v>15</v>
      </c>
      <c r="I3881" s="17">
        <v>12452.06</v>
      </c>
      <c r="J3881" s="17">
        <f>IF(Gastos[[#This Row],[Divisa]]="$", I3881*1, IF(Gastos[[#This Row],[Divisa]]="U$D", I3881*$N$1, IF(Gastos[[#This Row],[Divisa]]="EUR", I3881*$N$2, 0)))</f>
        <v>12452.06</v>
      </c>
      <c r="K3881" s="61">
        <f>Gastos[[#This Row],[Importe AR$]]/$N$1</f>
        <v>8.2191815181518155</v>
      </c>
      <c r="L3881" t="s">
        <v>340</v>
      </c>
      <c r="M3881" s="76"/>
      <c r="N3881" s="50" t="str">
        <f>IF(Gastos[[#This Row],[Fecha_Cheque]]&gt;0,WEEKNUM(Gastos[[#This Row],[Fecha_Cheque]]),MID(Gastos[[#This Row],[Semana]],6,2))</f>
        <v>31</v>
      </c>
      <c r="O3881" t="s">
        <v>3939</v>
      </c>
      <c r="P3881" t="s">
        <v>27</v>
      </c>
    </row>
    <row r="3882" spans="1:16" x14ac:dyDescent="0.25">
      <c r="A3882" s="3" t="s">
        <v>3990</v>
      </c>
      <c r="B3882" t="s">
        <v>3827</v>
      </c>
      <c r="C3882" t="s">
        <v>422</v>
      </c>
      <c r="D3882" t="s">
        <v>26</v>
      </c>
      <c r="E3882" t="s">
        <v>91</v>
      </c>
      <c r="F3882">
        <v>1</v>
      </c>
      <c r="G3882" s="3" t="s">
        <v>5</v>
      </c>
      <c r="H3882" s="51" t="s">
        <v>15</v>
      </c>
      <c r="I3882" s="17">
        <v>536000</v>
      </c>
      <c r="J3882" s="17">
        <f>IF(Gastos[[#This Row],[Divisa]]="$", I3882*1, IF(Gastos[[#This Row],[Divisa]]="U$D", I3882*$N$1, IF(Gastos[[#This Row],[Divisa]]="EUR", I3882*$N$2, 0)))</f>
        <v>536000</v>
      </c>
      <c r="K3882" s="61">
        <f>Gastos[[#This Row],[Importe AR$]]/$N$1</f>
        <v>353.79537953795381</v>
      </c>
      <c r="M3882" s="76"/>
      <c r="N3882" s="50" t="str">
        <f>IF(Gastos[[#This Row],[Fecha_Cheque]]&gt;0,WEEKNUM(Gastos[[#This Row],[Fecha_Cheque]]),MID(Gastos[[#This Row],[Semana]],6,2))</f>
        <v>32</v>
      </c>
      <c r="P3882" t="s">
        <v>3991</v>
      </c>
    </row>
    <row r="3883" spans="1:16" hidden="1" x14ac:dyDescent="0.25">
      <c r="A3883" s="3" t="s">
        <v>3907</v>
      </c>
      <c r="B3883" t="s">
        <v>3385</v>
      </c>
      <c r="C3883" t="s">
        <v>1211</v>
      </c>
      <c r="D3883" t="s">
        <v>26</v>
      </c>
      <c r="E3883" t="s">
        <v>42</v>
      </c>
      <c r="F3883">
        <v>1</v>
      </c>
      <c r="G3883" s="3" t="s">
        <v>4</v>
      </c>
      <c r="H3883" s="51" t="s">
        <v>15</v>
      </c>
      <c r="I3883" s="17">
        <v>28100</v>
      </c>
      <c r="J3883" s="17">
        <f>IF(Gastos[[#This Row],[Divisa]]="$", I3883*1, IF(Gastos[[#This Row],[Divisa]]="U$D", I3883*$N$1, IF(Gastos[[#This Row],[Divisa]]="EUR", I3883*$N$2, 0)))</f>
        <v>28100</v>
      </c>
      <c r="K3883" s="61">
        <f>Gastos[[#This Row],[Importe AR$]]/$N$1</f>
        <v>18.547854785478549</v>
      </c>
      <c r="M3883" s="76"/>
      <c r="N3883" s="50" t="str">
        <f>IF(Gastos[[#This Row],[Fecha_Cheque]]&gt;0,WEEKNUM(Gastos[[#This Row],[Fecha_Cheque]]),MID(Gastos[[#This Row],[Semana]],6,2))</f>
        <v>31</v>
      </c>
      <c r="O3883" t="s">
        <v>3971</v>
      </c>
      <c r="P3883" t="s">
        <v>27</v>
      </c>
    </row>
    <row r="3884" spans="1:16" x14ac:dyDescent="0.25">
      <c r="A3884" s="3" t="s">
        <v>3990</v>
      </c>
      <c r="B3884" t="s">
        <v>1760</v>
      </c>
      <c r="C3884" t="s">
        <v>3941</v>
      </c>
      <c r="D3884" t="s">
        <v>26</v>
      </c>
      <c r="E3884" t="s">
        <v>62</v>
      </c>
      <c r="F3884">
        <v>2</v>
      </c>
      <c r="G3884" s="3" t="s">
        <v>32</v>
      </c>
      <c r="H3884" s="53" t="s">
        <v>15</v>
      </c>
      <c r="I3884" s="17">
        <v>4480000</v>
      </c>
      <c r="J3884" s="17">
        <f>IF(Gastos[[#This Row],[Divisa]]="$", I3884*1, IF(Gastos[[#This Row],[Divisa]]="U$D", I3884*$N$1, IF(Gastos[[#This Row],[Divisa]]="EUR", I3884*$N$2, 0)))</f>
        <v>4480000</v>
      </c>
      <c r="K3884" s="61">
        <f>Gastos[[#This Row],[Importe AR$]]/$N$1</f>
        <v>2957.0957095709573</v>
      </c>
      <c r="M3884" s="76"/>
      <c r="N3884" s="50" t="str">
        <f>IF(Gastos[[#This Row],[Fecha_Cheque]]&gt;0,WEEKNUM(Gastos[[#This Row],[Fecha_Cheque]]),MID(Gastos[[#This Row],[Semana]],6,2))</f>
        <v>32</v>
      </c>
    </row>
    <row r="3885" spans="1:16" x14ac:dyDescent="0.25">
      <c r="A3885" s="3" t="s">
        <v>3990</v>
      </c>
      <c r="B3885" t="s">
        <v>1760</v>
      </c>
      <c r="C3885" t="s">
        <v>3942</v>
      </c>
      <c r="D3885" t="s">
        <v>26</v>
      </c>
      <c r="E3885" t="s">
        <v>62</v>
      </c>
      <c r="F3885">
        <v>2</v>
      </c>
      <c r="G3885" s="3" t="s">
        <v>32</v>
      </c>
      <c r="H3885" s="53" t="s">
        <v>15</v>
      </c>
      <c r="I3885" s="17">
        <v>380000</v>
      </c>
      <c r="J3885" s="17">
        <f>IF(Gastos[[#This Row],[Divisa]]="$", I3885*1, IF(Gastos[[#This Row],[Divisa]]="U$D", I3885*$N$1, IF(Gastos[[#This Row],[Divisa]]="EUR", I3885*$N$2, 0)))</f>
        <v>380000</v>
      </c>
      <c r="K3885" s="61">
        <f>Gastos[[#This Row],[Importe AR$]]/$N$1</f>
        <v>250.82508250825083</v>
      </c>
      <c r="M3885" s="76"/>
      <c r="N3885" s="50" t="str">
        <f>IF(Gastos[[#This Row],[Fecha_Cheque]]&gt;0,WEEKNUM(Gastos[[#This Row],[Fecha_Cheque]]),MID(Gastos[[#This Row],[Semana]],6,2))</f>
        <v>32</v>
      </c>
    </row>
    <row r="3886" spans="1:16" x14ac:dyDescent="0.25">
      <c r="A3886" s="3" t="s">
        <v>3990</v>
      </c>
      <c r="B3886" t="s">
        <v>1760</v>
      </c>
      <c r="C3886" t="s">
        <v>3943</v>
      </c>
      <c r="D3886" t="s">
        <v>26</v>
      </c>
      <c r="E3886" t="s">
        <v>62</v>
      </c>
      <c r="F3886">
        <v>2</v>
      </c>
      <c r="G3886" s="3" t="s">
        <v>32</v>
      </c>
      <c r="H3886" s="53" t="s">
        <v>15</v>
      </c>
      <c r="I3886" s="17">
        <v>150000</v>
      </c>
      <c r="J3886" s="17">
        <f>IF(Gastos[[#This Row],[Divisa]]="$", I3886*1, IF(Gastos[[#This Row],[Divisa]]="U$D", I3886*$N$1, IF(Gastos[[#This Row],[Divisa]]="EUR", I3886*$N$2, 0)))</f>
        <v>150000</v>
      </c>
      <c r="K3886" s="61">
        <f>Gastos[[#This Row],[Importe AR$]]/$N$1</f>
        <v>99.009900990099013</v>
      </c>
      <c r="M3886" s="76"/>
      <c r="N3886" s="50" t="str">
        <f>IF(Gastos[[#This Row],[Fecha_Cheque]]&gt;0,WEEKNUM(Gastos[[#This Row],[Fecha_Cheque]]),MID(Gastos[[#This Row],[Semana]],6,2))</f>
        <v>32</v>
      </c>
      <c r="P3886" t="s">
        <v>3991</v>
      </c>
    </row>
    <row r="3887" spans="1:16" x14ac:dyDescent="0.25">
      <c r="A3887" s="3" t="s">
        <v>3990</v>
      </c>
      <c r="B3887" t="s">
        <v>1760</v>
      </c>
      <c r="C3887" t="s">
        <v>3943</v>
      </c>
      <c r="D3887" t="s">
        <v>26</v>
      </c>
      <c r="E3887" t="s">
        <v>62</v>
      </c>
      <c r="F3887">
        <v>2</v>
      </c>
      <c r="G3887" s="3" t="s">
        <v>32</v>
      </c>
      <c r="H3887" s="53" t="s">
        <v>15</v>
      </c>
      <c r="I3887" s="17">
        <v>280000</v>
      </c>
      <c r="J3887" s="17">
        <f>IF(Gastos[[#This Row],[Divisa]]="$", I3887*1, IF(Gastos[[#This Row],[Divisa]]="U$D", I3887*$N$1, IF(Gastos[[#This Row],[Divisa]]="EUR", I3887*$N$2, 0)))</f>
        <v>280000</v>
      </c>
      <c r="K3887" s="61">
        <f>Gastos[[#This Row],[Importe AR$]]/$N$1</f>
        <v>184.81848184818483</v>
      </c>
      <c r="M3887" s="76"/>
      <c r="N3887" s="50" t="str">
        <f>IF(Gastos[[#This Row],[Fecha_Cheque]]&gt;0,WEEKNUM(Gastos[[#This Row],[Fecha_Cheque]]),MID(Gastos[[#This Row],[Semana]],6,2))</f>
        <v>32</v>
      </c>
    </row>
    <row r="3888" spans="1:16" hidden="1" x14ac:dyDescent="0.25">
      <c r="A3888" s="3" t="s">
        <v>3907</v>
      </c>
      <c r="B3888" t="s">
        <v>3051</v>
      </c>
      <c r="C3888" t="s">
        <v>2667</v>
      </c>
      <c r="D3888" t="s">
        <v>26</v>
      </c>
      <c r="E3888" t="s">
        <v>3955</v>
      </c>
      <c r="F3888">
        <v>2</v>
      </c>
      <c r="G3888" s="3" t="s">
        <v>4</v>
      </c>
      <c r="H3888" s="51" t="s">
        <v>15</v>
      </c>
      <c r="I3888" s="17">
        <v>500000</v>
      </c>
      <c r="J3888" s="17">
        <f>IF(Gastos[[#This Row],[Divisa]]="$", I3888*1, IF(Gastos[[#This Row],[Divisa]]="U$D", I3888*$N$1, IF(Gastos[[#This Row],[Divisa]]="EUR", I3888*$N$2, 0)))</f>
        <v>500000</v>
      </c>
      <c r="K3888" s="61">
        <f>Gastos[[#This Row],[Importe AR$]]/$N$1</f>
        <v>330.03300330033005</v>
      </c>
      <c r="M3888" s="76"/>
      <c r="N3888" s="50" t="str">
        <f>IF(Gastos[[#This Row],[Fecha_Cheque]]&gt;0,WEEKNUM(Gastos[[#This Row],[Fecha_Cheque]]),MID(Gastos[[#This Row],[Semana]],6,2))</f>
        <v>31</v>
      </c>
      <c r="O3888" t="s">
        <v>3985</v>
      </c>
      <c r="P3888" t="s">
        <v>27</v>
      </c>
    </row>
    <row r="3889" spans="1:16" hidden="1" x14ac:dyDescent="0.25">
      <c r="A3889" s="3" t="s">
        <v>3907</v>
      </c>
      <c r="B3889" t="s">
        <v>3951</v>
      </c>
      <c r="C3889" t="s">
        <v>2667</v>
      </c>
      <c r="D3889" t="s">
        <v>26</v>
      </c>
      <c r="E3889" t="s">
        <v>3955</v>
      </c>
      <c r="F3889">
        <v>2</v>
      </c>
      <c r="G3889" s="3" t="s">
        <v>32</v>
      </c>
      <c r="H3889" s="51" t="s">
        <v>2</v>
      </c>
      <c r="I3889" s="17">
        <v>589</v>
      </c>
      <c r="J3889" s="17">
        <f>IF(Gastos[[#This Row],[Divisa]]="$", I3889*1, IF(Gastos[[#This Row],[Divisa]]="U$D", I3889*$N$1, IF(Gastos[[#This Row],[Divisa]]="EUR", I3889*$N$2, 0)))</f>
        <v>892335</v>
      </c>
      <c r="K3889" s="61">
        <f>Gastos[[#This Row],[Importe AR$]]/$N$1</f>
        <v>589</v>
      </c>
      <c r="M3889" s="76"/>
      <c r="N3889" s="50" t="str">
        <f>IF(Gastos[[#This Row],[Fecha_Cheque]]&gt;0,WEEKNUM(Gastos[[#This Row],[Fecha_Cheque]]),MID(Gastos[[#This Row],[Semana]],6,2))</f>
        <v>31</v>
      </c>
      <c r="O3889" t="s">
        <v>3984</v>
      </c>
      <c r="P3889" t="s">
        <v>27</v>
      </c>
    </row>
    <row r="3890" spans="1:16" x14ac:dyDescent="0.25">
      <c r="A3890" s="3" t="s">
        <v>3990</v>
      </c>
      <c r="B3890" t="s">
        <v>1805</v>
      </c>
      <c r="C3890" t="s">
        <v>3437</v>
      </c>
      <c r="D3890" t="s">
        <v>26</v>
      </c>
      <c r="E3890" t="s">
        <v>62</v>
      </c>
      <c r="F3890">
        <v>1</v>
      </c>
      <c r="G3890" s="3" t="s">
        <v>32</v>
      </c>
      <c r="H3890" s="53" t="s">
        <v>2</v>
      </c>
      <c r="I3890" s="17">
        <v>528.97</v>
      </c>
      <c r="J3890" s="17">
        <f>IF(Gastos[[#This Row],[Divisa]]="$", I3890*1, IF(Gastos[[#This Row],[Divisa]]="U$D", I3890*$N$1, IF(Gastos[[#This Row],[Divisa]]="EUR", I3890*$N$2, 0)))</f>
        <v>801389.55</v>
      </c>
      <c r="K3890" s="61">
        <f>Gastos[[#This Row],[Importe AR$]]/$N$1</f>
        <v>528.97</v>
      </c>
      <c r="M3890" s="76"/>
      <c r="N3890" s="50" t="str">
        <f>IF(Gastos[[#This Row],[Fecha_Cheque]]&gt;0,WEEKNUM(Gastos[[#This Row],[Fecha_Cheque]]),MID(Gastos[[#This Row],[Semana]],6,2))</f>
        <v>32</v>
      </c>
    </row>
    <row r="3891" spans="1:16" x14ac:dyDescent="0.25">
      <c r="A3891" s="3" t="s">
        <v>3990</v>
      </c>
      <c r="B3891" t="s">
        <v>1807</v>
      </c>
      <c r="C3891" t="s">
        <v>422</v>
      </c>
      <c r="D3891" t="s">
        <v>26</v>
      </c>
      <c r="E3891" t="s">
        <v>91</v>
      </c>
      <c r="F3891">
        <v>1</v>
      </c>
      <c r="G3891" s="3" t="s">
        <v>5</v>
      </c>
      <c r="H3891" s="51" t="s">
        <v>15</v>
      </c>
      <c r="I3891" s="17">
        <v>830000</v>
      </c>
      <c r="J3891" s="17">
        <f>IF(Gastos[[#This Row],[Divisa]]="$", I3891*1, IF(Gastos[[#This Row],[Divisa]]="U$D", I3891*$N$1, IF(Gastos[[#This Row],[Divisa]]="EUR", I3891*$N$2, 0)))</f>
        <v>830000</v>
      </c>
      <c r="K3891" s="61">
        <f>Gastos[[#This Row],[Importe AR$]]/$N$1</f>
        <v>547.85478547854791</v>
      </c>
      <c r="M3891" s="76"/>
      <c r="N3891" s="50" t="str">
        <f>IF(Gastos[[#This Row],[Fecha_Cheque]]&gt;0,WEEKNUM(Gastos[[#This Row],[Fecha_Cheque]]),MID(Gastos[[#This Row],[Semana]],6,2))</f>
        <v>32</v>
      </c>
      <c r="P3891" t="s">
        <v>3991</v>
      </c>
    </row>
    <row r="3892" spans="1:16" hidden="1" x14ac:dyDescent="0.25">
      <c r="A3892" s="3" t="s">
        <v>3907</v>
      </c>
      <c r="B3892" t="s">
        <v>3728</v>
      </c>
      <c r="C3892" t="s">
        <v>2667</v>
      </c>
      <c r="D3892" t="s">
        <v>26</v>
      </c>
      <c r="E3892" t="s">
        <v>3955</v>
      </c>
      <c r="F3892">
        <v>2</v>
      </c>
      <c r="G3892" s="3" t="s">
        <v>4</v>
      </c>
      <c r="H3892" s="51" t="s">
        <v>15</v>
      </c>
      <c r="I3892" s="17">
        <v>500000</v>
      </c>
      <c r="J3892" s="17">
        <f>IF(Gastos[[#This Row],[Divisa]]="$", I3892*1, IF(Gastos[[#This Row],[Divisa]]="U$D", I3892*$N$1, IF(Gastos[[#This Row],[Divisa]]="EUR", I3892*$N$2, 0)))</f>
        <v>500000</v>
      </c>
      <c r="K3892" s="61">
        <f>Gastos[[#This Row],[Importe AR$]]/$N$1</f>
        <v>330.03300330033005</v>
      </c>
      <c r="M3892" s="76"/>
      <c r="N3892" s="50" t="str">
        <f>IF(Gastos[[#This Row],[Fecha_Cheque]]&gt;0,WEEKNUM(Gastos[[#This Row],[Fecha_Cheque]]),MID(Gastos[[#This Row],[Semana]],6,2))</f>
        <v>31</v>
      </c>
      <c r="O3892" t="s">
        <v>3986</v>
      </c>
      <c r="P3892" t="s">
        <v>27</v>
      </c>
    </row>
    <row r="3893" spans="1:16" x14ac:dyDescent="0.25">
      <c r="A3893" s="3" t="s">
        <v>3990</v>
      </c>
      <c r="B3893" t="s">
        <v>1854</v>
      </c>
      <c r="C3893" t="s">
        <v>2667</v>
      </c>
      <c r="D3893" t="s">
        <v>26</v>
      </c>
      <c r="E3893" t="s">
        <v>3955</v>
      </c>
      <c r="F3893">
        <v>2</v>
      </c>
      <c r="G3893" s="3" t="s">
        <v>32</v>
      </c>
      <c r="H3893" s="51" t="s">
        <v>2</v>
      </c>
      <c r="I3893" s="17">
        <v>259001.21052631579</v>
      </c>
      <c r="J3893" s="17">
        <f>IF(Gastos[[#This Row],[Divisa]]="$", I3893*1, IF(Gastos[[#This Row],[Divisa]]="U$D", I3893*$N$1, IF(Gastos[[#This Row],[Divisa]]="EUR", I3893*$N$2, 0)))</f>
        <v>392386833.94736844</v>
      </c>
      <c r="K3893" s="61">
        <f>Gastos[[#This Row],[Importe AR$]]/$N$1</f>
        <v>259001.21052631582</v>
      </c>
      <c r="M3893" s="76"/>
      <c r="N3893" s="50" t="str">
        <f>IF(Gastos[[#This Row],[Fecha_Cheque]]&gt;0,WEEKNUM(Gastos[[#This Row],[Fecha_Cheque]]),MID(Gastos[[#This Row],[Semana]],6,2))</f>
        <v>32</v>
      </c>
    </row>
    <row r="3894" spans="1:16" x14ac:dyDescent="0.25">
      <c r="A3894" s="3" t="s">
        <v>3990</v>
      </c>
      <c r="B3894" t="s">
        <v>1854</v>
      </c>
      <c r="C3894" t="s">
        <v>2667</v>
      </c>
      <c r="D3894" t="s">
        <v>26</v>
      </c>
      <c r="E3894" t="s">
        <v>3955</v>
      </c>
      <c r="F3894">
        <v>2</v>
      </c>
      <c r="G3894" s="3" t="s">
        <v>4</v>
      </c>
      <c r="H3894" s="51" t="s">
        <v>15</v>
      </c>
      <c r="I3894" s="17">
        <v>3000000</v>
      </c>
      <c r="J3894" s="17">
        <f>IF(Gastos[[#This Row],[Divisa]]="$", I3894*1, IF(Gastos[[#This Row],[Divisa]]="U$D", I3894*$N$1, IF(Gastos[[#This Row],[Divisa]]="EUR", I3894*$N$2, 0)))</f>
        <v>3000000</v>
      </c>
      <c r="K3894" s="61">
        <f>Gastos[[#This Row],[Importe AR$]]/$N$1</f>
        <v>1980.1980198019803</v>
      </c>
      <c r="L3894" s="99"/>
      <c r="M3894" s="100"/>
      <c r="N3894" s="101" t="str">
        <f>IF(Gastos[[#This Row],[Fecha_Cheque]]&gt;0,WEEKNUM(Gastos[[#This Row],[Fecha_Cheque]]),MID(Gastos[[#This Row],[Semana]],6,2))</f>
        <v>32</v>
      </c>
      <c r="O3894" s="99"/>
      <c r="P3894" s="99" t="s">
        <v>3991</v>
      </c>
    </row>
    <row r="3895" spans="1:16" x14ac:dyDescent="0.25">
      <c r="A3895" s="3" t="s">
        <v>3990</v>
      </c>
      <c r="B3895" t="s">
        <v>3953</v>
      </c>
      <c r="C3895" t="s">
        <v>3954</v>
      </c>
      <c r="D3895" t="s">
        <v>26</v>
      </c>
      <c r="E3895" t="s">
        <v>62</v>
      </c>
      <c r="F3895">
        <v>1</v>
      </c>
      <c r="G3895" s="3" t="s">
        <v>32</v>
      </c>
      <c r="H3895" s="51" t="s">
        <v>2</v>
      </c>
      <c r="I3895" s="17">
        <v>94719.85</v>
      </c>
      <c r="J3895" s="17">
        <f>IF(Gastos[[#This Row],[Divisa]]="$", I3895*1, IF(Gastos[[#This Row],[Divisa]]="U$D", I3895*$N$1, IF(Gastos[[#This Row],[Divisa]]="EUR", I3895*$N$2, 0)))</f>
        <v>143500572.75</v>
      </c>
      <c r="K3895" s="61">
        <f>Gastos[[#This Row],[Importe AR$]]/$N$1</f>
        <v>94719.85</v>
      </c>
      <c r="M3895" s="76"/>
      <c r="N3895" s="50" t="str">
        <f>IF(Gastos[[#This Row],[Fecha_Cheque]]&gt;0,WEEKNUM(Gastos[[#This Row],[Fecha_Cheque]]),MID(Gastos[[#This Row],[Semana]],6,2))</f>
        <v>32</v>
      </c>
    </row>
    <row r="3896" spans="1:16" x14ac:dyDescent="0.25">
      <c r="A3896" s="3" t="s">
        <v>3990</v>
      </c>
      <c r="B3896" t="s">
        <v>3105</v>
      </c>
      <c r="C3896" t="s">
        <v>2934</v>
      </c>
      <c r="D3896" t="s">
        <v>26</v>
      </c>
      <c r="E3896" t="s">
        <v>62</v>
      </c>
      <c r="F3896">
        <v>1</v>
      </c>
      <c r="G3896" s="3" t="s">
        <v>32</v>
      </c>
      <c r="H3896" s="51" t="s">
        <v>15</v>
      </c>
      <c r="I3896" s="17">
        <v>0</v>
      </c>
      <c r="J3896" s="17">
        <f>IF(Gastos[[#This Row],[Divisa]]="$", I3896*1, IF(Gastos[[#This Row],[Divisa]]="U$D", I3896*$N$1, IF(Gastos[[#This Row],[Divisa]]="EUR", I3896*$N$2, 0)))</f>
        <v>0</v>
      </c>
      <c r="K3896" s="61">
        <f>Gastos[[#This Row],[Importe AR$]]/$N$1</f>
        <v>0</v>
      </c>
      <c r="M3896" s="76"/>
      <c r="N3896" s="50" t="str">
        <f>IF(Gastos[[#This Row],[Fecha_Cheque]]&gt;0,WEEKNUM(Gastos[[#This Row],[Fecha_Cheque]]),MID(Gastos[[#This Row],[Semana]],6,2))</f>
        <v>32</v>
      </c>
      <c r="P3896" t="s">
        <v>3991</v>
      </c>
    </row>
    <row r="3897" spans="1:16" x14ac:dyDescent="0.25">
      <c r="A3897" s="3" t="s">
        <v>3990</v>
      </c>
      <c r="B3897" t="s">
        <v>1914</v>
      </c>
      <c r="C3897" t="s">
        <v>1915</v>
      </c>
      <c r="D3897" t="s">
        <v>61</v>
      </c>
      <c r="E3897" t="s">
        <v>62</v>
      </c>
      <c r="F3897">
        <v>1</v>
      </c>
      <c r="G3897" s="3" t="s">
        <v>32</v>
      </c>
      <c r="H3897" s="53" t="s">
        <v>2</v>
      </c>
      <c r="I3897" s="17">
        <v>219402.06</v>
      </c>
      <c r="J3897" s="17">
        <f>IF(Gastos[[#This Row],[Divisa]]="$", I3897*1, IF(Gastos[[#This Row],[Divisa]]="U$D", I3897*$N$1, IF(Gastos[[#This Row],[Divisa]]="EUR", I3897*$N$2, 0)))</f>
        <v>332394120.89999998</v>
      </c>
      <c r="K3897" s="61">
        <f>Gastos[[#This Row],[Importe AR$]]/$N$1</f>
        <v>219402.06</v>
      </c>
      <c r="L3897" s="55"/>
      <c r="M3897" s="76"/>
      <c r="N3897" s="50" t="str">
        <f>IF(Gastos[[#This Row],[Fecha_Cheque]]&gt;0,WEEKNUM(Gastos[[#This Row],[Fecha_Cheque]]),MID(Gastos[[#This Row],[Semana]],6,2))</f>
        <v>32</v>
      </c>
    </row>
    <row r="3898" spans="1:16" hidden="1" x14ac:dyDescent="0.25">
      <c r="A3898" s="3" t="s">
        <v>3907</v>
      </c>
      <c r="B3898" t="s">
        <v>954</v>
      </c>
      <c r="C3898" s="97" t="s">
        <v>3928</v>
      </c>
      <c r="D3898" t="s">
        <v>26</v>
      </c>
      <c r="E3898" t="s">
        <v>91</v>
      </c>
      <c r="F3898">
        <v>1</v>
      </c>
      <c r="G3898" s="3" t="s">
        <v>5</v>
      </c>
      <c r="H3898" s="51" t="s">
        <v>15</v>
      </c>
      <c r="I3898" s="17">
        <v>170000</v>
      </c>
      <c r="J3898" s="17">
        <f>IF(Gastos[[#This Row],[Divisa]]="$", I3898*1, IF(Gastos[[#This Row],[Divisa]]="U$D", I3898*$N$1, IF(Gastos[[#This Row],[Divisa]]="EUR", I3898*$N$2, 0)))</f>
        <v>170000</v>
      </c>
      <c r="K3898" s="61">
        <f>Gastos[[#This Row],[Importe AR$]]/$N$1</f>
        <v>112.21122112211221</v>
      </c>
      <c r="M3898" s="76"/>
      <c r="N3898" s="50" t="str">
        <f>IF(Gastos[[#This Row],[Fecha_Cheque]]&gt;0,WEEKNUM(Gastos[[#This Row],[Fecha_Cheque]]),MID(Gastos[[#This Row],[Semana]],6,2))</f>
        <v>31</v>
      </c>
      <c r="O3898" t="s">
        <v>3927</v>
      </c>
      <c r="P3898" t="s">
        <v>27</v>
      </c>
    </row>
    <row r="3899" spans="1:16" hidden="1" x14ac:dyDescent="0.25">
      <c r="A3899" s="3" t="s">
        <v>3907</v>
      </c>
      <c r="B3899" t="s">
        <v>2237</v>
      </c>
      <c r="C3899" t="s">
        <v>3970</v>
      </c>
      <c r="D3899" t="s">
        <v>26</v>
      </c>
      <c r="E3899" t="s">
        <v>42</v>
      </c>
      <c r="F3899">
        <v>1</v>
      </c>
      <c r="G3899" s="3" t="s">
        <v>4</v>
      </c>
      <c r="H3899" s="51" t="s">
        <v>15</v>
      </c>
      <c r="I3899" s="17">
        <v>237376.46</v>
      </c>
      <c r="J3899" s="17">
        <f>IF(Gastos[[#This Row],[Divisa]]="$", I3899*1, IF(Gastos[[#This Row],[Divisa]]="U$D", I3899*$N$1, IF(Gastos[[#This Row],[Divisa]]="EUR", I3899*$N$2, 0)))</f>
        <v>237376.46</v>
      </c>
      <c r="K3899" s="61">
        <f>Gastos[[#This Row],[Importe AR$]]/$N$1</f>
        <v>156.68413201320132</v>
      </c>
      <c r="M3899" s="76"/>
      <c r="N3899" s="50" t="str">
        <f>IF(Gastos[[#This Row],[Fecha_Cheque]]&gt;0,WEEKNUM(Gastos[[#This Row],[Fecha_Cheque]]),MID(Gastos[[#This Row],[Semana]],6,2))</f>
        <v>31</v>
      </c>
      <c r="O3899" t="s">
        <v>3972</v>
      </c>
      <c r="P3899" t="s">
        <v>27</v>
      </c>
    </row>
    <row r="3900" spans="1:16" hidden="1" x14ac:dyDescent="0.25">
      <c r="A3900" s="3" t="s">
        <v>3907</v>
      </c>
      <c r="B3900" t="s">
        <v>2237</v>
      </c>
      <c r="C3900" t="s">
        <v>3970</v>
      </c>
      <c r="D3900" t="s">
        <v>26</v>
      </c>
      <c r="E3900" t="s">
        <v>42</v>
      </c>
      <c r="F3900">
        <v>1</v>
      </c>
      <c r="G3900" s="3" t="s">
        <v>4</v>
      </c>
      <c r="H3900" s="51" t="s">
        <v>15</v>
      </c>
      <c r="I3900" s="17">
        <v>2623.54</v>
      </c>
      <c r="J3900" s="17">
        <f>IF(Gastos[[#This Row],[Divisa]]="$", I3900*1, IF(Gastos[[#This Row],[Divisa]]="U$D", I3900*$N$1, IF(Gastos[[#This Row],[Divisa]]="EUR", I3900*$N$2, 0)))</f>
        <v>2623.54</v>
      </c>
      <c r="K3900" s="61">
        <f>Gastos[[#This Row],[Importe AR$]]/$N$1</f>
        <v>1.7317095709570958</v>
      </c>
      <c r="L3900" t="s">
        <v>340</v>
      </c>
      <c r="M3900" s="76"/>
      <c r="N3900" s="50" t="str">
        <f>IF(Gastos[[#This Row],[Fecha_Cheque]]&gt;0,WEEKNUM(Gastos[[#This Row],[Fecha_Cheque]]),MID(Gastos[[#This Row],[Semana]],6,2))</f>
        <v>31</v>
      </c>
      <c r="O3900" t="s">
        <v>3972</v>
      </c>
      <c r="P3900" t="s">
        <v>27</v>
      </c>
    </row>
    <row r="3901" spans="1:16" x14ac:dyDescent="0.25">
      <c r="A3901" s="3" t="s">
        <v>3990</v>
      </c>
      <c r="B3901" t="s">
        <v>1976</v>
      </c>
      <c r="C3901" t="s">
        <v>3873</v>
      </c>
      <c r="D3901" t="s">
        <v>26</v>
      </c>
      <c r="E3901" t="s">
        <v>62</v>
      </c>
      <c r="F3901">
        <v>1</v>
      </c>
      <c r="G3901" s="3" t="s">
        <v>32</v>
      </c>
      <c r="H3901" s="51" t="s">
        <v>15</v>
      </c>
      <c r="I3901" s="17">
        <v>67760</v>
      </c>
      <c r="J3901" s="17">
        <f>IF(Gastos[[#This Row],[Divisa]]="$", I3901*1, IF(Gastos[[#This Row],[Divisa]]="U$D", I3901*$N$1, IF(Gastos[[#This Row],[Divisa]]="EUR", I3901*$N$2, 0)))</f>
        <v>67760</v>
      </c>
      <c r="K3901" s="61">
        <f>Gastos[[#This Row],[Importe AR$]]/$N$1</f>
        <v>44.726072607260726</v>
      </c>
      <c r="M3901" s="76"/>
      <c r="N3901" s="50" t="str">
        <f>IF(Gastos[[#This Row],[Fecha_Cheque]]&gt;0,WEEKNUM(Gastos[[#This Row],[Fecha_Cheque]]),MID(Gastos[[#This Row],[Semana]],6,2))</f>
        <v>32</v>
      </c>
      <c r="P3901" t="s">
        <v>3991</v>
      </c>
    </row>
    <row r="3902" spans="1:16" x14ac:dyDescent="0.25">
      <c r="A3902" s="3" t="s">
        <v>3990</v>
      </c>
      <c r="B3902" t="s">
        <v>1979</v>
      </c>
      <c r="C3902" t="s">
        <v>155</v>
      </c>
      <c r="D3902" t="s">
        <v>26</v>
      </c>
      <c r="E3902" t="s">
        <v>42</v>
      </c>
      <c r="F3902">
        <v>1</v>
      </c>
      <c r="G3902" s="3" t="s">
        <v>4</v>
      </c>
      <c r="H3902" s="51" t="s">
        <v>15</v>
      </c>
      <c r="I3902" s="17">
        <v>90000</v>
      </c>
      <c r="J3902" s="17">
        <f>IF(Gastos[[#This Row],[Divisa]]="$", I3902*1, IF(Gastos[[#This Row],[Divisa]]="U$D", I3902*$N$1, IF(Gastos[[#This Row],[Divisa]]="EUR", I3902*$N$2, 0)))</f>
        <v>90000</v>
      </c>
      <c r="K3902" s="61">
        <f>Gastos[[#This Row],[Importe AR$]]/$N$1</f>
        <v>59.405940594059409</v>
      </c>
      <c r="M3902" s="76"/>
      <c r="N3902" s="50" t="str">
        <f>IF(Gastos[[#This Row],[Fecha_Cheque]]&gt;0,WEEKNUM(Gastos[[#This Row],[Fecha_Cheque]]),MID(Gastos[[#This Row],[Semana]],6,2))</f>
        <v>32</v>
      </c>
    </row>
    <row r="3903" spans="1:16" x14ac:dyDescent="0.25">
      <c r="A3903" s="3" t="s">
        <v>3990</v>
      </c>
      <c r="B3903" t="s">
        <v>2049</v>
      </c>
      <c r="C3903" t="s">
        <v>2473</v>
      </c>
      <c r="D3903" t="s">
        <v>26</v>
      </c>
      <c r="E3903" t="s">
        <v>62</v>
      </c>
      <c r="F3903">
        <v>1</v>
      </c>
      <c r="G3903" s="3" t="s">
        <v>32</v>
      </c>
      <c r="H3903" s="53" t="s">
        <v>15</v>
      </c>
      <c r="I3903" s="17">
        <v>28485048.759999998</v>
      </c>
      <c r="J3903" s="17">
        <f>IF(Gastos[[#This Row],[Divisa]]="$", I3903*1, IF(Gastos[[#This Row],[Divisa]]="U$D", I3903*$N$1, IF(Gastos[[#This Row],[Divisa]]="EUR", I3903*$N$2, 0)))</f>
        <v>28485048.759999998</v>
      </c>
      <c r="K3903" s="61">
        <f>Gastos[[#This Row],[Importe AR$]]/$N$1</f>
        <v>18802.012382838282</v>
      </c>
      <c r="M3903" s="76"/>
      <c r="N3903" s="50" t="str">
        <f>IF(Gastos[[#This Row],[Fecha_Cheque]]&gt;0,WEEKNUM(Gastos[[#This Row],[Fecha_Cheque]]),MID(Gastos[[#This Row],[Semana]],6,2))</f>
        <v>32</v>
      </c>
    </row>
    <row r="3904" spans="1:16" x14ac:dyDescent="0.25">
      <c r="A3904" s="3" t="s">
        <v>3990</v>
      </c>
      <c r="B3904" t="s">
        <v>3051</v>
      </c>
      <c r="C3904" t="s">
        <v>2667</v>
      </c>
      <c r="D3904" t="s">
        <v>26</v>
      </c>
      <c r="E3904" t="s">
        <v>3955</v>
      </c>
      <c r="F3904">
        <v>2</v>
      </c>
      <c r="G3904" s="3" t="s">
        <v>32</v>
      </c>
      <c r="H3904" s="51" t="s">
        <v>2</v>
      </c>
      <c r="I3904" s="17">
        <v>29384.052631578947</v>
      </c>
      <c r="J3904" s="17">
        <f>IF(Gastos[[#This Row],[Divisa]]="$", I3904*1, IF(Gastos[[#This Row],[Divisa]]="U$D", I3904*$N$1, IF(Gastos[[#This Row],[Divisa]]="EUR", I3904*$N$2, 0)))</f>
        <v>44516839.736842103</v>
      </c>
      <c r="K3904" s="61">
        <f>Gastos[[#This Row],[Importe AR$]]/$N$1</f>
        <v>29384.052631578947</v>
      </c>
      <c r="M3904" s="76"/>
      <c r="N3904" s="50" t="str">
        <f>IF(Gastos[[#This Row],[Fecha_Cheque]]&gt;0,WEEKNUM(Gastos[[#This Row],[Fecha_Cheque]]),MID(Gastos[[#This Row],[Semana]],6,2))</f>
        <v>32</v>
      </c>
    </row>
    <row r="3905" spans="1:16" x14ac:dyDescent="0.25">
      <c r="A3905" s="3" t="s">
        <v>3990</v>
      </c>
      <c r="B3905" t="s">
        <v>3051</v>
      </c>
      <c r="C3905" t="s">
        <v>2667</v>
      </c>
      <c r="D3905" t="s">
        <v>26</v>
      </c>
      <c r="E3905" t="s">
        <v>3955</v>
      </c>
      <c r="F3905">
        <v>2</v>
      </c>
      <c r="G3905" s="3" t="s">
        <v>4</v>
      </c>
      <c r="H3905" s="51" t="s">
        <v>15</v>
      </c>
      <c r="I3905" s="17">
        <v>1000000</v>
      </c>
      <c r="J3905" s="17">
        <f>IF(Gastos[[#This Row],[Divisa]]="$", I3905*1, IF(Gastos[[#This Row],[Divisa]]="U$D", I3905*$N$1, IF(Gastos[[#This Row],[Divisa]]="EUR", I3905*$N$2, 0)))</f>
        <v>1000000</v>
      </c>
      <c r="K3905" s="61">
        <f>Gastos[[#This Row],[Importe AR$]]/$N$1</f>
        <v>660.0660066006601</v>
      </c>
      <c r="L3905" s="99"/>
      <c r="M3905" s="100"/>
      <c r="N3905" s="101" t="str">
        <f>IF(Gastos[[#This Row],[Fecha_Cheque]]&gt;0,WEEKNUM(Gastos[[#This Row],[Fecha_Cheque]]),MID(Gastos[[#This Row],[Semana]],6,2))</f>
        <v>32</v>
      </c>
      <c r="O3905" s="99"/>
      <c r="P3905" s="99" t="s">
        <v>3991</v>
      </c>
    </row>
    <row r="3906" spans="1:16" hidden="1" x14ac:dyDescent="0.25">
      <c r="A3906" s="3" t="s">
        <v>3907</v>
      </c>
      <c r="B3906" t="s">
        <v>2288</v>
      </c>
      <c r="C3906" t="s">
        <v>422</v>
      </c>
      <c r="D3906" t="s">
        <v>26</v>
      </c>
      <c r="E3906" t="s">
        <v>91</v>
      </c>
      <c r="F3906">
        <v>1</v>
      </c>
      <c r="G3906" s="3" t="s">
        <v>5</v>
      </c>
      <c r="H3906" s="51" t="s">
        <v>15</v>
      </c>
      <c r="I3906" s="17">
        <v>1736307</v>
      </c>
      <c r="J3906" s="17">
        <f>IF(Gastos[[#This Row],[Divisa]]="$", I3906*1, IF(Gastos[[#This Row],[Divisa]]="U$D", I3906*$N$1, IF(Gastos[[#This Row],[Divisa]]="EUR", I3906*$N$2, 0)))</f>
        <v>1736307</v>
      </c>
      <c r="K3906" s="61">
        <f>Gastos[[#This Row],[Importe AR$]]/$N$1</f>
        <v>1146.0772277227722</v>
      </c>
      <c r="M3906" s="76"/>
      <c r="N3906" s="50" t="str">
        <f>IF(Gastos[[#This Row],[Fecha_Cheque]]&gt;0,WEEKNUM(Gastos[[#This Row],[Fecha_Cheque]]),MID(Gastos[[#This Row],[Semana]],6,2))</f>
        <v>31</v>
      </c>
      <c r="O3906" t="s">
        <v>3959</v>
      </c>
      <c r="P3906" t="s">
        <v>27</v>
      </c>
    </row>
    <row r="3907" spans="1:16" hidden="1" x14ac:dyDescent="0.25">
      <c r="A3907" s="3" t="s">
        <v>3907</v>
      </c>
      <c r="B3907" t="s">
        <v>3405</v>
      </c>
      <c r="C3907" t="s">
        <v>1211</v>
      </c>
      <c r="D3907" t="s">
        <v>26</v>
      </c>
      <c r="E3907" t="s">
        <v>42</v>
      </c>
      <c r="F3907">
        <v>1</v>
      </c>
      <c r="G3907" s="3" t="s">
        <v>4</v>
      </c>
      <c r="H3907" s="51" t="s">
        <v>15</v>
      </c>
      <c r="I3907" s="17">
        <v>11300</v>
      </c>
      <c r="J3907" s="17">
        <f>IF(Gastos[[#This Row],[Divisa]]="$", I3907*1, IF(Gastos[[#This Row],[Divisa]]="U$D", I3907*$N$1, IF(Gastos[[#This Row],[Divisa]]="EUR", I3907*$N$2, 0)))</f>
        <v>11300</v>
      </c>
      <c r="K3907" s="61">
        <f>Gastos[[#This Row],[Importe AR$]]/$N$1</f>
        <v>7.4587458745874589</v>
      </c>
      <c r="M3907" s="76"/>
      <c r="N3907" s="50" t="str">
        <f>IF(Gastos[[#This Row],[Fecha_Cheque]]&gt;0,WEEKNUM(Gastos[[#This Row],[Fecha_Cheque]]),MID(Gastos[[#This Row],[Semana]],6,2))</f>
        <v>31</v>
      </c>
      <c r="O3907" t="s">
        <v>3969</v>
      </c>
      <c r="P3907" t="s">
        <v>27</v>
      </c>
    </row>
    <row r="3908" spans="1:16" x14ac:dyDescent="0.25">
      <c r="A3908" s="3" t="s">
        <v>3990</v>
      </c>
      <c r="B3908" t="s">
        <v>3728</v>
      </c>
      <c r="C3908" t="s">
        <v>2667</v>
      </c>
      <c r="D3908" t="s">
        <v>26</v>
      </c>
      <c r="E3908" t="s">
        <v>3955</v>
      </c>
      <c r="F3908">
        <v>2</v>
      </c>
      <c r="G3908" s="3" t="s">
        <v>32</v>
      </c>
      <c r="H3908" s="51" t="s">
        <v>2</v>
      </c>
      <c r="I3908" s="17">
        <v>50481.052631578947</v>
      </c>
      <c r="J3908" s="17">
        <f>IF(Gastos[[#This Row],[Divisa]]="$", I3908*1, IF(Gastos[[#This Row],[Divisa]]="U$D", I3908*$N$1, IF(Gastos[[#This Row],[Divisa]]="EUR", I3908*$N$2, 0)))</f>
        <v>76478794.736842111</v>
      </c>
      <c r="K3908" s="61">
        <f>Gastos[[#This Row],[Importe AR$]]/$N$1</f>
        <v>50481.052631578954</v>
      </c>
      <c r="M3908" s="76"/>
      <c r="N3908" s="50" t="str">
        <f>IF(Gastos[[#This Row],[Fecha_Cheque]]&gt;0,WEEKNUM(Gastos[[#This Row],[Fecha_Cheque]]),MID(Gastos[[#This Row],[Semana]],6,2))</f>
        <v>32</v>
      </c>
    </row>
    <row r="3909" spans="1:16" x14ac:dyDescent="0.25">
      <c r="A3909" s="3" t="s">
        <v>3990</v>
      </c>
      <c r="B3909" t="s">
        <v>2106</v>
      </c>
      <c r="C3909" t="s">
        <v>3996</v>
      </c>
      <c r="D3909" t="s">
        <v>26</v>
      </c>
      <c r="E3909" t="s">
        <v>31</v>
      </c>
      <c r="F3909">
        <v>1</v>
      </c>
      <c r="G3909" s="3" t="s">
        <v>32</v>
      </c>
      <c r="H3909" s="51" t="s">
        <v>15</v>
      </c>
      <c r="I3909" s="17">
        <v>328883.05</v>
      </c>
      <c r="J3909" s="17">
        <f>IF(Gastos[[#This Row],[Divisa]]="$", I3909*1, IF(Gastos[[#This Row],[Divisa]]="U$D", I3909*$N$1, IF(Gastos[[#This Row],[Divisa]]="EUR", I3909*$N$2, 0)))</f>
        <v>328883.05</v>
      </c>
      <c r="K3909" s="61">
        <f>Gastos[[#This Row],[Importe AR$]]/$N$1</f>
        <v>217.0845214521452</v>
      </c>
      <c r="M3909" s="76">
        <v>46268</v>
      </c>
      <c r="N3909" s="50">
        <f>IF(Gastos[[#This Row],[Fecha_Cheque]]&gt;0,WEEKNUM(Gastos[[#This Row],[Fecha_Cheque]]),MID(Gastos[[#This Row],[Semana]],6,2))</f>
        <v>36</v>
      </c>
      <c r="O3909" t="s">
        <v>3997</v>
      </c>
      <c r="P3909" t="s">
        <v>3991</v>
      </c>
    </row>
    <row r="3910" spans="1:16" x14ac:dyDescent="0.25">
      <c r="A3910" s="3" t="s">
        <v>3990</v>
      </c>
      <c r="B3910" t="s">
        <v>2106</v>
      </c>
      <c r="C3910" t="s">
        <v>3996</v>
      </c>
      <c r="D3910" t="s">
        <v>26</v>
      </c>
      <c r="E3910" t="s">
        <v>31</v>
      </c>
      <c r="F3910">
        <v>1</v>
      </c>
      <c r="G3910" s="3" t="s">
        <v>32</v>
      </c>
      <c r="H3910" s="51" t="s">
        <v>15</v>
      </c>
      <c r="I3910" s="17">
        <v>979.16</v>
      </c>
      <c r="J3910" s="17">
        <f>IF(Gastos[[#This Row],[Divisa]]="$", I3910*1, IF(Gastos[[#This Row],[Divisa]]="U$D", I3910*$N$1, IF(Gastos[[#This Row],[Divisa]]="EUR", I3910*$N$2, 0)))</f>
        <v>979.16</v>
      </c>
      <c r="K3910" s="61">
        <f>Gastos[[#This Row],[Importe AR$]]/$N$1</f>
        <v>0.64631023102310226</v>
      </c>
      <c r="L3910" t="s">
        <v>340</v>
      </c>
      <c r="M3910" s="76"/>
      <c r="N3910" s="50" t="str">
        <f>IF(Gastos[[#This Row],[Fecha_Cheque]]&gt;0,WEEKNUM(Gastos[[#This Row],[Fecha_Cheque]]),MID(Gastos[[#This Row],[Semana]],6,2))</f>
        <v>32</v>
      </c>
      <c r="O3910" t="s">
        <v>3997</v>
      </c>
      <c r="P3910" t="s">
        <v>3991</v>
      </c>
    </row>
    <row r="3911" spans="1:16" x14ac:dyDescent="0.25">
      <c r="A3911" s="3" t="s">
        <v>3990</v>
      </c>
      <c r="B3911" t="s">
        <v>2144</v>
      </c>
      <c r="C3911" t="s">
        <v>3607</v>
      </c>
      <c r="D3911" t="s">
        <v>26</v>
      </c>
      <c r="E3911" t="s">
        <v>62</v>
      </c>
      <c r="F3911">
        <v>1</v>
      </c>
      <c r="G3911" s="3" t="s">
        <v>32</v>
      </c>
      <c r="H3911" s="51" t="s">
        <v>15</v>
      </c>
      <c r="I3911" s="17">
        <v>607807.19999999995</v>
      </c>
      <c r="J3911" s="17">
        <f>IF(Gastos[[#This Row],[Divisa]]="$", I3911*1, IF(Gastos[[#This Row],[Divisa]]="U$D", I3911*$N$1, IF(Gastos[[#This Row],[Divisa]]="EUR", I3911*$N$2, 0)))</f>
        <v>607807.19999999995</v>
      </c>
      <c r="K3911" s="61">
        <f>Gastos[[#This Row],[Importe AR$]]/$N$1</f>
        <v>401.1928712871287</v>
      </c>
      <c r="M3911" s="76"/>
      <c r="N3911" s="50" t="str">
        <f>IF(Gastos[[#This Row],[Fecha_Cheque]]&gt;0,WEEKNUM(Gastos[[#This Row],[Fecha_Cheque]]),MID(Gastos[[#This Row],[Semana]],6,2))</f>
        <v>32</v>
      </c>
      <c r="P3911" t="s">
        <v>3991</v>
      </c>
    </row>
    <row r="3912" spans="1:16" x14ac:dyDescent="0.25">
      <c r="A3912" s="3" t="s">
        <v>3990</v>
      </c>
      <c r="B3912" t="s">
        <v>2153</v>
      </c>
      <c r="C3912" t="s">
        <v>155</v>
      </c>
      <c r="D3912" t="s">
        <v>26</v>
      </c>
      <c r="E3912" t="s">
        <v>42</v>
      </c>
      <c r="F3912">
        <v>1</v>
      </c>
      <c r="G3912" s="3" t="s">
        <v>4</v>
      </c>
      <c r="H3912" s="51" t="s">
        <v>15</v>
      </c>
      <c r="I3912" s="17">
        <v>50005</v>
      </c>
      <c r="J3912" s="17">
        <f>IF(Gastos[[#This Row],[Divisa]]="$", I3912*1, IF(Gastos[[#This Row],[Divisa]]="U$D", I3912*$N$1, IF(Gastos[[#This Row],[Divisa]]="EUR", I3912*$N$2, 0)))</f>
        <v>50005</v>
      </c>
      <c r="K3912" s="61">
        <f>Gastos[[#This Row],[Importe AR$]]/$N$1</f>
        <v>33.006600660066006</v>
      </c>
      <c r="M3912" s="76"/>
      <c r="N3912" s="50" t="str">
        <f>IF(Gastos[[#This Row],[Fecha_Cheque]]&gt;0,WEEKNUM(Gastos[[#This Row],[Fecha_Cheque]]),MID(Gastos[[#This Row],[Semana]],6,2))</f>
        <v>32</v>
      </c>
      <c r="P3912" t="s">
        <v>3991</v>
      </c>
    </row>
    <row r="3913" spans="1:16" x14ac:dyDescent="0.25">
      <c r="A3913" s="3" t="s">
        <v>3990</v>
      </c>
      <c r="B3913" t="s">
        <v>2171</v>
      </c>
      <c r="C3913" t="s">
        <v>2181</v>
      </c>
      <c r="D3913" t="s">
        <v>61</v>
      </c>
      <c r="E3913" t="s">
        <v>62</v>
      </c>
      <c r="F3913">
        <v>1</v>
      </c>
      <c r="G3913" s="3" t="s">
        <v>32</v>
      </c>
      <c r="H3913" s="53" t="s">
        <v>15</v>
      </c>
      <c r="I3913" s="17">
        <v>23177334.449999999</v>
      </c>
      <c r="J3913" s="17">
        <f>IF(Gastos[[#This Row],[Divisa]]="$", I3913*1, IF(Gastos[[#This Row],[Divisa]]="U$D", I3913*$N$1, IF(Gastos[[#This Row],[Divisa]]="EUR", I3913*$N$2, 0)))</f>
        <v>23177334.449999999</v>
      </c>
      <c r="K3913" s="61">
        <f>Gastos[[#This Row],[Importe AR$]]/$N$1</f>
        <v>15298.570594059405</v>
      </c>
      <c r="M3913" s="76"/>
      <c r="N3913" s="50" t="str">
        <f>IF(Gastos[[#This Row],[Fecha_Cheque]]&gt;0,WEEKNUM(Gastos[[#This Row],[Fecha_Cheque]]),MID(Gastos[[#This Row],[Semana]],6,2))</f>
        <v>32</v>
      </c>
    </row>
    <row r="3914" spans="1:16" x14ac:dyDescent="0.25">
      <c r="A3914" s="3" t="s">
        <v>3990</v>
      </c>
      <c r="B3914" t="s">
        <v>2198</v>
      </c>
      <c r="C3914" t="s">
        <v>3447</v>
      </c>
      <c r="D3914" t="s">
        <v>26</v>
      </c>
      <c r="E3914" t="s">
        <v>62</v>
      </c>
      <c r="F3914">
        <v>2</v>
      </c>
      <c r="G3914" s="3" t="s">
        <v>32</v>
      </c>
      <c r="H3914" s="51" t="s">
        <v>15</v>
      </c>
      <c r="I3914" s="17">
        <v>5100000</v>
      </c>
      <c r="J3914" s="17">
        <f>IF(Gastos[[#This Row],[Divisa]]="$", I3914*1, IF(Gastos[[#This Row],[Divisa]]="U$D", I3914*$N$1, IF(Gastos[[#This Row],[Divisa]]="EUR", I3914*$N$2, 0)))</f>
        <v>5100000</v>
      </c>
      <c r="K3914" s="61">
        <f>Gastos[[#This Row],[Importe AR$]]/$N$1</f>
        <v>3366.3366336633662</v>
      </c>
      <c r="M3914" s="76"/>
      <c r="N3914" s="50" t="str">
        <f>IF(Gastos[[#This Row],[Fecha_Cheque]]&gt;0,WEEKNUM(Gastos[[#This Row],[Fecha_Cheque]]),MID(Gastos[[#This Row],[Semana]],6,2))</f>
        <v>32</v>
      </c>
    </row>
    <row r="3915" spans="1:16" x14ac:dyDescent="0.25">
      <c r="A3915" s="3" t="s">
        <v>3990</v>
      </c>
      <c r="B3915" t="s">
        <v>2219</v>
      </c>
      <c r="D3915" t="s">
        <v>26</v>
      </c>
      <c r="E3915" t="s">
        <v>91</v>
      </c>
      <c r="F3915">
        <v>1</v>
      </c>
      <c r="G3915" s="3" t="s">
        <v>5</v>
      </c>
      <c r="H3915" s="51" t="s">
        <v>15</v>
      </c>
      <c r="I3915" s="17">
        <v>0</v>
      </c>
      <c r="J3915" s="17">
        <f>IF(Gastos[[#This Row],[Divisa]]="$", I3915*1, IF(Gastos[[#This Row],[Divisa]]="U$D", I3915*$N$1, IF(Gastos[[#This Row],[Divisa]]="EUR", I3915*$N$2, 0)))</f>
        <v>0</v>
      </c>
      <c r="K3915" s="61">
        <f>Gastos[[#This Row],[Importe AR$]]/$N$1</f>
        <v>0</v>
      </c>
      <c r="M3915" s="76"/>
      <c r="N3915" s="50" t="str">
        <f>IF(Gastos[[#This Row],[Fecha_Cheque]]&gt;0,WEEKNUM(Gastos[[#This Row],[Fecha_Cheque]]),MID(Gastos[[#This Row],[Semana]],6,2))</f>
        <v>32</v>
      </c>
      <c r="P3915" t="s">
        <v>3991</v>
      </c>
    </row>
    <row r="3916" spans="1:16" x14ac:dyDescent="0.25">
      <c r="A3916" s="98" t="s">
        <v>3990</v>
      </c>
      <c r="B3916" s="99" t="s">
        <v>954</v>
      </c>
      <c r="C3916" s="99" t="s">
        <v>693</v>
      </c>
      <c r="D3916" s="99" t="s">
        <v>26</v>
      </c>
      <c r="E3916" s="99" t="s">
        <v>91</v>
      </c>
      <c r="F3916" s="99">
        <v>1</v>
      </c>
      <c r="G3916" s="98" t="s">
        <v>5</v>
      </c>
      <c r="H3916" s="51" t="s">
        <v>15</v>
      </c>
      <c r="I3916" s="17">
        <v>170000</v>
      </c>
      <c r="J3916" s="17">
        <f>IF(Gastos[[#This Row],[Divisa]]="$", I3916*1, IF(Gastos[[#This Row],[Divisa]]="U$D", I3916*$N$1, IF(Gastos[[#This Row],[Divisa]]="EUR", I3916*$N$2, 0)))</f>
        <v>170000</v>
      </c>
      <c r="K3916" s="61">
        <f>Gastos[[#This Row],[Importe AR$]]/$N$1</f>
        <v>112.21122112211221</v>
      </c>
      <c r="L3916" s="99"/>
      <c r="M3916" s="100"/>
      <c r="N3916" s="101" t="str">
        <f>IF(Gastos[[#This Row],[Fecha_Cheque]]&gt;0,WEEKNUM(Gastos[[#This Row],[Fecha_Cheque]]),MID(Gastos[[#This Row],[Semana]],6,2))</f>
        <v>32</v>
      </c>
      <c r="O3916" s="99"/>
      <c r="P3916" s="99" t="s">
        <v>3991</v>
      </c>
    </row>
    <row r="3917" spans="1:16" x14ac:dyDescent="0.25">
      <c r="A3917" s="3" t="s">
        <v>3990</v>
      </c>
      <c r="B3917" t="s">
        <v>2255</v>
      </c>
      <c r="C3917" t="s">
        <v>2260</v>
      </c>
      <c r="D3917" t="s">
        <v>26</v>
      </c>
      <c r="E3917" t="s">
        <v>31</v>
      </c>
      <c r="F3917">
        <v>1</v>
      </c>
      <c r="G3917" s="3" t="s">
        <v>32</v>
      </c>
      <c r="H3917" s="51" t="s">
        <v>15</v>
      </c>
      <c r="I3917" s="17">
        <v>5732316.5199999996</v>
      </c>
      <c r="J3917" s="17">
        <f>IF(Gastos[[#This Row],[Divisa]]="$", I3917*1, IF(Gastos[[#This Row],[Divisa]]="U$D", I3917*$N$1, IF(Gastos[[#This Row],[Divisa]]="EUR", I3917*$N$2, 0)))</f>
        <v>5732316.5199999996</v>
      </c>
      <c r="K3917" s="61">
        <f>Gastos[[#This Row],[Importe AR$]]/$N$1</f>
        <v>3783.7072739273926</v>
      </c>
      <c r="M3917" s="76">
        <v>46282</v>
      </c>
      <c r="N3917" s="50">
        <f>IF(Gastos[[#This Row],[Fecha_Cheque]]&gt;0,WEEKNUM(Gastos[[#This Row],[Fecha_Cheque]]),MID(Gastos[[#This Row],[Semana]],6,2))</f>
        <v>38</v>
      </c>
      <c r="O3917" t="s">
        <v>3993</v>
      </c>
      <c r="P3917" t="s">
        <v>3991</v>
      </c>
    </row>
    <row r="3918" spans="1:16" x14ac:dyDescent="0.25">
      <c r="A3918" s="3" t="s">
        <v>3990</v>
      </c>
      <c r="B3918" t="s">
        <v>2255</v>
      </c>
      <c r="C3918" t="s">
        <v>2260</v>
      </c>
      <c r="D3918" t="s">
        <v>26</v>
      </c>
      <c r="E3918" t="s">
        <v>31</v>
      </c>
      <c r="F3918">
        <v>1</v>
      </c>
      <c r="G3918" s="3" t="s">
        <v>32</v>
      </c>
      <c r="H3918" s="51" t="s">
        <v>15</v>
      </c>
      <c r="I3918" s="17">
        <v>91786.16</v>
      </c>
      <c r="J3918" s="17">
        <f>IF(Gastos[[#This Row],[Divisa]]="$", I3918*1, IF(Gastos[[#This Row],[Divisa]]="U$D", I3918*$N$1, IF(Gastos[[#This Row],[Divisa]]="EUR", I3918*$N$2, 0)))</f>
        <v>91786.16</v>
      </c>
      <c r="K3918" s="61">
        <f>Gastos[[#This Row],[Importe AR$]]/$N$1</f>
        <v>60.584924092409246</v>
      </c>
      <c r="L3918" t="s">
        <v>340</v>
      </c>
      <c r="M3918" s="76"/>
      <c r="N3918" s="50" t="str">
        <f>IF(Gastos[[#This Row],[Fecha_Cheque]]&gt;0,WEEKNUM(Gastos[[#This Row],[Fecha_Cheque]]),MID(Gastos[[#This Row],[Semana]],6,2))</f>
        <v>32</v>
      </c>
      <c r="O3918" t="s">
        <v>3993</v>
      </c>
      <c r="P3918" t="s">
        <v>3991</v>
      </c>
    </row>
    <row r="3919" spans="1:16" hidden="1" x14ac:dyDescent="0.25">
      <c r="A3919" s="3" t="s">
        <v>3907</v>
      </c>
      <c r="B3919" t="s">
        <v>3256</v>
      </c>
      <c r="C3919" t="s">
        <v>2582</v>
      </c>
      <c r="D3919" t="s">
        <v>26</v>
      </c>
      <c r="E3919" t="s">
        <v>31</v>
      </c>
      <c r="F3919">
        <v>1</v>
      </c>
      <c r="G3919" s="3" t="s">
        <v>5</v>
      </c>
      <c r="H3919" s="51" t="s">
        <v>15</v>
      </c>
      <c r="I3919" s="17">
        <v>1000000</v>
      </c>
      <c r="J3919" s="17">
        <f>IF(Gastos[[#This Row],[Divisa]]="$", I3919*1, IF(Gastos[[#This Row],[Divisa]]="U$D", I3919*$N$1, IF(Gastos[[#This Row],[Divisa]]="EUR", I3919*$N$2, 0)))</f>
        <v>1000000</v>
      </c>
      <c r="K3919" s="61">
        <f>Gastos[[#This Row],[Importe AR$]]/$N$1</f>
        <v>660.0660066006601</v>
      </c>
      <c r="M3919" s="76"/>
      <c r="N3919" s="50" t="str">
        <f>IF(Gastos[[#This Row],[Fecha_Cheque]]&gt;0,WEEKNUM(Gastos[[#This Row],[Fecha_Cheque]]),MID(Gastos[[#This Row],[Semana]],6,2))</f>
        <v>31</v>
      </c>
      <c r="O3919" t="s">
        <v>3925</v>
      </c>
      <c r="P3919" t="s">
        <v>27</v>
      </c>
    </row>
    <row r="3920" spans="1:16" hidden="1" x14ac:dyDescent="0.25">
      <c r="A3920" s="3" t="s">
        <v>3907</v>
      </c>
      <c r="B3920" t="s">
        <v>3839</v>
      </c>
      <c r="C3920" t="s">
        <v>3936</v>
      </c>
      <c r="D3920" t="s">
        <v>26</v>
      </c>
      <c r="E3920" t="s">
        <v>62</v>
      </c>
      <c r="F3920">
        <v>2</v>
      </c>
      <c r="G3920" s="3" t="s">
        <v>4</v>
      </c>
      <c r="H3920" s="51" t="s">
        <v>15</v>
      </c>
      <c r="I3920" s="17">
        <v>500000</v>
      </c>
      <c r="J3920" s="17">
        <f>IF(Gastos[[#This Row],[Divisa]]="$", I3920*1, IF(Gastos[[#This Row],[Divisa]]="U$D", I3920*$N$1, IF(Gastos[[#This Row],[Divisa]]="EUR", I3920*$N$2, 0)))</f>
        <v>500000</v>
      </c>
      <c r="K3920" s="61">
        <f>Gastos[[#This Row],[Importe AR$]]/$N$1</f>
        <v>330.03300330033005</v>
      </c>
      <c r="M3920" s="76"/>
      <c r="N3920" s="50" t="str">
        <f>IF(Gastos[[#This Row],[Fecha_Cheque]]&gt;0,WEEKNUM(Gastos[[#This Row],[Fecha_Cheque]]),MID(Gastos[[#This Row],[Semana]],6,2))</f>
        <v>31</v>
      </c>
      <c r="O3920" t="s">
        <v>3977</v>
      </c>
      <c r="P3920" t="s">
        <v>27</v>
      </c>
    </row>
    <row r="3921" spans="1:16" hidden="1" x14ac:dyDescent="0.25">
      <c r="A3921" s="3" t="s">
        <v>3907</v>
      </c>
      <c r="B3921" t="s">
        <v>2587</v>
      </c>
      <c r="C3921" t="s">
        <v>1211</v>
      </c>
      <c r="D3921" t="s">
        <v>26</v>
      </c>
      <c r="E3921" t="s">
        <v>42</v>
      </c>
      <c r="F3921">
        <v>1</v>
      </c>
      <c r="G3921" s="3" t="s">
        <v>4</v>
      </c>
      <c r="H3921" s="51" t="s">
        <v>15</v>
      </c>
      <c r="I3921" s="17">
        <v>79200</v>
      </c>
      <c r="J3921" s="17">
        <f>IF(Gastos[[#This Row],[Divisa]]="$", I3921*1, IF(Gastos[[#This Row],[Divisa]]="U$D", I3921*$N$1, IF(Gastos[[#This Row],[Divisa]]="EUR", I3921*$N$2, 0)))</f>
        <v>79200</v>
      </c>
      <c r="K3921" s="61">
        <f>Gastos[[#This Row],[Importe AR$]]/$N$1</f>
        <v>52.277227722772274</v>
      </c>
      <c r="M3921" s="76"/>
      <c r="N3921" s="50" t="str">
        <f>IF(Gastos[[#This Row],[Fecha_Cheque]]&gt;0,WEEKNUM(Gastos[[#This Row],[Fecha_Cheque]]),MID(Gastos[[#This Row],[Semana]],6,2))</f>
        <v>31</v>
      </c>
      <c r="O3921" t="s">
        <v>3921</v>
      </c>
      <c r="P3921" t="s">
        <v>27</v>
      </c>
    </row>
    <row r="3922" spans="1:16" hidden="1" x14ac:dyDescent="0.25">
      <c r="A3922" s="3" t="s">
        <v>3907</v>
      </c>
      <c r="B3922" t="s">
        <v>2587</v>
      </c>
      <c r="C3922" t="s">
        <v>1211</v>
      </c>
      <c r="D3922" t="s">
        <v>26</v>
      </c>
      <c r="E3922" t="s">
        <v>42</v>
      </c>
      <c r="F3922">
        <v>1</v>
      </c>
      <c r="G3922" s="3" t="s">
        <v>4</v>
      </c>
      <c r="H3922" s="51" t="s">
        <v>15</v>
      </c>
      <c r="I3922" s="17">
        <v>154200</v>
      </c>
      <c r="J3922" s="17">
        <f>IF(Gastos[[#This Row],[Divisa]]="$", I3922*1, IF(Gastos[[#This Row],[Divisa]]="U$D", I3922*$N$1, IF(Gastos[[#This Row],[Divisa]]="EUR", I3922*$N$2, 0)))</f>
        <v>154200</v>
      </c>
      <c r="K3922" s="61">
        <f>Gastos[[#This Row],[Importe AR$]]/$N$1</f>
        <v>101.78217821782178</v>
      </c>
      <c r="M3922" s="76"/>
      <c r="N3922" s="50" t="str">
        <f>IF(Gastos[[#This Row],[Fecha_Cheque]]&gt;0,WEEKNUM(Gastos[[#This Row],[Fecha_Cheque]]),MID(Gastos[[#This Row],[Semana]],6,2))</f>
        <v>31</v>
      </c>
      <c r="O3922" t="s">
        <v>3961</v>
      </c>
      <c r="P3922" t="s">
        <v>27</v>
      </c>
    </row>
    <row r="3923" spans="1:16" x14ac:dyDescent="0.25">
      <c r="A3923" s="3" t="s">
        <v>3990</v>
      </c>
      <c r="B3923" t="s">
        <v>2255</v>
      </c>
      <c r="C3923" t="s">
        <v>2260</v>
      </c>
      <c r="D3923" t="s">
        <v>26</v>
      </c>
      <c r="E3923" t="s">
        <v>62</v>
      </c>
      <c r="F3923">
        <v>1</v>
      </c>
      <c r="G3923" s="3" t="s">
        <v>5</v>
      </c>
      <c r="H3923" s="51" t="s">
        <v>15</v>
      </c>
      <c r="I3923" s="17">
        <v>671550</v>
      </c>
      <c r="J3923" s="17">
        <f>IF(Gastos[[#This Row],[Divisa]]="$", I3923*1, IF(Gastos[[#This Row],[Divisa]]="U$D", I3923*$N$1, IF(Gastos[[#This Row],[Divisa]]="EUR", I3923*$N$2, 0)))</f>
        <v>671550</v>
      </c>
      <c r="K3923" s="61">
        <f>Gastos[[#This Row],[Importe AR$]]/$N$1</f>
        <v>443.26732673267327</v>
      </c>
      <c r="M3923" s="76"/>
      <c r="N3923" s="50" t="str">
        <f>IF(Gastos[[#This Row],[Fecha_Cheque]]&gt;0,WEEKNUM(Gastos[[#This Row],[Fecha_Cheque]]),MID(Gastos[[#This Row],[Semana]],6,2))</f>
        <v>32</v>
      </c>
      <c r="P3923" t="s">
        <v>3991</v>
      </c>
    </row>
    <row r="3924" spans="1:16" x14ac:dyDescent="0.25">
      <c r="A3924" s="3" t="s">
        <v>3990</v>
      </c>
      <c r="B3924" t="s">
        <v>2288</v>
      </c>
      <c r="C3924" t="s">
        <v>422</v>
      </c>
      <c r="D3924" t="s">
        <v>26</v>
      </c>
      <c r="E3924" t="s">
        <v>91</v>
      </c>
      <c r="F3924">
        <v>1</v>
      </c>
      <c r="G3924" s="3" t="s">
        <v>5</v>
      </c>
      <c r="H3924" s="51" t="s">
        <v>15</v>
      </c>
      <c r="I3924" s="17">
        <v>659148.5</v>
      </c>
      <c r="J3924" s="17">
        <f>IF(Gastos[[#This Row],[Divisa]]="$", I3924*1, IF(Gastos[[#This Row],[Divisa]]="U$D", I3924*$N$1, IF(Gastos[[#This Row],[Divisa]]="EUR", I3924*$N$2, 0)))</f>
        <v>659148.5</v>
      </c>
      <c r="K3924" s="61">
        <f>Gastos[[#This Row],[Importe AR$]]/$N$1</f>
        <v>435.0815181518152</v>
      </c>
      <c r="M3924" s="76"/>
      <c r="N3924" s="50" t="str">
        <f>IF(Gastos[[#This Row],[Fecha_Cheque]]&gt;0,WEEKNUM(Gastos[[#This Row],[Fecha_Cheque]]),MID(Gastos[[#This Row],[Semana]],6,2))</f>
        <v>32</v>
      </c>
      <c r="P3924" t="s">
        <v>3991</v>
      </c>
    </row>
    <row r="3925" spans="1:16" x14ac:dyDescent="0.25">
      <c r="A3925" s="3" t="s">
        <v>3990</v>
      </c>
      <c r="B3925" t="s">
        <v>2305</v>
      </c>
      <c r="C3925" t="s">
        <v>2306</v>
      </c>
      <c r="D3925" t="s">
        <v>26</v>
      </c>
      <c r="E3925" t="s">
        <v>62</v>
      </c>
      <c r="F3925">
        <v>1</v>
      </c>
      <c r="G3925" s="3" t="s">
        <v>5</v>
      </c>
      <c r="H3925" s="53" t="s">
        <v>15</v>
      </c>
      <c r="I3925" s="17">
        <v>7180883.1900000004</v>
      </c>
      <c r="J3925" s="17">
        <f>IF(Gastos[[#This Row],[Divisa]]="$", I3925*1, IF(Gastos[[#This Row],[Divisa]]="U$D", I3925*$N$1, IF(Gastos[[#This Row],[Divisa]]="EUR", I3925*$N$2, 0)))</f>
        <v>7180883.1900000004</v>
      </c>
      <c r="K3925" s="61">
        <f>Gastos[[#This Row],[Importe AR$]]/$N$1</f>
        <v>4739.856891089109</v>
      </c>
      <c r="M3925" s="76"/>
      <c r="N3925" s="50" t="str">
        <f>IF(Gastos[[#This Row],[Fecha_Cheque]]&gt;0,WEEKNUM(Gastos[[#This Row],[Fecha_Cheque]]),MID(Gastos[[#This Row],[Semana]],6,2))</f>
        <v>32</v>
      </c>
    </row>
    <row r="3926" spans="1:16" x14ac:dyDescent="0.25">
      <c r="A3926" s="3" t="s">
        <v>3990</v>
      </c>
      <c r="B3926" t="s">
        <v>3524</v>
      </c>
      <c r="C3926" t="s">
        <v>3946</v>
      </c>
      <c r="D3926" t="s">
        <v>26</v>
      </c>
      <c r="E3926" t="s">
        <v>91</v>
      </c>
      <c r="F3926">
        <v>1</v>
      </c>
      <c r="G3926" s="3" t="s">
        <v>5</v>
      </c>
      <c r="H3926" s="51" t="s">
        <v>15</v>
      </c>
      <c r="I3926" s="17">
        <v>235000</v>
      </c>
      <c r="J3926" s="17">
        <f>IF(Gastos[[#This Row],[Divisa]]="$", I3926*1, IF(Gastos[[#This Row],[Divisa]]="U$D", I3926*$N$1, IF(Gastos[[#This Row],[Divisa]]="EUR", I3926*$N$2, 0)))</f>
        <v>235000</v>
      </c>
      <c r="K3926" s="61">
        <f>Gastos[[#This Row],[Importe AR$]]/$N$1</f>
        <v>155.11551155115512</v>
      </c>
      <c r="M3926" s="76"/>
      <c r="N3926" s="50" t="str">
        <f>IF(Gastos[[#This Row],[Fecha_Cheque]]&gt;0,WEEKNUM(Gastos[[#This Row],[Fecha_Cheque]]),MID(Gastos[[#This Row],[Semana]],6,2))</f>
        <v>32</v>
      </c>
      <c r="P3926" t="s">
        <v>3991</v>
      </c>
    </row>
    <row r="3927" spans="1:16" x14ac:dyDescent="0.25">
      <c r="A3927" s="3" t="s">
        <v>3990</v>
      </c>
      <c r="B3927" t="s">
        <v>2355</v>
      </c>
      <c r="C3927" t="s">
        <v>422</v>
      </c>
      <c r="D3927" t="s">
        <v>26</v>
      </c>
      <c r="E3927" t="s">
        <v>91</v>
      </c>
      <c r="F3927">
        <v>1</v>
      </c>
      <c r="G3927" s="3" t="s">
        <v>5</v>
      </c>
      <c r="H3927" s="51" t="s">
        <v>15</v>
      </c>
      <c r="I3927" s="17">
        <v>0</v>
      </c>
      <c r="J3927" s="17">
        <f>IF(Gastos[[#This Row],[Divisa]]="$", I3927*1, IF(Gastos[[#This Row],[Divisa]]="U$D", I3927*$N$1, IF(Gastos[[#This Row],[Divisa]]="EUR", I3927*$N$2, 0)))</f>
        <v>0</v>
      </c>
      <c r="K3927" s="61">
        <f>Gastos[[#This Row],[Importe AR$]]/$N$1</f>
        <v>0</v>
      </c>
      <c r="M3927" s="76"/>
      <c r="N3927" s="50" t="str">
        <f>IF(Gastos[[#This Row],[Fecha_Cheque]]&gt;0,WEEKNUM(Gastos[[#This Row],[Fecha_Cheque]]),MID(Gastos[[#This Row],[Semana]],6,2))</f>
        <v>32</v>
      </c>
    </row>
    <row r="3928" spans="1:16" x14ac:dyDescent="0.25">
      <c r="A3928" s="3" t="s">
        <v>3990</v>
      </c>
      <c r="B3928" t="s">
        <v>2368</v>
      </c>
      <c r="C3928" t="s">
        <v>2373</v>
      </c>
      <c r="D3928" t="s">
        <v>26</v>
      </c>
      <c r="E3928" t="s">
        <v>62</v>
      </c>
      <c r="F3928">
        <v>1</v>
      </c>
      <c r="G3928" s="3" t="s">
        <v>32</v>
      </c>
      <c r="H3928" s="53" t="s">
        <v>15</v>
      </c>
      <c r="I3928" s="17">
        <v>14654607.16</v>
      </c>
      <c r="J3928" s="17">
        <f>IF(Gastos[[#This Row],[Divisa]]="$", I3928*1, IF(Gastos[[#This Row],[Divisa]]="U$D", I3928*$N$1, IF(Gastos[[#This Row],[Divisa]]="EUR", I3928*$N$2, 0)))</f>
        <v>14654607.16</v>
      </c>
      <c r="K3928" s="61">
        <f>Gastos[[#This Row],[Importe AR$]]/$N$1</f>
        <v>9673.0080264026401</v>
      </c>
      <c r="M3928" s="76"/>
      <c r="N3928" s="50" t="str">
        <f>IF(Gastos[[#This Row],[Fecha_Cheque]]&gt;0,WEEKNUM(Gastos[[#This Row],[Fecha_Cheque]]),MID(Gastos[[#This Row],[Semana]],6,2))</f>
        <v>32</v>
      </c>
    </row>
    <row r="3929" spans="1:16" x14ac:dyDescent="0.25">
      <c r="A3929" s="3" t="s">
        <v>3990</v>
      </c>
      <c r="B3929" t="s">
        <v>2377</v>
      </c>
      <c r="C3929" t="s">
        <v>3912</v>
      </c>
      <c r="D3929" t="s">
        <v>26</v>
      </c>
      <c r="E3929" t="s">
        <v>62</v>
      </c>
      <c r="F3929">
        <v>1</v>
      </c>
      <c r="G3929" s="3" t="s">
        <v>32</v>
      </c>
      <c r="H3929" s="51" t="s">
        <v>15</v>
      </c>
      <c r="I3929" s="17">
        <v>5684571.7300000004</v>
      </c>
      <c r="J3929" s="17">
        <f>IF(Gastos[[#This Row],[Divisa]]="$", I3929*1, IF(Gastos[[#This Row],[Divisa]]="U$D", I3929*$N$1, IF(Gastos[[#This Row],[Divisa]]="EUR", I3929*$N$2, 0)))</f>
        <v>5684571.7300000004</v>
      </c>
      <c r="K3929" s="61">
        <f>Gastos[[#This Row],[Importe AR$]]/$N$1</f>
        <v>3752.1925610561061</v>
      </c>
      <c r="M3929" s="76"/>
      <c r="N3929" s="50" t="str">
        <f>IF(Gastos[[#This Row],[Fecha_Cheque]]&gt;0,WEEKNUM(Gastos[[#This Row],[Fecha_Cheque]]),MID(Gastos[[#This Row],[Semana]],6,2))</f>
        <v>32</v>
      </c>
    </row>
    <row r="3930" spans="1:16" x14ac:dyDescent="0.25">
      <c r="A3930" s="3" t="s">
        <v>3990</v>
      </c>
      <c r="B3930" t="s">
        <v>2377</v>
      </c>
      <c r="C3930" t="s">
        <v>3911</v>
      </c>
      <c r="D3930" t="s">
        <v>26</v>
      </c>
      <c r="E3930" t="s">
        <v>62</v>
      </c>
      <c r="F3930">
        <v>1</v>
      </c>
      <c r="G3930" s="3" t="s">
        <v>32</v>
      </c>
      <c r="H3930" s="53" t="s">
        <v>15</v>
      </c>
      <c r="I3930" s="17">
        <v>3975955.88</v>
      </c>
      <c r="J3930" s="17">
        <f>IF(Gastos[[#This Row],[Divisa]]="$", I3930*1, IF(Gastos[[#This Row],[Divisa]]="U$D", I3930*$N$1, IF(Gastos[[#This Row],[Divisa]]="EUR", I3930*$N$2, 0)))</f>
        <v>3975955.88</v>
      </c>
      <c r="K3930" s="61">
        <f>Gastos[[#This Row],[Importe AR$]]/$N$1</f>
        <v>2624.3933201320133</v>
      </c>
      <c r="M3930" s="76"/>
      <c r="N3930" s="50" t="str">
        <f>IF(Gastos[[#This Row],[Fecha_Cheque]]&gt;0,WEEKNUM(Gastos[[#This Row],[Fecha_Cheque]]),MID(Gastos[[#This Row],[Semana]],6,2))</f>
        <v>32</v>
      </c>
    </row>
    <row r="3931" spans="1:16" x14ac:dyDescent="0.25">
      <c r="A3931" s="3" t="s">
        <v>3990</v>
      </c>
      <c r="B3931" t="s">
        <v>2377</v>
      </c>
      <c r="C3931" t="s">
        <v>3913</v>
      </c>
      <c r="D3931" t="s">
        <v>26</v>
      </c>
      <c r="E3931" t="s">
        <v>62</v>
      </c>
      <c r="F3931">
        <v>1</v>
      </c>
      <c r="G3931" s="3" t="s">
        <v>32</v>
      </c>
      <c r="H3931" s="53" t="s">
        <v>15</v>
      </c>
      <c r="I3931" s="17">
        <v>1524000</v>
      </c>
      <c r="J3931" s="17">
        <f>IF(Gastos[[#This Row],[Divisa]]="$", I3931*1, IF(Gastos[[#This Row],[Divisa]]="U$D", I3931*$N$1, IF(Gastos[[#This Row],[Divisa]]="EUR", I3931*$N$2, 0)))</f>
        <v>1524000</v>
      </c>
      <c r="K3931" s="61">
        <f>Gastos[[#This Row],[Importe AR$]]/$N$1</f>
        <v>1005.940594059406</v>
      </c>
      <c r="M3931" s="76"/>
      <c r="N3931" s="50" t="str">
        <f>IF(Gastos[[#This Row],[Fecha_Cheque]]&gt;0,WEEKNUM(Gastos[[#This Row],[Fecha_Cheque]]),MID(Gastos[[#This Row],[Semana]],6,2))</f>
        <v>32</v>
      </c>
    </row>
    <row r="3932" spans="1:16" x14ac:dyDescent="0.25">
      <c r="A3932" s="98" t="s">
        <v>3990</v>
      </c>
      <c r="B3932" s="99" t="s">
        <v>4004</v>
      </c>
      <c r="C3932" s="99" t="s">
        <v>4009</v>
      </c>
      <c r="D3932" s="99" t="s">
        <v>26</v>
      </c>
      <c r="E3932" s="99" t="s">
        <v>42</v>
      </c>
      <c r="F3932" s="99">
        <v>2</v>
      </c>
      <c r="G3932" s="98" t="s">
        <v>4</v>
      </c>
      <c r="H3932" s="51" t="s">
        <v>15</v>
      </c>
      <c r="I3932" s="17">
        <v>1000000</v>
      </c>
      <c r="J3932" s="17">
        <f>IF(Gastos[[#This Row],[Divisa]]="$", I3932*1, IF(Gastos[[#This Row],[Divisa]]="U$D", I3932*$N$1, IF(Gastos[[#This Row],[Divisa]]="EUR", I3932*$N$2, 0)))</f>
        <v>1000000</v>
      </c>
      <c r="K3932" s="61">
        <f>Gastos[[#This Row],[Importe AR$]]/$N$1</f>
        <v>660.0660066006601</v>
      </c>
      <c r="L3932" s="99"/>
      <c r="M3932" s="100"/>
      <c r="N3932" s="101" t="str">
        <f>IF(Gastos[[#This Row],[Fecha_Cheque]]&gt;0,WEEKNUM(Gastos[[#This Row],[Fecha_Cheque]]),MID(Gastos[[#This Row],[Semana]],6,2))</f>
        <v>32</v>
      </c>
      <c r="O3932" s="99"/>
      <c r="P3932" s="99" t="s">
        <v>3991</v>
      </c>
    </row>
    <row r="3933" spans="1:16" x14ac:dyDescent="0.25">
      <c r="A3933" s="3" t="s">
        <v>3990</v>
      </c>
      <c r="B3933" t="s">
        <v>2436</v>
      </c>
      <c r="C3933" t="s">
        <v>118</v>
      </c>
      <c r="D3933" t="s">
        <v>26</v>
      </c>
      <c r="E3933" t="s">
        <v>3956</v>
      </c>
      <c r="F3933">
        <v>1</v>
      </c>
      <c r="G3933" s="3" t="s">
        <v>32</v>
      </c>
      <c r="H3933" s="51" t="s">
        <v>2</v>
      </c>
      <c r="I3933" s="17">
        <v>24742</v>
      </c>
      <c r="J3933" s="17">
        <f>IF(Gastos[[#This Row],[Divisa]]="$", I3933*1, IF(Gastos[[#This Row],[Divisa]]="U$D", I3933*$N$1, IF(Gastos[[#This Row],[Divisa]]="EUR", I3933*$N$2, 0)))</f>
        <v>37484130</v>
      </c>
      <c r="K3933" s="61">
        <f>Gastos[[#This Row],[Importe AR$]]/$N$1</f>
        <v>24742</v>
      </c>
      <c r="L3933" s="8"/>
      <c r="M3933" s="76"/>
      <c r="N3933" s="50" t="str">
        <f>IF(Gastos[[#This Row],[Fecha_Cheque]]&gt;0,WEEKNUM(Gastos[[#This Row],[Fecha_Cheque]]),MID(Gastos[[#This Row],[Semana]],6,2))</f>
        <v>32</v>
      </c>
    </row>
    <row r="3934" spans="1:16" x14ac:dyDescent="0.25">
      <c r="A3934" s="3" t="s">
        <v>3990</v>
      </c>
      <c r="B3934" t="s">
        <v>2501</v>
      </c>
      <c r="C3934" t="s">
        <v>2010</v>
      </c>
      <c r="D3934" t="s">
        <v>26</v>
      </c>
      <c r="E3934" t="s">
        <v>62</v>
      </c>
      <c r="F3934">
        <v>1</v>
      </c>
      <c r="G3934" s="3" t="s">
        <v>32</v>
      </c>
      <c r="H3934" s="53" t="s">
        <v>15</v>
      </c>
      <c r="I3934" s="17">
        <v>0</v>
      </c>
      <c r="J3934" s="17">
        <f>IF(Gastos[[#This Row],[Divisa]]="$", I3934*1, IF(Gastos[[#This Row],[Divisa]]="U$D", I3934*$N$1, IF(Gastos[[#This Row],[Divisa]]="EUR", I3934*$N$2, 0)))</f>
        <v>0</v>
      </c>
      <c r="K3934" s="61">
        <f>Gastos[[#This Row],[Importe AR$]]/$N$1</f>
        <v>0</v>
      </c>
      <c r="M3934" s="76"/>
      <c r="N3934" s="50" t="str">
        <f>IF(Gastos[[#This Row],[Fecha_Cheque]]&gt;0,WEEKNUM(Gastos[[#This Row],[Fecha_Cheque]]),MID(Gastos[[#This Row],[Semana]],6,2))</f>
        <v>32</v>
      </c>
    </row>
    <row r="3935" spans="1:16" x14ac:dyDescent="0.25">
      <c r="A3935" s="3" t="s">
        <v>3990</v>
      </c>
      <c r="B3935" t="s">
        <v>2508</v>
      </c>
      <c r="C3935" t="s">
        <v>3613</v>
      </c>
      <c r="D3935" t="s">
        <v>26</v>
      </c>
      <c r="E3935" t="s">
        <v>62</v>
      </c>
      <c r="F3935">
        <v>1</v>
      </c>
      <c r="G3935" s="3" t="s">
        <v>32</v>
      </c>
      <c r="H3935" s="51" t="s">
        <v>15</v>
      </c>
      <c r="I3935" s="17">
        <v>0</v>
      </c>
      <c r="J3935" s="17">
        <f>IF(Gastos[[#This Row],[Divisa]]="$", I3935*1, IF(Gastos[[#This Row],[Divisa]]="U$D", I3935*$N$1, IF(Gastos[[#This Row],[Divisa]]="EUR", I3935*$N$2, 0)))</f>
        <v>0</v>
      </c>
      <c r="K3935" s="61">
        <f>Gastos[[#This Row],[Importe AR$]]/$N$1</f>
        <v>0</v>
      </c>
      <c r="M3935" s="76"/>
      <c r="N3935" s="50" t="str">
        <f>IF(Gastos[[#This Row],[Fecha_Cheque]]&gt;0,WEEKNUM(Gastos[[#This Row],[Fecha_Cheque]]),MID(Gastos[[#This Row],[Semana]],6,2))</f>
        <v>32</v>
      </c>
      <c r="P3935" t="s">
        <v>3991</v>
      </c>
    </row>
    <row r="3936" spans="1:16" x14ac:dyDescent="0.25">
      <c r="A3936" s="3" t="s">
        <v>3990</v>
      </c>
      <c r="B3936" t="s">
        <v>2525</v>
      </c>
      <c r="C3936" t="s">
        <v>2527</v>
      </c>
      <c r="D3936" t="s">
        <v>26</v>
      </c>
      <c r="E3936" t="s">
        <v>62</v>
      </c>
      <c r="F3936">
        <v>1</v>
      </c>
      <c r="G3936" s="3" t="s">
        <v>32</v>
      </c>
      <c r="H3936" s="53" t="s">
        <v>15</v>
      </c>
      <c r="I3936" s="17">
        <v>5273758.2699999996</v>
      </c>
      <c r="J3936" s="17">
        <f>IF(Gastos[[#This Row],[Divisa]]="$", I3936*1, IF(Gastos[[#This Row],[Divisa]]="U$D", I3936*$N$1, IF(Gastos[[#This Row],[Divisa]]="EUR", I3936*$N$2, 0)))</f>
        <v>5273758.2699999996</v>
      </c>
      <c r="K3936" s="61">
        <f>Gastos[[#This Row],[Importe AR$]]/$N$1</f>
        <v>3481.0285610561054</v>
      </c>
      <c r="M3936" s="76"/>
      <c r="N3936" s="50" t="str">
        <f>IF(Gastos[[#This Row],[Fecha_Cheque]]&gt;0,WEEKNUM(Gastos[[#This Row],[Fecha_Cheque]]),MID(Gastos[[#This Row],[Semana]],6,2))</f>
        <v>32</v>
      </c>
      <c r="P3936" t="s">
        <v>3991</v>
      </c>
    </row>
    <row r="3937" spans="1:16" x14ac:dyDescent="0.25">
      <c r="A3937" s="98" t="s">
        <v>3990</v>
      </c>
      <c r="B3937" s="99" t="s">
        <v>3256</v>
      </c>
      <c r="C3937" s="99" t="s">
        <v>2582</v>
      </c>
      <c r="D3937" s="99" t="s">
        <v>26</v>
      </c>
      <c r="E3937" s="99" t="s">
        <v>42</v>
      </c>
      <c r="F3937" s="99">
        <v>1</v>
      </c>
      <c r="G3937" s="98" t="s">
        <v>4</v>
      </c>
      <c r="H3937" s="51" t="s">
        <v>15</v>
      </c>
      <c r="I3937" s="17">
        <v>640000</v>
      </c>
      <c r="J3937" s="17">
        <f>IF(Gastos[[#This Row],[Divisa]]="$", I3937*1, IF(Gastos[[#This Row],[Divisa]]="U$D", I3937*$N$1, IF(Gastos[[#This Row],[Divisa]]="EUR", I3937*$N$2, 0)))</f>
        <v>640000</v>
      </c>
      <c r="K3937" s="61">
        <f>Gastos[[#This Row],[Importe AR$]]/$N$1</f>
        <v>422.44224422442244</v>
      </c>
      <c r="L3937" s="99"/>
      <c r="M3937" s="100"/>
      <c r="N3937" s="101" t="str">
        <f>IF(Gastos[[#This Row],[Fecha_Cheque]]&gt;0,WEEKNUM(Gastos[[#This Row],[Fecha_Cheque]]),MID(Gastos[[#This Row],[Semana]],6,2))</f>
        <v>32</v>
      </c>
      <c r="O3937" s="99" t="s">
        <v>4015</v>
      </c>
      <c r="P3937" s="99" t="s">
        <v>27</v>
      </c>
    </row>
    <row r="3938" spans="1:16" x14ac:dyDescent="0.25">
      <c r="A3938" s="98" t="s">
        <v>3990</v>
      </c>
      <c r="B3938" s="99" t="s">
        <v>2587</v>
      </c>
      <c r="C3938" s="99" t="s">
        <v>1948</v>
      </c>
      <c r="D3938" s="99" t="s">
        <v>26</v>
      </c>
      <c r="E3938" s="99" t="s">
        <v>42</v>
      </c>
      <c r="F3938" s="99">
        <v>1</v>
      </c>
      <c r="G3938" s="98" t="s">
        <v>4</v>
      </c>
      <c r="H3938" s="51" t="s">
        <v>15</v>
      </c>
      <c r="I3938" s="17">
        <v>158400</v>
      </c>
      <c r="J3938" s="17">
        <f>IF(Gastos[[#This Row],[Divisa]]="$", I3938*1, IF(Gastos[[#This Row],[Divisa]]="U$D", I3938*$N$1, IF(Gastos[[#This Row],[Divisa]]="EUR", I3938*$N$2, 0)))</f>
        <v>158400</v>
      </c>
      <c r="K3938" s="61">
        <f>Gastos[[#This Row],[Importe AR$]]/$N$1</f>
        <v>104.55445544554455</v>
      </c>
      <c r="L3938" s="99"/>
      <c r="M3938" s="100"/>
      <c r="N3938" s="101" t="str">
        <f>IF(Gastos[[#This Row],[Fecha_Cheque]]&gt;0,WEEKNUM(Gastos[[#This Row],[Fecha_Cheque]]),MID(Gastos[[#This Row],[Semana]],6,2))</f>
        <v>32</v>
      </c>
      <c r="O3938" s="99" t="s">
        <v>4012</v>
      </c>
      <c r="P3938" s="99" t="s">
        <v>27</v>
      </c>
    </row>
    <row r="3939" spans="1:16" x14ac:dyDescent="0.25">
      <c r="A3939" s="98" t="s">
        <v>3990</v>
      </c>
      <c r="B3939" s="99" t="s">
        <v>2587</v>
      </c>
      <c r="C3939" s="99" t="s">
        <v>4013</v>
      </c>
      <c r="D3939" s="99" t="s">
        <v>26</v>
      </c>
      <c r="E3939" s="99" t="s">
        <v>42</v>
      </c>
      <c r="F3939" s="99">
        <v>2</v>
      </c>
      <c r="G3939" s="98" t="s">
        <v>4</v>
      </c>
      <c r="H3939" s="51" t="s">
        <v>15</v>
      </c>
      <c r="I3939" s="17">
        <v>428550</v>
      </c>
      <c r="J3939" s="17">
        <f>IF(Gastos[[#This Row],[Divisa]]="$", I3939*1, IF(Gastos[[#This Row],[Divisa]]="U$D", I3939*$N$1, IF(Gastos[[#This Row],[Divisa]]="EUR", I3939*$N$2, 0)))</f>
        <v>428550</v>
      </c>
      <c r="K3939" s="61">
        <f>Gastos[[#This Row],[Importe AR$]]/$N$1</f>
        <v>282.87128712871288</v>
      </c>
      <c r="L3939" s="99"/>
      <c r="M3939" s="100"/>
      <c r="N3939" s="101" t="str">
        <f>IF(Gastos[[#This Row],[Fecha_Cheque]]&gt;0,WEEKNUM(Gastos[[#This Row],[Fecha_Cheque]]),MID(Gastos[[#This Row],[Semana]],6,2))</f>
        <v>32</v>
      </c>
      <c r="O3939" s="99" t="s">
        <v>4014</v>
      </c>
      <c r="P3939" s="99" t="s">
        <v>27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553"/>
  <sheetViews>
    <sheetView showGridLines="0" topLeftCell="A504" workbookViewId="0">
      <selection activeCell="T550" sqref="T550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6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</cols>
  <sheetData>
    <row r="1" spans="1:16" x14ac:dyDescent="0.25">
      <c r="A1" s="25" t="s">
        <v>3466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3467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3468</v>
      </c>
      <c r="P3" t="s">
        <v>3466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3468</v>
      </c>
      <c r="P4" t="s">
        <v>3466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3468</v>
      </c>
      <c r="P5" t="s">
        <v>3466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3468</v>
      </c>
      <c r="P6" t="s">
        <v>3466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3468</v>
      </c>
      <c r="P7" t="s">
        <v>3466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3177</v>
      </c>
      <c r="N8" t="s">
        <v>3468</v>
      </c>
      <c r="P8" t="s">
        <v>3466</v>
      </c>
    </row>
    <row r="9" spans="1:16" x14ac:dyDescent="0.25">
      <c r="A9" t="s">
        <v>2804</v>
      </c>
      <c r="B9" t="s">
        <v>3299</v>
      </c>
      <c r="C9" t="s">
        <v>3300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3468</v>
      </c>
      <c r="P9" t="s">
        <v>3466</v>
      </c>
    </row>
    <row r="10" spans="1:16" x14ac:dyDescent="0.25">
      <c r="A10" t="s">
        <v>2804</v>
      </c>
      <c r="B10" t="s">
        <v>3155</v>
      </c>
      <c r="C10" t="s">
        <v>3156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3468</v>
      </c>
      <c r="P10" t="s">
        <v>3466</v>
      </c>
    </row>
    <row r="11" spans="1:16" x14ac:dyDescent="0.25">
      <c r="A11" t="s">
        <v>2804</v>
      </c>
      <c r="B11" t="s">
        <v>3169</v>
      </c>
      <c r="C11" t="s">
        <v>3170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3468</v>
      </c>
      <c r="P11" t="s">
        <v>3466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3468</v>
      </c>
      <c r="P12" t="s">
        <v>3466</v>
      </c>
    </row>
    <row r="13" spans="1:16" x14ac:dyDescent="0.25">
      <c r="A13" t="s">
        <v>2804</v>
      </c>
      <c r="B13" t="s">
        <v>2153</v>
      </c>
      <c r="C13" t="s">
        <v>3469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3468</v>
      </c>
      <c r="P13" t="s">
        <v>3466</v>
      </c>
    </row>
    <row r="14" spans="1:16" x14ac:dyDescent="0.25">
      <c r="A14" t="s">
        <v>2804</v>
      </c>
      <c r="B14" t="s">
        <v>3287</v>
      </c>
      <c r="C14" t="s">
        <v>3470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3468</v>
      </c>
      <c r="P14" t="s">
        <v>3466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3468</v>
      </c>
      <c r="P15" t="s">
        <v>3466</v>
      </c>
    </row>
    <row r="16" spans="1:16" hidden="1" x14ac:dyDescent="0.25">
      <c r="A16" t="s">
        <v>2804</v>
      </c>
      <c r="B16" t="s">
        <v>1580</v>
      </c>
      <c r="C16" t="s">
        <v>3206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3468</v>
      </c>
      <c r="P16" t="s">
        <v>3466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3468</v>
      </c>
      <c r="P17" t="s">
        <v>3466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3468</v>
      </c>
      <c r="P18" t="s">
        <v>3466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3468</v>
      </c>
      <c r="P19" t="s">
        <v>3466</v>
      </c>
    </row>
    <row r="20" spans="1:16" x14ac:dyDescent="0.25">
      <c r="G20" s="83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3467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3468</v>
      </c>
      <c r="P23" t="s">
        <v>3466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3468</v>
      </c>
      <c r="P24" t="s">
        <v>3466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3468</v>
      </c>
      <c r="P25" t="s">
        <v>3466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3468</v>
      </c>
      <c r="P26" t="s">
        <v>3466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3468</v>
      </c>
      <c r="P27" t="s">
        <v>3466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3177</v>
      </c>
      <c r="N28" t="s">
        <v>3468</v>
      </c>
      <c r="P28" t="s">
        <v>3466</v>
      </c>
    </row>
    <row r="29" spans="1:16" hidden="1" x14ac:dyDescent="0.25">
      <c r="A29" t="s">
        <v>2804</v>
      </c>
      <c r="B29" t="s">
        <v>3299</v>
      </c>
      <c r="C29" t="s">
        <v>3300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3468</v>
      </c>
      <c r="P29" t="s">
        <v>3466</v>
      </c>
    </row>
    <row r="30" spans="1:16" hidden="1" x14ac:dyDescent="0.25">
      <c r="A30" t="s">
        <v>2804</v>
      </c>
      <c r="B30" t="s">
        <v>3155</v>
      </c>
      <c r="C30" t="s">
        <v>3156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3468</v>
      </c>
      <c r="P30" t="s">
        <v>3466</v>
      </c>
    </row>
    <row r="31" spans="1:16" hidden="1" x14ac:dyDescent="0.25">
      <c r="A31" t="s">
        <v>2804</v>
      </c>
      <c r="B31" t="s">
        <v>3169</v>
      </c>
      <c r="C31" t="s">
        <v>3170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3468</v>
      </c>
      <c r="P31" t="s">
        <v>3466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3468</v>
      </c>
      <c r="P32" t="s">
        <v>3466</v>
      </c>
    </row>
    <row r="33" spans="1:16" hidden="1" x14ac:dyDescent="0.25">
      <c r="A33" t="s">
        <v>2804</v>
      </c>
      <c r="B33" t="s">
        <v>2153</v>
      </c>
      <c r="C33" t="s">
        <v>3469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3468</v>
      </c>
      <c r="P33" t="s">
        <v>3466</v>
      </c>
    </row>
    <row r="34" spans="1:16" hidden="1" x14ac:dyDescent="0.25">
      <c r="A34" t="s">
        <v>2804</v>
      </c>
      <c r="B34" t="s">
        <v>3287</v>
      </c>
      <c r="C34" t="s">
        <v>3470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3468</v>
      </c>
      <c r="P34" t="s">
        <v>3466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3468</v>
      </c>
      <c r="P35" t="s">
        <v>3466</v>
      </c>
    </row>
    <row r="36" spans="1:16" x14ac:dyDescent="0.25">
      <c r="A36" t="s">
        <v>2804</v>
      </c>
      <c r="B36" t="s">
        <v>1580</v>
      </c>
      <c r="C36" t="s">
        <v>3206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3468</v>
      </c>
      <c r="P36" t="s">
        <v>3466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3468</v>
      </c>
      <c r="P37" t="s">
        <v>3466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3468</v>
      </c>
      <c r="P38" t="s">
        <v>3466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3468</v>
      </c>
      <c r="P39" t="s">
        <v>3466</v>
      </c>
    </row>
    <row r="40" spans="1:16" x14ac:dyDescent="0.25">
      <c r="G40" s="83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2" t="s">
        <v>26</v>
      </c>
      <c r="H42" s="25"/>
      <c r="I42" s="25"/>
      <c r="J42" s="84">
        <f>Tabla1820[[#Totals],[Importe AR$]]+Tabla18[[#Totals],[Importe AR$]]</f>
        <v>21656018.079999998</v>
      </c>
    </row>
    <row r="44" spans="1:16" x14ac:dyDescent="0.25">
      <c r="A44" s="25" t="s">
        <v>3471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3467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3472</v>
      </c>
      <c r="P46" t="s">
        <v>3471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3472</v>
      </c>
      <c r="P47" t="s">
        <v>3471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3472</v>
      </c>
      <c r="P48" t="s">
        <v>3471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3472</v>
      </c>
      <c r="P49" t="s">
        <v>3471</v>
      </c>
    </row>
    <row r="50" spans="1:16" x14ac:dyDescent="0.25">
      <c r="A50" s="85" t="s">
        <v>2773</v>
      </c>
      <c r="B50" s="85" t="s">
        <v>2587</v>
      </c>
      <c r="C50" s="85" t="s">
        <v>1948</v>
      </c>
      <c r="D50" t="s">
        <v>26</v>
      </c>
      <c r="E50" t="s">
        <v>42</v>
      </c>
      <c r="F50" s="85">
        <v>1</v>
      </c>
      <c r="G50" s="85" t="s">
        <v>4</v>
      </c>
      <c r="H50" t="s">
        <v>15</v>
      </c>
      <c r="I50">
        <v>167550</v>
      </c>
      <c r="J50" s="86">
        <v>167550</v>
      </c>
      <c r="K50">
        <v>118.40989399293287</v>
      </c>
      <c r="N50" t="s">
        <v>3472</v>
      </c>
      <c r="P50" t="s">
        <v>3471</v>
      </c>
    </row>
    <row r="51" spans="1:16" x14ac:dyDescent="0.25">
      <c r="A51" s="85" t="s">
        <v>2773</v>
      </c>
      <c r="B51" s="85" t="s">
        <v>1571</v>
      </c>
      <c r="C51" s="85" t="s">
        <v>155</v>
      </c>
      <c r="D51" t="s">
        <v>26</v>
      </c>
      <c r="E51" t="s">
        <v>42</v>
      </c>
      <c r="F51" s="85">
        <v>1</v>
      </c>
      <c r="G51" s="85" t="s">
        <v>4</v>
      </c>
      <c r="H51" t="s">
        <v>15</v>
      </c>
      <c r="I51">
        <v>176030.88</v>
      </c>
      <c r="J51" s="86">
        <v>176030.88</v>
      </c>
      <c r="K51">
        <v>124.40344876325089</v>
      </c>
      <c r="N51" t="s">
        <v>3472</v>
      </c>
      <c r="P51" t="s">
        <v>3471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3472</v>
      </c>
      <c r="P52" t="s">
        <v>3471</v>
      </c>
    </row>
    <row r="53" spans="1:16" x14ac:dyDescent="0.25">
      <c r="A53" s="85" t="s">
        <v>2773</v>
      </c>
      <c r="B53" s="85" t="s">
        <v>1580</v>
      </c>
      <c r="C53" s="85" t="s">
        <v>155</v>
      </c>
      <c r="D53" t="s">
        <v>26</v>
      </c>
      <c r="E53" t="s">
        <v>42</v>
      </c>
      <c r="F53" s="85">
        <v>1</v>
      </c>
      <c r="G53" s="85" t="s">
        <v>4</v>
      </c>
      <c r="H53" t="s">
        <v>15</v>
      </c>
      <c r="I53">
        <v>180005.99</v>
      </c>
      <c r="J53" s="86">
        <v>180005.99</v>
      </c>
      <c r="K53">
        <v>127.21271378091872</v>
      </c>
      <c r="N53" t="s">
        <v>3472</v>
      </c>
      <c r="P53" t="s">
        <v>3471</v>
      </c>
    </row>
    <row r="54" spans="1:16" x14ac:dyDescent="0.25">
      <c r="A54" s="85" t="s">
        <v>2773</v>
      </c>
      <c r="B54" s="85" t="s">
        <v>1571</v>
      </c>
      <c r="C54" s="85" t="s">
        <v>155</v>
      </c>
      <c r="D54" t="s">
        <v>26</v>
      </c>
      <c r="E54" t="s">
        <v>42</v>
      </c>
      <c r="F54" s="85">
        <v>1</v>
      </c>
      <c r="G54" s="85" t="s">
        <v>4</v>
      </c>
      <c r="H54" t="s">
        <v>15</v>
      </c>
      <c r="I54">
        <v>190006.02</v>
      </c>
      <c r="J54" s="86">
        <v>190006.02</v>
      </c>
      <c r="K54">
        <v>134.27987279151944</v>
      </c>
      <c r="N54" t="s">
        <v>3472</v>
      </c>
      <c r="P54" t="s">
        <v>3471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3472</v>
      </c>
      <c r="P55" t="s">
        <v>3471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3177</v>
      </c>
      <c r="N56" t="s">
        <v>3472</v>
      </c>
      <c r="P56" t="s">
        <v>3471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3472</v>
      </c>
      <c r="P57" t="s">
        <v>3471</v>
      </c>
    </row>
    <row r="58" spans="1:16" x14ac:dyDescent="0.25">
      <c r="A58" t="s">
        <v>2773</v>
      </c>
      <c r="B58" t="s">
        <v>3299</v>
      </c>
      <c r="C58" t="s">
        <v>3300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3472</v>
      </c>
      <c r="P58" t="s">
        <v>3471</v>
      </c>
    </row>
    <row r="59" spans="1:16" x14ac:dyDescent="0.25">
      <c r="A59" t="s">
        <v>2773</v>
      </c>
      <c r="B59" t="s">
        <v>3155</v>
      </c>
      <c r="C59" t="s">
        <v>3156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3472</v>
      </c>
      <c r="P59" t="s">
        <v>3471</v>
      </c>
    </row>
    <row r="60" spans="1:16" x14ac:dyDescent="0.25">
      <c r="A60" t="s">
        <v>2773</v>
      </c>
      <c r="B60" t="s">
        <v>3169</v>
      </c>
      <c r="C60" t="s">
        <v>3170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3472</v>
      </c>
      <c r="P60" t="s">
        <v>3471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3472</v>
      </c>
      <c r="P61" t="s">
        <v>3471</v>
      </c>
    </row>
    <row r="62" spans="1:16" x14ac:dyDescent="0.25">
      <c r="A62" t="s">
        <v>2773</v>
      </c>
      <c r="B62" t="s">
        <v>2153</v>
      </c>
      <c r="C62" t="s">
        <v>3469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3472</v>
      </c>
      <c r="P62" t="s">
        <v>3471</v>
      </c>
    </row>
    <row r="63" spans="1:16" hidden="1" x14ac:dyDescent="0.25">
      <c r="A63" t="s">
        <v>2773</v>
      </c>
      <c r="B63" t="s">
        <v>1580</v>
      </c>
      <c r="C63" t="s">
        <v>3206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3472</v>
      </c>
      <c r="P63" t="s">
        <v>3471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3472</v>
      </c>
      <c r="P64" t="s">
        <v>3471</v>
      </c>
    </row>
    <row r="65" spans="1:16" x14ac:dyDescent="0.25">
      <c r="A65" t="s">
        <v>2773</v>
      </c>
      <c r="B65" t="s">
        <v>3287</v>
      </c>
      <c r="C65" t="s">
        <v>3470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3472</v>
      </c>
      <c r="P65" t="s">
        <v>3471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3472</v>
      </c>
      <c r="P66" t="s">
        <v>3471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3472</v>
      </c>
      <c r="P67" t="s">
        <v>3471</v>
      </c>
    </row>
    <row r="68" spans="1:16" x14ac:dyDescent="0.25">
      <c r="G68" s="83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3467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3472</v>
      </c>
      <c r="P71" t="s">
        <v>3471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3472</v>
      </c>
      <c r="P72" t="s">
        <v>3471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3472</v>
      </c>
      <c r="P73" t="s">
        <v>3471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3472</v>
      </c>
      <c r="P74" t="s">
        <v>3471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3472</v>
      </c>
      <c r="P75" t="s">
        <v>3471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3472</v>
      </c>
      <c r="P76" t="s">
        <v>3471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3472</v>
      </c>
      <c r="P77" t="s">
        <v>3471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3472</v>
      </c>
      <c r="P78" t="s">
        <v>3471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3472</v>
      </c>
      <c r="P79" t="s">
        <v>3471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3472</v>
      </c>
      <c r="P80" t="s">
        <v>3471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3177</v>
      </c>
      <c r="N81" t="s">
        <v>3472</v>
      </c>
      <c r="P81" t="s">
        <v>3471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3472</v>
      </c>
      <c r="P82" t="s">
        <v>3471</v>
      </c>
    </row>
    <row r="83" spans="1:16" hidden="1" x14ac:dyDescent="0.25">
      <c r="A83" t="s">
        <v>2773</v>
      </c>
      <c r="B83" t="s">
        <v>3299</v>
      </c>
      <c r="C83" t="s">
        <v>3300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3472</v>
      </c>
      <c r="P83" t="s">
        <v>3471</v>
      </c>
    </row>
    <row r="84" spans="1:16" hidden="1" x14ac:dyDescent="0.25">
      <c r="A84" t="s">
        <v>2773</v>
      </c>
      <c r="B84" t="s">
        <v>3155</v>
      </c>
      <c r="C84" t="s">
        <v>3156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3472</v>
      </c>
      <c r="P84" t="s">
        <v>3471</v>
      </c>
    </row>
    <row r="85" spans="1:16" hidden="1" x14ac:dyDescent="0.25">
      <c r="A85" t="s">
        <v>2773</v>
      </c>
      <c r="B85" t="s">
        <v>3169</v>
      </c>
      <c r="C85" t="s">
        <v>3170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3472</v>
      </c>
      <c r="P85" t="s">
        <v>3471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3472</v>
      </c>
      <c r="P86" t="s">
        <v>3471</v>
      </c>
    </row>
    <row r="87" spans="1:16" hidden="1" x14ac:dyDescent="0.25">
      <c r="A87" t="s">
        <v>2773</v>
      </c>
      <c r="B87" t="s">
        <v>2153</v>
      </c>
      <c r="C87" t="s">
        <v>3469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3472</v>
      </c>
      <c r="P87" t="s">
        <v>3471</v>
      </c>
    </row>
    <row r="88" spans="1:16" x14ac:dyDescent="0.25">
      <c r="A88" t="s">
        <v>2773</v>
      </c>
      <c r="B88" t="s">
        <v>1580</v>
      </c>
      <c r="C88" t="s">
        <v>3206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3472</v>
      </c>
      <c r="P88" t="s">
        <v>3471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3472</v>
      </c>
      <c r="P89" t="s">
        <v>3471</v>
      </c>
    </row>
    <row r="90" spans="1:16" hidden="1" x14ac:dyDescent="0.25">
      <c r="A90" t="s">
        <v>2773</v>
      </c>
      <c r="B90" t="s">
        <v>3287</v>
      </c>
      <c r="C90" t="s">
        <v>3470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3472</v>
      </c>
      <c r="P90" t="s">
        <v>3471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3472</v>
      </c>
      <c r="P91" t="s">
        <v>3471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3472</v>
      </c>
      <c r="P92" t="s">
        <v>3471</v>
      </c>
    </row>
    <row r="93" spans="1:16" x14ac:dyDescent="0.25">
      <c r="G93" s="83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2" t="s">
        <v>3473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3474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3475</v>
      </c>
      <c r="P100" t="s">
        <v>3474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3475</v>
      </c>
      <c r="P101" t="s">
        <v>3474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3475</v>
      </c>
      <c r="P102" t="s">
        <v>3474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3475</v>
      </c>
      <c r="P103" t="s">
        <v>3474</v>
      </c>
    </row>
    <row r="104" spans="1:16" x14ac:dyDescent="0.25">
      <c r="A104" t="s">
        <v>2841</v>
      </c>
      <c r="B104" t="s">
        <v>3368</v>
      </c>
      <c r="C104" t="s">
        <v>3369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3475</v>
      </c>
      <c r="P104" t="s">
        <v>3474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3475</v>
      </c>
      <c r="P105" t="s">
        <v>3474</v>
      </c>
    </row>
    <row r="106" spans="1:16" x14ac:dyDescent="0.25">
      <c r="A106" t="s">
        <v>2841</v>
      </c>
      <c r="B106" t="s">
        <v>1571</v>
      </c>
      <c r="C106" t="s">
        <v>3469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3475</v>
      </c>
      <c r="P106" t="s">
        <v>3474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3475</v>
      </c>
      <c r="P107" t="s">
        <v>3474</v>
      </c>
    </row>
    <row r="108" spans="1:16" x14ac:dyDescent="0.25">
      <c r="A108" t="s">
        <v>2841</v>
      </c>
      <c r="B108" t="s">
        <v>3299</v>
      </c>
      <c r="C108" t="s">
        <v>3300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3475</v>
      </c>
      <c r="P108" t="s">
        <v>3474</v>
      </c>
    </row>
    <row r="109" spans="1:16" x14ac:dyDescent="0.25">
      <c r="A109" t="s">
        <v>2841</v>
      </c>
      <c r="B109" t="s">
        <v>3155</v>
      </c>
      <c r="C109" t="s">
        <v>3156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3475</v>
      </c>
      <c r="P109" t="s">
        <v>3474</v>
      </c>
    </row>
    <row r="110" spans="1:16" x14ac:dyDescent="0.25">
      <c r="A110" t="s">
        <v>2841</v>
      </c>
      <c r="B110" t="s">
        <v>2153</v>
      </c>
      <c r="C110" t="s">
        <v>3469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3475</v>
      </c>
      <c r="P110" t="s">
        <v>3474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3475</v>
      </c>
      <c r="P111" t="s">
        <v>3474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3475</v>
      </c>
      <c r="P112" t="s">
        <v>3474</v>
      </c>
    </row>
    <row r="113" spans="1:16" x14ac:dyDescent="0.25">
      <c r="A113" t="s">
        <v>2841</v>
      </c>
      <c r="B113" t="s">
        <v>3256</v>
      </c>
      <c r="C113" t="s">
        <v>3422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3475</v>
      </c>
      <c r="P113" t="s">
        <v>3474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3475</v>
      </c>
      <c r="P114" t="s">
        <v>3474</v>
      </c>
    </row>
    <row r="115" spans="1:16" x14ac:dyDescent="0.25">
      <c r="J115" s="2">
        <f>SUBTOTAL(109,Tabla911[Importe AR$])</f>
        <v>3317982</v>
      </c>
    </row>
    <row r="117" spans="1:16" x14ac:dyDescent="0.25">
      <c r="A117" s="87" t="s">
        <v>7</v>
      </c>
      <c r="B117" s="87" t="s">
        <v>8</v>
      </c>
      <c r="C117" s="87" t="s">
        <v>9</v>
      </c>
      <c r="D117" s="87" t="s">
        <v>10</v>
      </c>
      <c r="E117" s="87" t="s">
        <v>11</v>
      </c>
      <c r="F117" s="87" t="s">
        <v>12</v>
      </c>
      <c r="G117" s="87" t="s">
        <v>13</v>
      </c>
      <c r="H117" s="87" t="s">
        <v>14</v>
      </c>
      <c r="I117" s="87" t="s">
        <v>15</v>
      </c>
      <c r="J117" s="91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2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3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3368</v>
      </c>
      <c r="C122" s="29" t="s">
        <v>3369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3469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3299</v>
      </c>
      <c r="C126" s="29" t="s">
        <v>3300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3155</v>
      </c>
      <c r="C127" s="28" t="s">
        <v>3156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3469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3256</v>
      </c>
      <c r="C131" s="28" t="s">
        <v>3422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88" t="s">
        <v>2841</v>
      </c>
      <c r="B132" s="88" t="s">
        <v>1854</v>
      </c>
      <c r="C132" s="88" t="s">
        <v>118</v>
      </c>
      <c r="D132" s="88" t="s">
        <v>26</v>
      </c>
      <c r="E132" s="88" t="s">
        <v>42</v>
      </c>
      <c r="F132" s="88">
        <v>2</v>
      </c>
      <c r="G132" s="88" t="s">
        <v>4</v>
      </c>
      <c r="H132" s="88" t="s">
        <v>15</v>
      </c>
      <c r="I132" s="88">
        <v>1000000</v>
      </c>
      <c r="J132" s="89">
        <v>1000000</v>
      </c>
    </row>
    <row r="133" spans="1:16" x14ac:dyDescent="0.25">
      <c r="A133" s="88"/>
      <c r="B133" s="88"/>
      <c r="C133" s="88"/>
      <c r="D133" s="88"/>
      <c r="E133" s="88"/>
      <c r="F133" s="88"/>
      <c r="G133" s="88"/>
      <c r="H133" s="88"/>
      <c r="I133" s="88"/>
      <c r="J133" s="89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3476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3477</v>
      </c>
      <c r="P139" t="s">
        <v>3478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3477</v>
      </c>
      <c r="P140" t="s">
        <v>3478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3477</v>
      </c>
      <c r="P141" t="s">
        <v>3478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3477</v>
      </c>
      <c r="P142" t="s">
        <v>3478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3477</v>
      </c>
      <c r="P143" t="s">
        <v>3478</v>
      </c>
    </row>
    <row r="144" spans="1:16" hidden="1" x14ac:dyDescent="0.25">
      <c r="A144" t="s">
        <v>2763</v>
      </c>
      <c r="B144" t="s">
        <v>3368</v>
      </c>
      <c r="C144" t="s">
        <v>3369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3477</v>
      </c>
      <c r="P144" t="s">
        <v>3478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3477</v>
      </c>
      <c r="P145" t="s">
        <v>3478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3477</v>
      </c>
      <c r="P146" t="s">
        <v>3478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3477</v>
      </c>
      <c r="P147" t="s">
        <v>3478</v>
      </c>
    </row>
    <row r="148" spans="1:16" hidden="1" x14ac:dyDescent="0.25">
      <c r="A148" t="s">
        <v>2763</v>
      </c>
      <c r="B148" t="s">
        <v>3299</v>
      </c>
      <c r="C148" t="s">
        <v>3300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3477</v>
      </c>
      <c r="P148" t="s">
        <v>3478</v>
      </c>
    </row>
    <row r="149" spans="1:16" hidden="1" x14ac:dyDescent="0.25">
      <c r="A149" t="s">
        <v>2763</v>
      </c>
      <c r="B149" t="s">
        <v>3155</v>
      </c>
      <c r="C149" t="s">
        <v>3156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3477</v>
      </c>
      <c r="P149" t="s">
        <v>3478</v>
      </c>
    </row>
    <row r="150" spans="1:16" x14ac:dyDescent="0.25">
      <c r="A150" t="s">
        <v>2763</v>
      </c>
      <c r="B150" t="s">
        <v>2226</v>
      </c>
      <c r="C150" t="s">
        <v>3402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3477</v>
      </c>
      <c r="P150" t="s">
        <v>3478</v>
      </c>
    </row>
    <row r="151" spans="1:16" hidden="1" x14ac:dyDescent="0.25">
      <c r="A151" t="s">
        <v>2763</v>
      </c>
      <c r="B151" t="s">
        <v>2153</v>
      </c>
      <c r="C151" t="s">
        <v>3469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3477</v>
      </c>
      <c r="P151" t="s">
        <v>3478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3477</v>
      </c>
      <c r="P152" t="s">
        <v>3478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3477</v>
      </c>
      <c r="P153" t="s">
        <v>3478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3477</v>
      </c>
      <c r="P154" t="s">
        <v>3478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3477</v>
      </c>
      <c r="P155" t="s">
        <v>3478</v>
      </c>
    </row>
    <row r="156" spans="1:16" x14ac:dyDescent="0.25">
      <c r="A156" t="s">
        <v>2763</v>
      </c>
      <c r="B156" t="s">
        <v>3287</v>
      </c>
      <c r="C156" t="s">
        <v>3470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3477</v>
      </c>
      <c r="P156" t="s">
        <v>3478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3477</v>
      </c>
      <c r="P160" t="s">
        <v>3478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3477</v>
      </c>
      <c r="P161" t="s">
        <v>3478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3477</v>
      </c>
      <c r="P162" t="s">
        <v>3478</v>
      </c>
    </row>
    <row r="163" spans="1:16" x14ac:dyDescent="0.25">
      <c r="A163" s="85" t="s">
        <v>2763</v>
      </c>
      <c r="B163" s="85" t="s">
        <v>3048</v>
      </c>
      <c r="C163" s="85" t="s">
        <v>155</v>
      </c>
      <c r="D163" t="s">
        <v>26</v>
      </c>
      <c r="E163" t="s">
        <v>42</v>
      </c>
      <c r="F163" s="85">
        <v>1</v>
      </c>
      <c r="G163" s="85" t="s">
        <v>4</v>
      </c>
      <c r="H163" t="s">
        <v>15</v>
      </c>
      <c r="I163">
        <v>80000</v>
      </c>
      <c r="J163" s="86">
        <v>80000</v>
      </c>
      <c r="K163">
        <v>55.944055944055947</v>
      </c>
      <c r="N163" t="s">
        <v>3477</v>
      </c>
      <c r="P163" t="s">
        <v>3478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3477</v>
      </c>
      <c r="P164" t="s">
        <v>3478</v>
      </c>
    </row>
    <row r="165" spans="1:16" x14ac:dyDescent="0.25">
      <c r="A165" t="s">
        <v>2763</v>
      </c>
      <c r="B165" t="s">
        <v>3368</v>
      </c>
      <c r="C165" t="s">
        <v>3369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3477</v>
      </c>
      <c r="P165" t="s">
        <v>3478</v>
      </c>
    </row>
    <row r="166" spans="1:16" x14ac:dyDescent="0.25">
      <c r="A166" s="85" t="s">
        <v>2763</v>
      </c>
      <c r="B166" s="85" t="s">
        <v>2153</v>
      </c>
      <c r="C166" s="85" t="s">
        <v>155</v>
      </c>
      <c r="D166" t="s">
        <v>26</v>
      </c>
      <c r="E166" t="s">
        <v>42</v>
      </c>
      <c r="F166" s="85">
        <v>1</v>
      </c>
      <c r="G166" s="85" t="s">
        <v>4</v>
      </c>
      <c r="H166" t="s">
        <v>15</v>
      </c>
      <c r="I166">
        <v>160000</v>
      </c>
      <c r="J166" s="86">
        <v>190000</v>
      </c>
      <c r="K166">
        <v>111.88811188811189</v>
      </c>
      <c r="N166" t="s">
        <v>3477</v>
      </c>
      <c r="P166" t="s">
        <v>3478</v>
      </c>
    </row>
    <row r="167" spans="1:16" x14ac:dyDescent="0.25">
      <c r="A167" s="85" t="s">
        <v>2763</v>
      </c>
      <c r="B167" s="85" t="s">
        <v>1571</v>
      </c>
      <c r="C167" s="85" t="s">
        <v>155</v>
      </c>
      <c r="D167" t="s">
        <v>26</v>
      </c>
      <c r="E167" t="s">
        <v>42</v>
      </c>
      <c r="F167" s="85">
        <v>1</v>
      </c>
      <c r="G167" s="85" t="s">
        <v>4</v>
      </c>
      <c r="H167" t="s">
        <v>15</v>
      </c>
      <c r="I167">
        <v>190000</v>
      </c>
      <c r="J167" s="86">
        <v>190000</v>
      </c>
      <c r="K167">
        <v>132.86713286713288</v>
      </c>
      <c r="N167" t="s">
        <v>3477</v>
      </c>
      <c r="P167" t="s">
        <v>3478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3477</v>
      </c>
      <c r="P168" t="s">
        <v>3478</v>
      </c>
    </row>
    <row r="169" spans="1:16" x14ac:dyDescent="0.25">
      <c r="A169" t="s">
        <v>2763</v>
      </c>
      <c r="B169" t="s">
        <v>3299</v>
      </c>
      <c r="C169" t="s">
        <v>3300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3477</v>
      </c>
      <c r="P169" t="s">
        <v>3478</v>
      </c>
    </row>
    <row r="170" spans="1:16" x14ac:dyDescent="0.25">
      <c r="A170" s="85" t="s">
        <v>2763</v>
      </c>
      <c r="B170" s="85" t="s">
        <v>3155</v>
      </c>
      <c r="C170" s="85" t="s">
        <v>3156</v>
      </c>
      <c r="D170" t="s">
        <v>26</v>
      </c>
      <c r="E170" t="s">
        <v>42</v>
      </c>
      <c r="F170" s="85">
        <v>1</v>
      </c>
      <c r="G170" s="85" t="s">
        <v>4</v>
      </c>
      <c r="H170" t="s">
        <v>15</v>
      </c>
      <c r="I170">
        <v>250000</v>
      </c>
      <c r="J170" s="86">
        <v>250000</v>
      </c>
      <c r="K170">
        <v>174.82517482517483</v>
      </c>
      <c r="N170" t="s">
        <v>3477</v>
      </c>
      <c r="P170" t="s">
        <v>3478</v>
      </c>
    </row>
    <row r="171" spans="1:16" hidden="1" x14ac:dyDescent="0.25">
      <c r="A171" t="s">
        <v>2763</v>
      </c>
      <c r="B171" t="s">
        <v>2226</v>
      </c>
      <c r="C171" t="s">
        <v>3402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3477</v>
      </c>
      <c r="P171" t="s">
        <v>3478</v>
      </c>
    </row>
    <row r="172" spans="1:16" x14ac:dyDescent="0.25">
      <c r="A172" s="85" t="s">
        <v>2763</v>
      </c>
      <c r="B172" s="85" t="s">
        <v>2153</v>
      </c>
      <c r="C172" s="85" t="s">
        <v>3469</v>
      </c>
      <c r="D172" t="s">
        <v>26</v>
      </c>
      <c r="E172" t="s">
        <v>42</v>
      </c>
      <c r="F172" s="85">
        <v>1</v>
      </c>
      <c r="G172" s="85" t="s">
        <v>4</v>
      </c>
      <c r="H172" t="s">
        <v>15</v>
      </c>
      <c r="I172">
        <v>379982</v>
      </c>
      <c r="J172" s="86">
        <v>379982</v>
      </c>
      <c r="K172">
        <v>265.72167832167833</v>
      </c>
      <c r="N172" t="s">
        <v>3477</v>
      </c>
      <c r="P172" t="s">
        <v>3478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3477</v>
      </c>
      <c r="P173" t="s">
        <v>3478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3477</v>
      </c>
      <c r="P174" t="s">
        <v>3478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3477</v>
      </c>
      <c r="P175" t="s">
        <v>3478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3477</v>
      </c>
      <c r="P176" t="s">
        <v>3478</v>
      </c>
    </row>
    <row r="177" spans="1:16" hidden="1" x14ac:dyDescent="0.25">
      <c r="A177" t="s">
        <v>2763</v>
      </c>
      <c r="B177" t="s">
        <v>3287</v>
      </c>
      <c r="C177" t="s">
        <v>3470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3477</v>
      </c>
      <c r="P177" t="s">
        <v>3478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3479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3479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3479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3479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3479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3479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3479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3438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3479</v>
      </c>
      <c r="P192" t="s">
        <v>2921</v>
      </c>
    </row>
    <row r="193" spans="1:16" x14ac:dyDescent="0.25">
      <c r="A193" t="s">
        <v>2726</v>
      </c>
      <c r="B193" t="s">
        <v>3299</v>
      </c>
      <c r="C193" t="s">
        <v>3300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3479</v>
      </c>
      <c r="P193" t="s">
        <v>2921</v>
      </c>
    </row>
    <row r="194" spans="1:16" x14ac:dyDescent="0.25">
      <c r="A194" t="s">
        <v>2726</v>
      </c>
      <c r="B194" t="s">
        <v>3155</v>
      </c>
      <c r="C194" t="s">
        <v>3156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3479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3479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3479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3479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3479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3479</v>
      </c>
      <c r="P199" t="s">
        <v>2921</v>
      </c>
    </row>
    <row r="200" spans="1:16" hidden="1" x14ac:dyDescent="0.25">
      <c r="A200" t="s">
        <v>2726</v>
      </c>
      <c r="B200" t="s">
        <v>3287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3479</v>
      </c>
      <c r="P200" t="s">
        <v>2921</v>
      </c>
    </row>
    <row r="201" spans="1:16" hidden="1" x14ac:dyDescent="0.25">
      <c r="A201" t="s">
        <v>2726</v>
      </c>
      <c r="B201" t="s">
        <v>3287</v>
      </c>
      <c r="C201" t="s">
        <v>3470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3479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87" t="s">
        <v>7</v>
      </c>
      <c r="B204" s="87" t="s">
        <v>8</v>
      </c>
      <c r="C204" s="87" t="s">
        <v>9</v>
      </c>
      <c r="D204" s="87" t="s">
        <v>10</v>
      </c>
      <c r="E204" s="87" t="s">
        <v>11</v>
      </c>
      <c r="F204" s="87" t="s">
        <v>12</v>
      </c>
      <c r="G204" s="87" t="s">
        <v>13</v>
      </c>
      <c r="H204" s="87" t="s">
        <v>14</v>
      </c>
      <c r="I204" s="87" t="s">
        <v>15</v>
      </c>
      <c r="J204" s="91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2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3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3438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3299</v>
      </c>
      <c r="C213" s="29" t="s">
        <v>3300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3155</v>
      </c>
      <c r="C214" s="28" t="s">
        <v>3156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3287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88" t="s">
        <v>2726</v>
      </c>
      <c r="B221" s="88" t="s">
        <v>3287</v>
      </c>
      <c r="C221" s="88" t="s">
        <v>3470</v>
      </c>
      <c r="D221" s="88" t="s">
        <v>26</v>
      </c>
      <c r="E221" s="88" t="s">
        <v>42</v>
      </c>
      <c r="F221" s="88">
        <v>2</v>
      </c>
      <c r="G221" s="88" t="s">
        <v>4</v>
      </c>
      <c r="H221" s="88" t="s">
        <v>15</v>
      </c>
      <c r="I221" s="88">
        <v>2000000</v>
      </c>
      <c r="J221" s="89">
        <v>2000000</v>
      </c>
    </row>
    <row r="222" spans="1:10" x14ac:dyDescent="0.25">
      <c r="A222" s="88"/>
      <c r="B222" s="88"/>
      <c r="C222" s="88"/>
      <c r="D222" s="88"/>
      <c r="E222" s="88"/>
      <c r="F222" s="88"/>
      <c r="G222" s="88"/>
      <c r="H222" s="88"/>
      <c r="I222" s="88"/>
      <c r="J222" s="89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3531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3440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3532</v>
      </c>
      <c r="P230" t="s">
        <v>3531</v>
      </c>
    </row>
    <row r="231" spans="1:16" x14ac:dyDescent="0.25">
      <c r="A231" t="s">
        <v>3440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3532</v>
      </c>
      <c r="P231" t="s">
        <v>3531</v>
      </c>
    </row>
    <row r="232" spans="1:16" x14ac:dyDescent="0.25">
      <c r="A232" t="s">
        <v>3440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3532</v>
      </c>
      <c r="P232" t="s">
        <v>3531</v>
      </c>
    </row>
    <row r="233" spans="1:16" x14ac:dyDescent="0.25">
      <c r="A233" t="s">
        <v>3440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3532</v>
      </c>
      <c r="P233" t="s">
        <v>3531</v>
      </c>
    </row>
    <row r="234" spans="1:16" x14ac:dyDescent="0.25">
      <c r="A234" t="s">
        <v>3440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3532</v>
      </c>
      <c r="P234" t="s">
        <v>3531</v>
      </c>
    </row>
    <row r="235" spans="1:16" x14ac:dyDescent="0.25">
      <c r="A235" t="s">
        <v>3440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3532</v>
      </c>
      <c r="P235" t="s">
        <v>3531</v>
      </c>
    </row>
    <row r="236" spans="1:16" x14ac:dyDescent="0.25">
      <c r="A236" t="s">
        <v>3440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3532</v>
      </c>
      <c r="P236" t="s">
        <v>3531</v>
      </c>
    </row>
    <row r="237" spans="1:16" x14ac:dyDescent="0.25">
      <c r="A237" t="s">
        <v>3440</v>
      </c>
      <c r="B237" t="s">
        <v>3299</v>
      </c>
      <c r="C237" t="s">
        <v>3300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3532</v>
      </c>
      <c r="P237" t="s">
        <v>3531</v>
      </c>
    </row>
    <row r="238" spans="1:16" x14ac:dyDescent="0.25">
      <c r="A238" t="s">
        <v>3440</v>
      </c>
      <c r="B238" t="s">
        <v>3155</v>
      </c>
      <c r="C238" t="s">
        <v>3156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3532</v>
      </c>
      <c r="P238" t="s">
        <v>3531</v>
      </c>
    </row>
    <row r="239" spans="1:16" hidden="1" x14ac:dyDescent="0.25">
      <c r="A239" t="s">
        <v>3440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3532</v>
      </c>
      <c r="P239" t="s">
        <v>3531</v>
      </c>
    </row>
    <row r="240" spans="1:16" hidden="1" x14ac:dyDescent="0.25">
      <c r="A240" t="s">
        <v>3440</v>
      </c>
      <c r="B240" t="s">
        <v>483</v>
      </c>
      <c r="C240" t="s">
        <v>3443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3532</v>
      </c>
      <c r="P240" t="s">
        <v>3531</v>
      </c>
    </row>
    <row r="241" spans="1:16" hidden="1" x14ac:dyDescent="0.25">
      <c r="A241" t="s">
        <v>3440</v>
      </c>
      <c r="B241" t="s">
        <v>40</v>
      </c>
      <c r="C241" t="s">
        <v>3530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3532</v>
      </c>
      <c r="P241" t="s">
        <v>3531</v>
      </c>
    </row>
    <row r="242" spans="1:16" hidden="1" x14ac:dyDescent="0.25">
      <c r="A242" t="s">
        <v>3440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3532</v>
      </c>
      <c r="P242" t="s">
        <v>3531</v>
      </c>
    </row>
    <row r="243" spans="1:16" hidden="1" x14ac:dyDescent="0.25">
      <c r="A243" t="s">
        <v>3440</v>
      </c>
      <c r="B243" t="s">
        <v>3287</v>
      </c>
      <c r="C243" t="s">
        <v>3288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3532</v>
      </c>
      <c r="P243" t="s">
        <v>3531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3440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3532</v>
      </c>
      <c r="P247" t="s">
        <v>3531</v>
      </c>
    </row>
    <row r="248" spans="1:16" hidden="1" x14ac:dyDescent="0.25">
      <c r="A248" t="s">
        <v>3440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3532</v>
      </c>
      <c r="P248" t="s">
        <v>3531</v>
      </c>
    </row>
    <row r="249" spans="1:16" hidden="1" x14ac:dyDescent="0.25">
      <c r="A249" t="s">
        <v>3440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3532</v>
      </c>
      <c r="P249" t="s">
        <v>3531</v>
      </c>
    </row>
    <row r="250" spans="1:16" hidden="1" x14ac:dyDescent="0.25">
      <c r="A250" t="s">
        <v>3440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3532</v>
      </c>
      <c r="P250" t="s">
        <v>3531</v>
      </c>
    </row>
    <row r="251" spans="1:16" hidden="1" x14ac:dyDescent="0.25">
      <c r="A251" t="s">
        <v>3440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3532</v>
      </c>
      <c r="P251" t="s">
        <v>3531</v>
      </c>
    </row>
    <row r="252" spans="1:16" hidden="1" x14ac:dyDescent="0.25">
      <c r="A252" t="s">
        <v>3440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3532</v>
      </c>
      <c r="P252" t="s">
        <v>3531</v>
      </c>
    </row>
    <row r="253" spans="1:16" hidden="1" x14ac:dyDescent="0.25">
      <c r="A253" t="s">
        <v>3440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3532</v>
      </c>
      <c r="P253" t="s">
        <v>3531</v>
      </c>
    </row>
    <row r="254" spans="1:16" hidden="1" x14ac:dyDescent="0.25">
      <c r="A254" t="s">
        <v>3440</v>
      </c>
      <c r="B254" t="s">
        <v>3299</v>
      </c>
      <c r="C254" t="s">
        <v>3300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3532</v>
      </c>
      <c r="P254" t="s">
        <v>3531</v>
      </c>
    </row>
    <row r="255" spans="1:16" hidden="1" x14ac:dyDescent="0.25">
      <c r="A255" t="s">
        <v>3440</v>
      </c>
      <c r="B255" t="s">
        <v>3155</v>
      </c>
      <c r="C255" t="s">
        <v>3156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3532</v>
      </c>
      <c r="P255" t="s">
        <v>3531</v>
      </c>
    </row>
    <row r="256" spans="1:16" x14ac:dyDescent="0.25">
      <c r="A256" t="s">
        <v>3440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3532</v>
      </c>
      <c r="P256" t="s">
        <v>3531</v>
      </c>
    </row>
    <row r="257" spans="1:16" x14ac:dyDescent="0.25">
      <c r="A257" t="s">
        <v>3440</v>
      </c>
      <c r="B257" t="s">
        <v>483</v>
      </c>
      <c r="C257" t="s">
        <v>3443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3532</v>
      </c>
      <c r="P257" t="s">
        <v>3531</v>
      </c>
    </row>
    <row r="258" spans="1:16" x14ac:dyDescent="0.25">
      <c r="A258" t="s">
        <v>3440</v>
      </c>
      <c r="B258" t="s">
        <v>2922</v>
      </c>
      <c r="C258" t="s">
        <v>3530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3532</v>
      </c>
      <c r="P258" t="s">
        <v>3531</v>
      </c>
    </row>
    <row r="259" spans="1:16" x14ac:dyDescent="0.25">
      <c r="A259" t="s">
        <v>3440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3532</v>
      </c>
      <c r="P259" t="s">
        <v>3531</v>
      </c>
    </row>
    <row r="260" spans="1:16" x14ac:dyDescent="0.25">
      <c r="A260" t="s">
        <v>3440</v>
      </c>
      <c r="B260" t="s">
        <v>3287</v>
      </c>
      <c r="C260" t="s">
        <v>3288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3532</v>
      </c>
      <c r="P260" t="s">
        <v>3531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3473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4" t="s">
        <v>3591</v>
      </c>
      <c r="B267" s="94" t="s">
        <v>2153</v>
      </c>
      <c r="C267" s="94" t="s">
        <v>155</v>
      </c>
      <c r="D267" t="s">
        <v>26</v>
      </c>
      <c r="E267" t="s">
        <v>42</v>
      </c>
      <c r="F267" s="94">
        <v>1</v>
      </c>
      <c r="G267" s="94" t="s">
        <v>4</v>
      </c>
      <c r="H267" t="s">
        <v>15</v>
      </c>
      <c r="I267">
        <v>50000</v>
      </c>
      <c r="J267" s="95">
        <v>50000</v>
      </c>
      <c r="K267">
        <v>33.783783783783782</v>
      </c>
      <c r="N267" t="s">
        <v>3610</v>
      </c>
      <c r="P267" t="s">
        <v>3592</v>
      </c>
    </row>
    <row r="268" spans="1:16" x14ac:dyDescent="0.25">
      <c r="A268" s="94" t="s">
        <v>3591</v>
      </c>
      <c r="B268" s="94" t="s">
        <v>1979</v>
      </c>
      <c r="C268" s="94" t="s">
        <v>155</v>
      </c>
      <c r="D268" t="s">
        <v>26</v>
      </c>
      <c r="E268" t="s">
        <v>42</v>
      </c>
      <c r="F268" s="94">
        <v>1</v>
      </c>
      <c r="G268" s="94" t="s">
        <v>4</v>
      </c>
      <c r="H268" t="s">
        <v>15</v>
      </c>
      <c r="I268">
        <v>94999.93</v>
      </c>
      <c r="J268" s="95">
        <v>94999.93</v>
      </c>
      <c r="K268">
        <v>64.189141891891893</v>
      </c>
      <c r="N268" t="s">
        <v>3610</v>
      </c>
      <c r="P268" t="s">
        <v>3592</v>
      </c>
    </row>
    <row r="269" spans="1:16" x14ac:dyDescent="0.25">
      <c r="A269" s="94" t="s">
        <v>3591</v>
      </c>
      <c r="B269" s="94" t="s">
        <v>1462</v>
      </c>
      <c r="C269" s="94" t="s">
        <v>155</v>
      </c>
      <c r="D269" t="s">
        <v>26</v>
      </c>
      <c r="E269" t="s">
        <v>42</v>
      </c>
      <c r="F269" s="94">
        <v>1</v>
      </c>
      <c r="G269" s="94" t="s">
        <v>4</v>
      </c>
      <c r="H269" t="s">
        <v>15</v>
      </c>
      <c r="I269">
        <v>97800</v>
      </c>
      <c r="J269" s="95">
        <v>97800</v>
      </c>
      <c r="K269">
        <v>66.081081081081081</v>
      </c>
      <c r="N269" t="s">
        <v>3610</v>
      </c>
      <c r="P269" t="s">
        <v>3592</v>
      </c>
    </row>
    <row r="270" spans="1:16" x14ac:dyDescent="0.25">
      <c r="A270" s="94" t="s">
        <v>3591</v>
      </c>
      <c r="B270" s="94" t="s">
        <v>1462</v>
      </c>
      <c r="C270" s="94" t="s">
        <v>155</v>
      </c>
      <c r="D270" t="s">
        <v>26</v>
      </c>
      <c r="E270" t="s">
        <v>42</v>
      </c>
      <c r="F270" s="94">
        <v>1</v>
      </c>
      <c r="G270" s="94" t="s">
        <v>4</v>
      </c>
      <c r="H270" t="s">
        <v>15</v>
      </c>
      <c r="I270">
        <v>97960.01</v>
      </c>
      <c r="J270" s="95">
        <v>97960.01</v>
      </c>
      <c r="K270">
        <v>66.18919594594594</v>
      </c>
      <c r="N270" t="s">
        <v>3610</v>
      </c>
      <c r="P270" t="s">
        <v>3592</v>
      </c>
    </row>
    <row r="271" spans="1:16" x14ac:dyDescent="0.25">
      <c r="A271" s="94" t="s">
        <v>3591</v>
      </c>
      <c r="B271" s="94" t="s">
        <v>1462</v>
      </c>
      <c r="C271" s="94" t="s">
        <v>155</v>
      </c>
      <c r="D271" t="s">
        <v>26</v>
      </c>
      <c r="E271" t="s">
        <v>42</v>
      </c>
      <c r="F271" s="94">
        <v>1</v>
      </c>
      <c r="G271" s="94" t="s">
        <v>4</v>
      </c>
      <c r="H271" t="s">
        <v>15</v>
      </c>
      <c r="I271">
        <v>149509.01999999999</v>
      </c>
      <c r="J271" s="95">
        <v>98000</v>
      </c>
      <c r="K271">
        <v>101.0196081081081</v>
      </c>
      <c r="N271" t="s">
        <v>3610</v>
      </c>
      <c r="P271" t="s">
        <v>3592</v>
      </c>
    </row>
    <row r="272" spans="1:16" x14ac:dyDescent="0.25">
      <c r="A272" s="94" t="s">
        <v>3591</v>
      </c>
      <c r="B272" s="94" t="s">
        <v>1571</v>
      </c>
      <c r="C272" s="94" t="s">
        <v>155</v>
      </c>
      <c r="D272" t="s">
        <v>26</v>
      </c>
      <c r="E272" t="s">
        <v>42</v>
      </c>
      <c r="F272" s="94">
        <v>1</v>
      </c>
      <c r="G272" s="94" t="s">
        <v>4</v>
      </c>
      <c r="H272" t="s">
        <v>15</v>
      </c>
      <c r="I272">
        <v>190000</v>
      </c>
      <c r="J272" s="95">
        <v>190000</v>
      </c>
      <c r="K272">
        <v>128.37837837837839</v>
      </c>
      <c r="N272" t="s">
        <v>3610</v>
      </c>
      <c r="P272" t="s">
        <v>3592</v>
      </c>
    </row>
    <row r="273" spans="1:16" x14ac:dyDescent="0.25">
      <c r="A273" s="94" t="s">
        <v>3591</v>
      </c>
      <c r="B273" s="94" t="s">
        <v>1580</v>
      </c>
      <c r="C273" s="94" t="s">
        <v>155</v>
      </c>
      <c r="D273" t="s">
        <v>26</v>
      </c>
      <c r="E273" t="s">
        <v>42</v>
      </c>
      <c r="F273" s="94">
        <v>1</v>
      </c>
      <c r="G273" s="94" t="s">
        <v>4</v>
      </c>
      <c r="H273" t="s">
        <v>15</v>
      </c>
      <c r="I273">
        <v>190001.08</v>
      </c>
      <c r="J273" s="95">
        <v>190001.08</v>
      </c>
      <c r="K273">
        <v>128.37910810810811</v>
      </c>
      <c r="N273" t="s">
        <v>3610</v>
      </c>
      <c r="P273" t="s">
        <v>3592</v>
      </c>
    </row>
    <row r="274" spans="1:16" x14ac:dyDescent="0.25">
      <c r="A274" s="94" t="s">
        <v>3591</v>
      </c>
      <c r="B274" s="94" t="s">
        <v>483</v>
      </c>
      <c r="C274" s="94" t="s">
        <v>155</v>
      </c>
      <c r="D274" t="s">
        <v>26</v>
      </c>
      <c r="E274" t="s">
        <v>42</v>
      </c>
      <c r="F274" s="94">
        <v>1</v>
      </c>
      <c r="G274" s="94" t="s">
        <v>4</v>
      </c>
      <c r="H274" t="s">
        <v>15</v>
      </c>
      <c r="I274">
        <v>200000</v>
      </c>
      <c r="J274" s="95">
        <v>100000</v>
      </c>
      <c r="K274">
        <v>135.13513513513513</v>
      </c>
      <c r="N274" t="s">
        <v>3610</v>
      </c>
      <c r="P274" t="s">
        <v>3592</v>
      </c>
    </row>
    <row r="275" spans="1:16" x14ac:dyDescent="0.25">
      <c r="A275" t="s">
        <v>3591</v>
      </c>
      <c r="B275" t="s">
        <v>3299</v>
      </c>
      <c r="C275" t="s">
        <v>3300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3610</v>
      </c>
      <c r="P275" t="s">
        <v>3592</v>
      </c>
    </row>
    <row r="276" spans="1:16" x14ac:dyDescent="0.25">
      <c r="A276" t="s">
        <v>3591</v>
      </c>
      <c r="B276" t="s">
        <v>3155</v>
      </c>
      <c r="C276" t="s">
        <v>3156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3610</v>
      </c>
      <c r="P276" t="s">
        <v>3592</v>
      </c>
    </row>
    <row r="277" spans="1:16" hidden="1" x14ac:dyDescent="0.25">
      <c r="A277" t="s">
        <v>3591</v>
      </c>
      <c r="B277" t="s">
        <v>483</v>
      </c>
      <c r="C277" t="s">
        <v>3443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3610</v>
      </c>
      <c r="P277" t="s">
        <v>3592</v>
      </c>
    </row>
    <row r="278" spans="1:16" hidden="1" x14ac:dyDescent="0.25">
      <c r="A278" t="s">
        <v>3591</v>
      </c>
      <c r="B278" t="s">
        <v>2922</v>
      </c>
      <c r="C278" t="s">
        <v>3530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3610</v>
      </c>
      <c r="P278" t="s">
        <v>3592</v>
      </c>
    </row>
    <row r="279" spans="1:16" hidden="1" x14ac:dyDescent="0.25">
      <c r="A279" t="s">
        <v>3591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3610</v>
      </c>
      <c r="P279" t="s">
        <v>3592</v>
      </c>
    </row>
    <row r="280" spans="1:16" hidden="1" x14ac:dyDescent="0.25">
      <c r="A280" t="s">
        <v>3591</v>
      </c>
      <c r="B280" t="s">
        <v>3597</v>
      </c>
      <c r="C280" t="s">
        <v>3288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3610</v>
      </c>
      <c r="P280" t="s">
        <v>3592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3591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3610</v>
      </c>
      <c r="P285" t="s">
        <v>3592</v>
      </c>
    </row>
    <row r="286" spans="1:16" hidden="1" x14ac:dyDescent="0.25">
      <c r="A286" t="s">
        <v>3591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3610</v>
      </c>
      <c r="P286" t="s">
        <v>3592</v>
      </c>
    </row>
    <row r="287" spans="1:16" hidden="1" x14ac:dyDescent="0.25">
      <c r="A287" t="s">
        <v>3591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3610</v>
      </c>
      <c r="P287" t="s">
        <v>3592</v>
      </c>
    </row>
    <row r="288" spans="1:16" hidden="1" x14ac:dyDescent="0.25">
      <c r="A288" t="s">
        <v>3591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3610</v>
      </c>
      <c r="P288" t="s">
        <v>3592</v>
      </c>
    </row>
    <row r="289" spans="1:16" hidden="1" x14ac:dyDescent="0.25">
      <c r="A289" t="s">
        <v>3591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3610</v>
      </c>
      <c r="P289" t="s">
        <v>3592</v>
      </c>
    </row>
    <row r="290" spans="1:16" hidden="1" x14ac:dyDescent="0.25">
      <c r="A290" t="s">
        <v>3591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3610</v>
      </c>
      <c r="P290" t="s">
        <v>3592</v>
      </c>
    </row>
    <row r="291" spans="1:16" hidden="1" x14ac:dyDescent="0.25">
      <c r="A291" t="s">
        <v>3591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3610</v>
      </c>
      <c r="P291" t="s">
        <v>3592</v>
      </c>
    </row>
    <row r="292" spans="1:16" hidden="1" x14ac:dyDescent="0.25">
      <c r="A292" t="s">
        <v>3591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3610</v>
      </c>
      <c r="P292" t="s">
        <v>3592</v>
      </c>
    </row>
    <row r="293" spans="1:16" hidden="1" x14ac:dyDescent="0.25">
      <c r="A293" t="s">
        <v>3591</v>
      </c>
      <c r="B293" t="s">
        <v>3299</v>
      </c>
      <c r="C293" t="s">
        <v>3300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3610</v>
      </c>
      <c r="P293" t="s">
        <v>3592</v>
      </c>
    </row>
    <row r="294" spans="1:16" hidden="1" x14ac:dyDescent="0.25">
      <c r="A294" t="s">
        <v>3591</v>
      </c>
      <c r="B294" t="s">
        <v>3155</v>
      </c>
      <c r="C294" t="s">
        <v>3156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3610</v>
      </c>
      <c r="P294" t="s">
        <v>3592</v>
      </c>
    </row>
    <row r="295" spans="1:16" x14ac:dyDescent="0.25">
      <c r="A295" s="94" t="s">
        <v>3591</v>
      </c>
      <c r="B295" s="94" t="s">
        <v>483</v>
      </c>
      <c r="C295" s="94" t="s">
        <v>3443</v>
      </c>
      <c r="D295" t="s">
        <v>26</v>
      </c>
      <c r="E295" t="s">
        <v>42</v>
      </c>
      <c r="F295" s="94">
        <v>2</v>
      </c>
      <c r="G295" s="94" t="s">
        <v>4</v>
      </c>
      <c r="H295" t="s">
        <v>15</v>
      </c>
      <c r="I295">
        <v>1000000</v>
      </c>
      <c r="J295" s="95">
        <v>1000000</v>
      </c>
      <c r="K295">
        <v>675.67567567567562</v>
      </c>
      <c r="N295" t="s">
        <v>3610</v>
      </c>
      <c r="P295" t="s">
        <v>3592</v>
      </c>
    </row>
    <row r="296" spans="1:16" x14ac:dyDescent="0.25">
      <c r="A296" s="94" t="s">
        <v>3591</v>
      </c>
      <c r="B296" s="94" t="s">
        <v>2922</v>
      </c>
      <c r="C296" s="94" t="s">
        <v>3530</v>
      </c>
      <c r="D296" t="s">
        <v>61</v>
      </c>
      <c r="E296" t="s">
        <v>42</v>
      </c>
      <c r="F296" s="94">
        <v>2</v>
      </c>
      <c r="G296" s="94" t="s">
        <v>4</v>
      </c>
      <c r="H296" t="s">
        <v>15</v>
      </c>
      <c r="I296">
        <v>1000000</v>
      </c>
      <c r="J296" s="95">
        <v>1000000</v>
      </c>
      <c r="K296">
        <v>675.67567567567562</v>
      </c>
      <c r="N296" t="s">
        <v>3610</v>
      </c>
      <c r="P296" t="s">
        <v>3592</v>
      </c>
    </row>
    <row r="297" spans="1:16" x14ac:dyDescent="0.25">
      <c r="A297" t="s">
        <v>3591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3610</v>
      </c>
      <c r="P297" t="s">
        <v>3592</v>
      </c>
    </row>
    <row r="298" spans="1:16" x14ac:dyDescent="0.25">
      <c r="A298" t="s">
        <v>3591</v>
      </c>
      <c r="B298" t="s">
        <v>3597</v>
      </c>
      <c r="C298" t="s">
        <v>3288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3610</v>
      </c>
      <c r="P298" t="s">
        <v>3592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2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6" t="s">
        <v>3641</v>
      </c>
      <c r="B305" s="96" t="s">
        <v>3048</v>
      </c>
      <c r="C305" s="96" t="s">
        <v>155</v>
      </c>
      <c r="D305" t="s">
        <v>26</v>
      </c>
      <c r="E305" t="s">
        <v>42</v>
      </c>
      <c r="F305" s="96">
        <v>1</v>
      </c>
      <c r="G305" s="96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3665</v>
      </c>
      <c r="P305" t="s">
        <v>3640</v>
      </c>
    </row>
    <row r="306" spans="1:16" x14ac:dyDescent="0.25">
      <c r="A306" s="96" t="s">
        <v>3641</v>
      </c>
      <c r="B306" s="96" t="s">
        <v>2153</v>
      </c>
      <c r="C306" s="96" t="s">
        <v>155</v>
      </c>
      <c r="D306" t="s">
        <v>26</v>
      </c>
      <c r="E306" t="s">
        <v>42</v>
      </c>
      <c r="F306" s="96">
        <v>1</v>
      </c>
      <c r="G306" s="96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3665</v>
      </c>
      <c r="P306" t="s">
        <v>3640</v>
      </c>
    </row>
    <row r="307" spans="1:16" x14ac:dyDescent="0.25">
      <c r="A307" t="s">
        <v>3641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3665</v>
      </c>
      <c r="P307" t="s">
        <v>3640</v>
      </c>
    </row>
    <row r="308" spans="1:16" x14ac:dyDescent="0.25">
      <c r="A308" s="96" t="s">
        <v>3641</v>
      </c>
      <c r="B308" s="96" t="s">
        <v>1462</v>
      </c>
      <c r="C308" s="96" t="s">
        <v>155</v>
      </c>
      <c r="D308" t="s">
        <v>26</v>
      </c>
      <c r="E308" t="s">
        <v>42</v>
      </c>
      <c r="F308" s="96">
        <v>1</v>
      </c>
      <c r="G308" s="96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3665</v>
      </c>
      <c r="P308" t="s">
        <v>3640</v>
      </c>
    </row>
    <row r="309" spans="1:16" x14ac:dyDescent="0.25">
      <c r="A309" s="96" t="s">
        <v>3641</v>
      </c>
      <c r="B309" s="96" t="s">
        <v>1462</v>
      </c>
      <c r="C309" s="96" t="s">
        <v>155</v>
      </c>
      <c r="D309" t="s">
        <v>26</v>
      </c>
      <c r="E309" t="s">
        <v>42</v>
      </c>
      <c r="F309" s="96">
        <v>1</v>
      </c>
      <c r="G309" s="96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3665</v>
      </c>
      <c r="P309" t="s">
        <v>3640</v>
      </c>
    </row>
    <row r="310" spans="1:16" x14ac:dyDescent="0.25">
      <c r="A310" s="96" t="s">
        <v>3641</v>
      </c>
      <c r="B310" s="96" t="s">
        <v>1462</v>
      </c>
      <c r="C310" s="96" t="s">
        <v>155</v>
      </c>
      <c r="D310" t="s">
        <v>26</v>
      </c>
      <c r="E310" t="s">
        <v>42</v>
      </c>
      <c r="F310" s="96">
        <v>1</v>
      </c>
      <c r="G310" s="96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3665</v>
      </c>
      <c r="P310" t="s">
        <v>3640</v>
      </c>
    </row>
    <row r="311" spans="1:16" x14ac:dyDescent="0.25">
      <c r="A311" s="96" t="s">
        <v>3641</v>
      </c>
      <c r="B311" s="96" t="s">
        <v>483</v>
      </c>
      <c r="C311" s="96" t="s">
        <v>155</v>
      </c>
      <c r="D311" t="s">
        <v>26</v>
      </c>
      <c r="E311" t="s">
        <v>42</v>
      </c>
      <c r="F311" s="96">
        <v>1</v>
      </c>
      <c r="G311" s="96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3665</v>
      </c>
      <c r="P311" t="s">
        <v>3640</v>
      </c>
    </row>
    <row r="312" spans="1:16" hidden="1" x14ac:dyDescent="0.25">
      <c r="A312" t="s">
        <v>3641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3665</v>
      </c>
      <c r="P312" t="s">
        <v>3640</v>
      </c>
    </row>
    <row r="313" spans="1:16" x14ac:dyDescent="0.25">
      <c r="A313" t="s">
        <v>3641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3665</v>
      </c>
      <c r="P313" t="s">
        <v>3640</v>
      </c>
    </row>
    <row r="314" spans="1:16" x14ac:dyDescent="0.25">
      <c r="A314" t="s">
        <v>3641</v>
      </c>
      <c r="B314" t="s">
        <v>3299</v>
      </c>
      <c r="C314" t="s">
        <v>3300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3665</v>
      </c>
      <c r="P314" t="s">
        <v>3640</v>
      </c>
    </row>
    <row r="315" spans="1:16" x14ac:dyDescent="0.25">
      <c r="A315" t="s">
        <v>3641</v>
      </c>
      <c r="B315" t="s">
        <v>3155</v>
      </c>
      <c r="C315" t="s">
        <v>3156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3665</v>
      </c>
      <c r="P315" t="s">
        <v>3640</v>
      </c>
    </row>
    <row r="316" spans="1:16" hidden="1" x14ac:dyDescent="0.25">
      <c r="A316" t="s">
        <v>3641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3665</v>
      </c>
      <c r="P316" t="s">
        <v>3640</v>
      </c>
    </row>
    <row r="317" spans="1:16" hidden="1" x14ac:dyDescent="0.25">
      <c r="A317" t="s">
        <v>3641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3665</v>
      </c>
      <c r="P317" t="s">
        <v>3640</v>
      </c>
    </row>
    <row r="318" spans="1:16" hidden="1" x14ac:dyDescent="0.25">
      <c r="A318" t="s">
        <v>3641</v>
      </c>
      <c r="B318" t="s">
        <v>3597</v>
      </c>
      <c r="C318" t="s">
        <v>3288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3665</v>
      </c>
      <c r="P318" t="s">
        <v>3640</v>
      </c>
    </row>
    <row r="319" spans="1:16" hidden="1" x14ac:dyDescent="0.25">
      <c r="A319" t="s">
        <v>3641</v>
      </c>
      <c r="B319" t="s">
        <v>483</v>
      </c>
      <c r="C319" t="s">
        <v>3443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3665</v>
      </c>
      <c r="P319" t="s">
        <v>3640</v>
      </c>
    </row>
    <row r="320" spans="1:16" hidden="1" x14ac:dyDescent="0.25">
      <c r="A320" t="s">
        <v>3641</v>
      </c>
      <c r="B320" t="s">
        <v>2922</v>
      </c>
      <c r="C320" t="s">
        <v>3443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3665</v>
      </c>
      <c r="P320" t="s">
        <v>3640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3641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3665</v>
      </c>
      <c r="P325" t="s">
        <v>3640</v>
      </c>
    </row>
    <row r="326" spans="1:16" hidden="1" x14ac:dyDescent="0.25">
      <c r="A326" t="s">
        <v>3641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3665</v>
      </c>
      <c r="P326" t="s">
        <v>3640</v>
      </c>
    </row>
    <row r="327" spans="1:16" hidden="1" x14ac:dyDescent="0.25">
      <c r="A327" t="s">
        <v>3641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3665</v>
      </c>
      <c r="P327" t="s">
        <v>3640</v>
      </c>
    </row>
    <row r="328" spans="1:16" hidden="1" x14ac:dyDescent="0.25">
      <c r="A328" t="s">
        <v>3641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3665</v>
      </c>
      <c r="P328" t="s">
        <v>3640</v>
      </c>
    </row>
    <row r="329" spans="1:16" hidden="1" x14ac:dyDescent="0.25">
      <c r="A329" t="s">
        <v>3641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3665</v>
      </c>
      <c r="P329" t="s">
        <v>3640</v>
      </c>
    </row>
    <row r="330" spans="1:16" hidden="1" x14ac:dyDescent="0.25">
      <c r="A330" t="s">
        <v>3641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3665</v>
      </c>
      <c r="P330" t="s">
        <v>3640</v>
      </c>
    </row>
    <row r="331" spans="1:16" hidden="1" x14ac:dyDescent="0.25">
      <c r="A331" t="s">
        <v>3641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3665</v>
      </c>
      <c r="P331" t="s">
        <v>3640</v>
      </c>
    </row>
    <row r="332" spans="1:16" x14ac:dyDescent="0.25">
      <c r="A332" t="s">
        <v>3641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3665</v>
      </c>
      <c r="P332" t="s">
        <v>3640</v>
      </c>
    </row>
    <row r="333" spans="1:16" hidden="1" x14ac:dyDescent="0.25">
      <c r="A333" t="s">
        <v>3641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3665</v>
      </c>
      <c r="P333" t="s">
        <v>3640</v>
      </c>
    </row>
    <row r="334" spans="1:16" hidden="1" x14ac:dyDescent="0.25">
      <c r="A334" t="s">
        <v>3641</v>
      </c>
      <c r="B334" t="s">
        <v>3299</v>
      </c>
      <c r="C334" t="s">
        <v>3300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3665</v>
      </c>
      <c r="P334" t="s">
        <v>3640</v>
      </c>
    </row>
    <row r="335" spans="1:16" hidden="1" x14ac:dyDescent="0.25">
      <c r="A335" t="s">
        <v>3641</v>
      </c>
      <c r="B335" t="s">
        <v>3155</v>
      </c>
      <c r="C335" t="s">
        <v>3156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3665</v>
      </c>
      <c r="P335" t="s">
        <v>3640</v>
      </c>
    </row>
    <row r="336" spans="1:16" x14ac:dyDescent="0.25">
      <c r="A336" s="96" t="s">
        <v>3641</v>
      </c>
      <c r="B336" s="96" t="s">
        <v>1580</v>
      </c>
      <c r="C336" s="96" t="s">
        <v>2477</v>
      </c>
      <c r="D336" t="s">
        <v>26</v>
      </c>
      <c r="E336" t="s">
        <v>42</v>
      </c>
      <c r="F336" s="96">
        <v>2</v>
      </c>
      <c r="G336" s="96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3665</v>
      </c>
      <c r="P336" t="s">
        <v>3640</v>
      </c>
    </row>
    <row r="337" spans="1:27" x14ac:dyDescent="0.25">
      <c r="A337" s="96" t="s">
        <v>3641</v>
      </c>
      <c r="B337" s="96" t="s">
        <v>1854</v>
      </c>
      <c r="C337" s="96" t="s">
        <v>2667</v>
      </c>
      <c r="D337" t="s">
        <v>26</v>
      </c>
      <c r="E337" t="s">
        <v>132</v>
      </c>
      <c r="F337" s="96">
        <v>2</v>
      </c>
      <c r="G337" s="96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3665</v>
      </c>
      <c r="P337" t="s">
        <v>3640</v>
      </c>
    </row>
    <row r="338" spans="1:27" x14ac:dyDescent="0.25">
      <c r="A338" t="s">
        <v>3641</v>
      </c>
      <c r="B338" t="s">
        <v>3597</v>
      </c>
      <c r="C338" t="s">
        <v>3288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3665</v>
      </c>
      <c r="P338" t="s">
        <v>3640</v>
      </c>
      <c r="AA338">
        <f>429000+265000</f>
        <v>694000</v>
      </c>
    </row>
    <row r="339" spans="1:27" x14ac:dyDescent="0.25">
      <c r="A339" s="96" t="s">
        <v>3641</v>
      </c>
      <c r="B339" s="96" t="s">
        <v>483</v>
      </c>
      <c r="C339" s="96" t="s">
        <v>3443</v>
      </c>
      <c r="D339" t="s">
        <v>26</v>
      </c>
      <c r="E339" t="s">
        <v>42</v>
      </c>
      <c r="F339" s="96">
        <v>2</v>
      </c>
      <c r="G339" s="96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3665</v>
      </c>
      <c r="P339" t="s">
        <v>3640</v>
      </c>
    </row>
    <row r="340" spans="1:27" x14ac:dyDescent="0.25">
      <c r="A340" t="s">
        <v>3641</v>
      </c>
      <c r="B340" t="s">
        <v>2922</v>
      </c>
      <c r="C340" t="s">
        <v>3443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3665</v>
      </c>
      <c r="P340" t="s">
        <v>3640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3718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3719</v>
      </c>
    </row>
    <row r="348" spans="1:27" x14ac:dyDescent="0.25">
      <c r="A348" s="96" t="s">
        <v>3718</v>
      </c>
      <c r="B348" s="96" t="s">
        <v>3048</v>
      </c>
      <c r="C348" s="96" t="s">
        <v>155</v>
      </c>
      <c r="D348" t="s">
        <v>26</v>
      </c>
      <c r="E348" t="s">
        <v>42</v>
      </c>
      <c r="F348" s="96">
        <v>1</v>
      </c>
      <c r="G348" s="96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3719</v>
      </c>
    </row>
    <row r="349" spans="1:27" x14ac:dyDescent="0.25">
      <c r="A349" t="s">
        <v>3718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3719</v>
      </c>
    </row>
    <row r="350" spans="1:27" x14ac:dyDescent="0.25">
      <c r="A350" t="s">
        <v>3718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3719</v>
      </c>
    </row>
    <row r="351" spans="1:27" x14ac:dyDescent="0.25">
      <c r="A351" t="s">
        <v>3718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3719</v>
      </c>
    </row>
    <row r="352" spans="1:27" x14ac:dyDescent="0.25">
      <c r="A352" t="s">
        <v>3718</v>
      </c>
      <c r="B352" t="s">
        <v>3299</v>
      </c>
      <c r="C352" t="s">
        <v>3300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3719</v>
      </c>
    </row>
    <row r="353" spans="1:16" x14ac:dyDescent="0.25">
      <c r="A353" t="s">
        <v>3718</v>
      </c>
      <c r="B353" t="s">
        <v>3155</v>
      </c>
      <c r="C353" t="s">
        <v>3156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3719</v>
      </c>
    </row>
    <row r="354" spans="1:16" x14ac:dyDescent="0.25">
      <c r="A354" s="96" t="s">
        <v>3718</v>
      </c>
      <c r="B354" s="96" t="s">
        <v>334</v>
      </c>
      <c r="C354" s="96" t="s">
        <v>2836</v>
      </c>
      <c r="D354" t="s">
        <v>26</v>
      </c>
      <c r="E354" t="s">
        <v>42</v>
      </c>
      <c r="F354" s="96">
        <v>1</v>
      </c>
      <c r="G354" s="96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3719</v>
      </c>
    </row>
    <row r="355" spans="1:16" hidden="1" x14ac:dyDescent="0.25">
      <c r="A355" t="s">
        <v>3718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3719</v>
      </c>
    </row>
    <row r="356" spans="1:16" hidden="1" x14ac:dyDescent="0.25">
      <c r="A356" t="s">
        <v>3718</v>
      </c>
      <c r="B356" t="s">
        <v>2922</v>
      </c>
      <c r="C356" t="s">
        <v>3443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3719</v>
      </c>
    </row>
    <row r="357" spans="1:16" hidden="1" x14ac:dyDescent="0.25">
      <c r="A357" t="s">
        <v>3718</v>
      </c>
      <c r="B357" t="s">
        <v>3597</v>
      </c>
      <c r="C357" t="s">
        <v>3288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3719</v>
      </c>
    </row>
    <row r="358" spans="1:16" hidden="1" x14ac:dyDescent="0.25">
      <c r="A358" t="s">
        <v>3718</v>
      </c>
      <c r="B358" t="s">
        <v>483</v>
      </c>
      <c r="C358" t="s">
        <v>3443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3719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3718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3719</v>
      </c>
    </row>
    <row r="363" spans="1:16" hidden="1" x14ac:dyDescent="0.25">
      <c r="A363" t="s">
        <v>3718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3719</v>
      </c>
    </row>
    <row r="364" spans="1:16" hidden="1" x14ac:dyDescent="0.25">
      <c r="A364" t="s">
        <v>3718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3719</v>
      </c>
    </row>
    <row r="365" spans="1:16" hidden="1" x14ac:dyDescent="0.25">
      <c r="A365" t="s">
        <v>3718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3719</v>
      </c>
    </row>
    <row r="366" spans="1:16" hidden="1" x14ac:dyDescent="0.25">
      <c r="A366" t="s">
        <v>3718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3719</v>
      </c>
    </row>
    <row r="367" spans="1:16" hidden="1" x14ac:dyDescent="0.25">
      <c r="A367" t="s">
        <v>3718</v>
      </c>
      <c r="B367" t="s">
        <v>3299</v>
      </c>
      <c r="C367" t="s">
        <v>3300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3719</v>
      </c>
    </row>
    <row r="368" spans="1:16" hidden="1" x14ac:dyDescent="0.25">
      <c r="A368" t="s">
        <v>3718</v>
      </c>
      <c r="B368" t="s">
        <v>3155</v>
      </c>
      <c r="C368" t="s">
        <v>3156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3719</v>
      </c>
    </row>
    <row r="369" spans="1:16" hidden="1" x14ac:dyDescent="0.25">
      <c r="A369" t="s">
        <v>3718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3719</v>
      </c>
    </row>
    <row r="370" spans="1:16" x14ac:dyDescent="0.25">
      <c r="A370" s="96" t="s">
        <v>3718</v>
      </c>
      <c r="B370" s="96" t="s">
        <v>2940</v>
      </c>
      <c r="C370" s="96" t="s">
        <v>91</v>
      </c>
      <c r="D370" t="s">
        <v>26</v>
      </c>
      <c r="E370" t="s">
        <v>42</v>
      </c>
      <c r="F370" s="96">
        <v>2</v>
      </c>
      <c r="G370" s="96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3719</v>
      </c>
    </row>
    <row r="371" spans="1:16" x14ac:dyDescent="0.25">
      <c r="A371" s="96" t="s">
        <v>3718</v>
      </c>
      <c r="B371" s="96" t="s">
        <v>2922</v>
      </c>
      <c r="C371" s="96" t="s">
        <v>3443</v>
      </c>
      <c r="D371" t="s">
        <v>61</v>
      </c>
      <c r="E371" t="s">
        <v>42</v>
      </c>
      <c r="F371" s="96">
        <v>2</v>
      </c>
      <c r="G371" s="96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3719</v>
      </c>
    </row>
    <row r="372" spans="1:16" x14ac:dyDescent="0.25">
      <c r="A372" t="s">
        <v>3718</v>
      </c>
      <c r="B372" t="s">
        <v>3597</v>
      </c>
      <c r="C372" t="s">
        <v>3288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3719</v>
      </c>
    </row>
    <row r="373" spans="1:16" x14ac:dyDescent="0.25">
      <c r="A373" s="96" t="s">
        <v>3718</v>
      </c>
      <c r="B373" s="96" t="s">
        <v>483</v>
      </c>
      <c r="C373" s="96" t="s">
        <v>3443</v>
      </c>
      <c r="D373" t="s">
        <v>26</v>
      </c>
      <c r="E373" t="s">
        <v>42</v>
      </c>
      <c r="F373" s="96">
        <v>2</v>
      </c>
      <c r="G373" s="96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3719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3779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3780</v>
      </c>
    </row>
    <row r="380" spans="1:16" x14ac:dyDescent="0.25">
      <c r="A380" t="s">
        <v>3779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3780</v>
      </c>
    </row>
    <row r="381" spans="1:16" x14ac:dyDescent="0.25">
      <c r="A381" t="s">
        <v>3779</v>
      </c>
      <c r="B381" t="s">
        <v>3788</v>
      </c>
      <c r="C381" t="s">
        <v>3789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3780</v>
      </c>
    </row>
    <row r="382" spans="1:16" x14ac:dyDescent="0.25">
      <c r="A382" t="s">
        <v>3779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3780</v>
      </c>
    </row>
    <row r="383" spans="1:16" x14ac:dyDescent="0.25">
      <c r="A383" t="s">
        <v>3779</v>
      </c>
      <c r="B383" t="s">
        <v>3169</v>
      </c>
      <c r="C383" t="s">
        <v>3170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3780</v>
      </c>
    </row>
    <row r="384" spans="1:16" x14ac:dyDescent="0.25">
      <c r="A384" t="s">
        <v>3779</v>
      </c>
      <c r="B384" t="s">
        <v>3299</v>
      </c>
      <c r="C384" t="s">
        <v>3300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3780</v>
      </c>
    </row>
    <row r="385" spans="1:16" x14ac:dyDescent="0.25">
      <c r="A385" t="s">
        <v>3779</v>
      </c>
      <c r="B385" t="s">
        <v>3155</v>
      </c>
      <c r="C385" t="s">
        <v>3156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3780</v>
      </c>
    </row>
    <row r="386" spans="1:16" hidden="1" x14ac:dyDescent="0.25">
      <c r="A386" t="s">
        <v>3779</v>
      </c>
      <c r="B386" t="s">
        <v>2728</v>
      </c>
      <c r="C386" t="s">
        <v>3632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3780</v>
      </c>
    </row>
    <row r="387" spans="1:16" hidden="1" x14ac:dyDescent="0.25">
      <c r="A387" t="s">
        <v>3779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3780</v>
      </c>
    </row>
    <row r="388" spans="1:16" hidden="1" x14ac:dyDescent="0.25">
      <c r="A388" t="s">
        <v>3779</v>
      </c>
      <c r="B388" t="s">
        <v>3597</v>
      </c>
      <c r="C388" t="s">
        <v>3288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3780</v>
      </c>
    </row>
    <row r="389" spans="1:16" hidden="1" x14ac:dyDescent="0.25">
      <c r="A389" t="s">
        <v>3779</v>
      </c>
      <c r="B389" t="s">
        <v>483</v>
      </c>
      <c r="C389" t="s">
        <v>3443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3780</v>
      </c>
    </row>
    <row r="390" spans="1:16" hidden="1" x14ac:dyDescent="0.25">
      <c r="A390" t="s">
        <v>3779</v>
      </c>
      <c r="B390" t="s">
        <v>2922</v>
      </c>
      <c r="C390" t="s">
        <v>3530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3780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3779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3780</v>
      </c>
    </row>
    <row r="396" spans="1:16" hidden="1" x14ac:dyDescent="0.25">
      <c r="A396" t="s">
        <v>3779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3780</v>
      </c>
    </row>
    <row r="397" spans="1:16" hidden="1" x14ac:dyDescent="0.25">
      <c r="A397" t="s">
        <v>3779</v>
      </c>
      <c r="B397" t="s">
        <v>3788</v>
      </c>
      <c r="C397" t="s">
        <v>3789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3780</v>
      </c>
    </row>
    <row r="398" spans="1:16" hidden="1" x14ac:dyDescent="0.25">
      <c r="A398" t="s">
        <v>3779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3780</v>
      </c>
    </row>
    <row r="399" spans="1:16" hidden="1" x14ac:dyDescent="0.25">
      <c r="A399" t="s">
        <v>3779</v>
      </c>
      <c r="B399" t="s">
        <v>3169</v>
      </c>
      <c r="C399" t="s">
        <v>3170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3780</v>
      </c>
    </row>
    <row r="400" spans="1:16" hidden="1" x14ac:dyDescent="0.25">
      <c r="A400" t="s">
        <v>3779</v>
      </c>
      <c r="B400" t="s">
        <v>3299</v>
      </c>
      <c r="C400" t="s">
        <v>3300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3780</v>
      </c>
    </row>
    <row r="401" spans="1:16" hidden="1" x14ac:dyDescent="0.25">
      <c r="A401" t="s">
        <v>3779</v>
      </c>
      <c r="B401" t="s">
        <v>3155</v>
      </c>
      <c r="C401" t="s">
        <v>3156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3780</v>
      </c>
    </row>
    <row r="402" spans="1:16" x14ac:dyDescent="0.25">
      <c r="A402" t="s">
        <v>3779</v>
      </c>
      <c r="B402" t="s">
        <v>2728</v>
      </c>
      <c r="C402" t="s">
        <v>3632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3780</v>
      </c>
    </row>
    <row r="403" spans="1:16" x14ac:dyDescent="0.25">
      <c r="A403" t="s">
        <v>3779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3780</v>
      </c>
    </row>
    <row r="404" spans="1:16" x14ac:dyDescent="0.25">
      <c r="A404" t="s">
        <v>3779</v>
      </c>
      <c r="B404" t="s">
        <v>3597</v>
      </c>
      <c r="C404" t="s">
        <v>3288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3780</v>
      </c>
    </row>
    <row r="405" spans="1:16" x14ac:dyDescent="0.25">
      <c r="A405" t="s">
        <v>3779</v>
      </c>
      <c r="B405" t="s">
        <v>483</v>
      </c>
      <c r="C405" t="s">
        <v>3443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3780</v>
      </c>
    </row>
    <row r="406" spans="1:16" x14ac:dyDescent="0.25">
      <c r="A406" t="s">
        <v>3779</v>
      </c>
      <c r="B406" t="s">
        <v>2922</v>
      </c>
      <c r="C406" t="s">
        <v>3530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3780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3779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3780</v>
      </c>
    </row>
    <row r="415" spans="1:16" hidden="1" x14ac:dyDescent="0.25">
      <c r="A415" t="s">
        <v>3779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3780</v>
      </c>
    </row>
    <row r="416" spans="1:16" hidden="1" x14ac:dyDescent="0.25">
      <c r="A416" t="s">
        <v>3779</v>
      </c>
      <c r="B416" t="s">
        <v>2728</v>
      </c>
      <c r="C416" t="s">
        <v>3632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>
        <v>0</v>
      </c>
      <c r="K416">
        <v>0</v>
      </c>
      <c r="N416" t="s">
        <v>744</v>
      </c>
      <c r="P416" t="s">
        <v>3780</v>
      </c>
    </row>
    <row r="417" spans="1:16" x14ac:dyDescent="0.25">
      <c r="A417" t="s">
        <v>3779</v>
      </c>
      <c r="B417" t="s">
        <v>3788</v>
      </c>
      <c r="C417" t="s">
        <v>3789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3780</v>
      </c>
    </row>
    <row r="418" spans="1:16" x14ac:dyDescent="0.25">
      <c r="A418" t="s">
        <v>3779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3780</v>
      </c>
    </row>
    <row r="419" spans="1:16" x14ac:dyDescent="0.25">
      <c r="A419" t="s">
        <v>3779</v>
      </c>
      <c r="B419" t="s">
        <v>3169</v>
      </c>
      <c r="C419" t="s">
        <v>3170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3780</v>
      </c>
    </row>
    <row r="420" spans="1:16" x14ac:dyDescent="0.25">
      <c r="A420" t="s">
        <v>3779</v>
      </c>
      <c r="B420" t="s">
        <v>3299</v>
      </c>
      <c r="C420" t="s">
        <v>3300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3780</v>
      </c>
    </row>
    <row r="421" spans="1:16" x14ac:dyDescent="0.25">
      <c r="A421" t="s">
        <v>3779</v>
      </c>
      <c r="B421" t="s">
        <v>3155</v>
      </c>
      <c r="C421" t="s">
        <v>3156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3780</v>
      </c>
    </row>
    <row r="422" spans="1:16" hidden="1" x14ac:dyDescent="0.25">
      <c r="A422" t="s">
        <v>3779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>
        <v>250000</v>
      </c>
      <c r="K422">
        <v>166.11295681063123</v>
      </c>
      <c r="N422" t="s">
        <v>744</v>
      </c>
      <c r="P422" t="s">
        <v>3780</v>
      </c>
    </row>
    <row r="423" spans="1:16" hidden="1" x14ac:dyDescent="0.25">
      <c r="A423" t="s">
        <v>3779</v>
      </c>
      <c r="B423" t="s">
        <v>2652</v>
      </c>
      <c r="C423" t="s">
        <v>3790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>
        <v>500000</v>
      </c>
      <c r="K423">
        <v>332.22591362126246</v>
      </c>
      <c r="N423" t="s">
        <v>744</v>
      </c>
      <c r="P423" t="s">
        <v>3780</v>
      </c>
    </row>
    <row r="424" spans="1:16" hidden="1" x14ac:dyDescent="0.25">
      <c r="A424" t="s">
        <v>3779</v>
      </c>
      <c r="B424" t="s">
        <v>3728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>
        <v>1000000</v>
      </c>
      <c r="K424">
        <v>664.45182724252493</v>
      </c>
      <c r="N424" t="s">
        <v>744</v>
      </c>
      <c r="P424" t="s">
        <v>3780</v>
      </c>
    </row>
    <row r="425" spans="1:16" hidden="1" x14ac:dyDescent="0.25">
      <c r="A425" t="s">
        <v>3779</v>
      </c>
      <c r="B425" t="s">
        <v>483</v>
      </c>
      <c r="C425" t="s">
        <v>3443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>
        <v>1000000</v>
      </c>
      <c r="K425">
        <v>664.45182724252493</v>
      </c>
      <c r="N425" t="s">
        <v>744</v>
      </c>
      <c r="P425" t="s">
        <v>3780</v>
      </c>
    </row>
    <row r="426" spans="1:16" hidden="1" x14ac:dyDescent="0.25">
      <c r="A426" t="s">
        <v>3779</v>
      </c>
      <c r="B426" t="s">
        <v>2922</v>
      </c>
      <c r="C426" t="s">
        <v>3530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>
        <v>1000000</v>
      </c>
      <c r="K426">
        <v>664.45182724252493</v>
      </c>
      <c r="N426" t="s">
        <v>744</v>
      </c>
      <c r="P426" t="s">
        <v>3780</v>
      </c>
    </row>
    <row r="427" spans="1:16" hidden="1" x14ac:dyDescent="0.25">
      <c r="A427" t="s">
        <v>3779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>
        <v>1500000</v>
      </c>
      <c r="K427">
        <v>996.67774086378734</v>
      </c>
      <c r="N427" t="s">
        <v>744</v>
      </c>
      <c r="P427" t="s">
        <v>3780</v>
      </c>
    </row>
    <row r="428" spans="1:16" hidden="1" x14ac:dyDescent="0.25">
      <c r="A428" t="s">
        <v>3779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>
        <v>1500000</v>
      </c>
      <c r="K428">
        <v>996.67774086378734</v>
      </c>
      <c r="N428" t="s">
        <v>744</v>
      </c>
      <c r="P428" t="s">
        <v>3780</v>
      </c>
    </row>
    <row r="429" spans="1:16" hidden="1" x14ac:dyDescent="0.25">
      <c r="A429" t="s">
        <v>3779</v>
      </c>
      <c r="B429" t="s">
        <v>3597</v>
      </c>
      <c r="C429" t="s">
        <v>3288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>
        <v>1500000</v>
      </c>
      <c r="K429">
        <v>996.67774086378734</v>
      </c>
      <c r="N429" t="s">
        <v>744</v>
      </c>
      <c r="P429" t="s">
        <v>3780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3779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>
        <v>0</v>
      </c>
      <c r="K433">
        <v>0</v>
      </c>
      <c r="N433" t="s">
        <v>744</v>
      </c>
      <c r="P433" t="s">
        <v>3780</v>
      </c>
    </row>
    <row r="434" spans="1:16" hidden="1" x14ac:dyDescent="0.25">
      <c r="A434" t="s">
        <v>3779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>
        <v>0</v>
      </c>
      <c r="K434">
        <v>0</v>
      </c>
      <c r="N434" t="s">
        <v>744</v>
      </c>
      <c r="P434" t="s">
        <v>3780</v>
      </c>
    </row>
    <row r="435" spans="1:16" hidden="1" x14ac:dyDescent="0.25">
      <c r="A435" t="s">
        <v>3779</v>
      </c>
      <c r="B435" t="s">
        <v>2728</v>
      </c>
      <c r="C435" t="s">
        <v>3632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3780</v>
      </c>
    </row>
    <row r="436" spans="1:16" hidden="1" x14ac:dyDescent="0.25">
      <c r="A436" t="s">
        <v>3779</v>
      </c>
      <c r="B436" t="s">
        <v>3788</v>
      </c>
      <c r="C436" t="s">
        <v>3789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>
        <v>100700</v>
      </c>
      <c r="K436">
        <v>66.910299003322265</v>
      </c>
      <c r="N436" t="s">
        <v>744</v>
      </c>
      <c r="P436" t="s">
        <v>3780</v>
      </c>
    </row>
    <row r="437" spans="1:16" hidden="1" x14ac:dyDescent="0.25">
      <c r="A437" t="s">
        <v>3779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>
        <v>200000</v>
      </c>
      <c r="K437">
        <v>132.89036544850498</v>
      </c>
      <c r="N437" t="s">
        <v>744</v>
      </c>
      <c r="P437" t="s">
        <v>3780</v>
      </c>
    </row>
    <row r="438" spans="1:16" hidden="1" x14ac:dyDescent="0.25">
      <c r="A438" t="s">
        <v>3779</v>
      </c>
      <c r="B438" t="s">
        <v>3169</v>
      </c>
      <c r="C438" t="s">
        <v>3170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>
        <v>235000</v>
      </c>
      <c r="K438">
        <v>156.14617940199335</v>
      </c>
      <c r="N438" t="s">
        <v>744</v>
      </c>
      <c r="P438" t="s">
        <v>3780</v>
      </c>
    </row>
    <row r="439" spans="1:16" hidden="1" x14ac:dyDescent="0.25">
      <c r="A439" t="s">
        <v>3779</v>
      </c>
      <c r="B439" t="s">
        <v>3299</v>
      </c>
      <c r="C439" t="s">
        <v>3300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>
        <v>250000</v>
      </c>
      <c r="K439">
        <v>166.11295681063123</v>
      </c>
      <c r="N439" t="s">
        <v>744</v>
      </c>
      <c r="P439" t="s">
        <v>3780</v>
      </c>
    </row>
    <row r="440" spans="1:16" hidden="1" x14ac:dyDescent="0.25">
      <c r="A440" t="s">
        <v>3779</v>
      </c>
      <c r="B440" t="s">
        <v>3155</v>
      </c>
      <c r="C440" t="s">
        <v>3156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>
        <v>250000</v>
      </c>
      <c r="K440">
        <v>166.11295681063123</v>
      </c>
      <c r="N440" t="s">
        <v>744</v>
      </c>
      <c r="P440" t="s">
        <v>3780</v>
      </c>
    </row>
    <row r="441" spans="1:16" x14ac:dyDescent="0.25">
      <c r="A441" s="96" t="s">
        <v>3779</v>
      </c>
      <c r="B441" s="96" t="s">
        <v>1215</v>
      </c>
      <c r="C441" s="96"/>
      <c r="D441" t="s">
        <v>26</v>
      </c>
      <c r="E441" t="s">
        <v>42</v>
      </c>
      <c r="F441" s="96">
        <v>2</v>
      </c>
      <c r="G441" s="96" t="s">
        <v>4</v>
      </c>
      <c r="H441" t="s">
        <v>15</v>
      </c>
      <c r="I441">
        <v>250000</v>
      </c>
      <c r="J441" s="56">
        <v>250000</v>
      </c>
      <c r="K441">
        <v>166.11295681063123</v>
      </c>
      <c r="N441" t="s">
        <v>744</v>
      </c>
      <c r="P441" t="s">
        <v>3780</v>
      </c>
    </row>
    <row r="442" spans="1:16" x14ac:dyDescent="0.25">
      <c r="A442" s="96" t="s">
        <v>3779</v>
      </c>
      <c r="B442" s="96" t="s">
        <v>2652</v>
      </c>
      <c r="C442" s="96" t="s">
        <v>3790</v>
      </c>
      <c r="D442" t="s">
        <v>26</v>
      </c>
      <c r="E442" t="s">
        <v>42</v>
      </c>
      <c r="F442" s="96">
        <v>2</v>
      </c>
      <c r="G442" s="96" t="s">
        <v>4</v>
      </c>
      <c r="H442" t="s">
        <v>15</v>
      </c>
      <c r="I442">
        <v>500000</v>
      </c>
      <c r="J442" s="56">
        <v>500000</v>
      </c>
      <c r="K442">
        <v>332.22591362126246</v>
      </c>
      <c r="N442" t="s">
        <v>744</v>
      </c>
      <c r="P442" t="s">
        <v>3780</v>
      </c>
    </row>
    <row r="443" spans="1:16" x14ac:dyDescent="0.25">
      <c r="A443" s="96" t="s">
        <v>3779</v>
      </c>
      <c r="B443" s="96" t="s">
        <v>3728</v>
      </c>
      <c r="C443" s="96" t="s">
        <v>2667</v>
      </c>
      <c r="D443" t="s">
        <v>26</v>
      </c>
      <c r="E443" t="s">
        <v>132</v>
      </c>
      <c r="F443" s="96">
        <v>2</v>
      </c>
      <c r="G443" s="96" t="s">
        <v>4</v>
      </c>
      <c r="H443" t="s">
        <v>15</v>
      </c>
      <c r="I443">
        <v>1000000</v>
      </c>
      <c r="J443" s="56">
        <v>1000000</v>
      </c>
      <c r="K443">
        <v>664.45182724252493</v>
      </c>
      <c r="N443" t="s">
        <v>744</v>
      </c>
      <c r="P443" t="s">
        <v>3780</v>
      </c>
    </row>
    <row r="444" spans="1:16" x14ac:dyDescent="0.25">
      <c r="A444" s="96" t="s">
        <v>3779</v>
      </c>
      <c r="B444" s="96" t="s">
        <v>483</v>
      </c>
      <c r="C444" s="96" t="s">
        <v>3443</v>
      </c>
      <c r="D444" t="s">
        <v>26</v>
      </c>
      <c r="E444" t="s">
        <v>42</v>
      </c>
      <c r="F444" s="96">
        <v>2</v>
      </c>
      <c r="G444" s="96" t="s">
        <v>4</v>
      </c>
      <c r="H444" t="s">
        <v>15</v>
      </c>
      <c r="I444">
        <v>1000000</v>
      </c>
      <c r="J444" s="56">
        <v>1000000</v>
      </c>
      <c r="K444">
        <v>664.45182724252493</v>
      </c>
      <c r="N444" t="s">
        <v>744</v>
      </c>
      <c r="P444" t="s">
        <v>3780</v>
      </c>
    </row>
    <row r="445" spans="1:16" x14ac:dyDescent="0.25">
      <c r="A445" s="96" t="s">
        <v>3779</v>
      </c>
      <c r="B445" s="96" t="s">
        <v>2922</v>
      </c>
      <c r="C445" s="96" t="s">
        <v>3530</v>
      </c>
      <c r="D445" t="s">
        <v>61</v>
      </c>
      <c r="E445" t="s">
        <v>42</v>
      </c>
      <c r="F445" s="96">
        <v>2</v>
      </c>
      <c r="G445" s="96" t="s">
        <v>4</v>
      </c>
      <c r="H445" t="s">
        <v>15</v>
      </c>
      <c r="I445">
        <v>1000000</v>
      </c>
      <c r="J445" s="56">
        <v>1000000</v>
      </c>
      <c r="K445">
        <v>664.45182724252493</v>
      </c>
      <c r="N445" t="s">
        <v>744</v>
      </c>
      <c r="P445" t="s">
        <v>3780</v>
      </c>
    </row>
    <row r="446" spans="1:16" x14ac:dyDescent="0.25">
      <c r="A446" t="s">
        <v>3779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3780</v>
      </c>
    </row>
    <row r="447" spans="1:16" x14ac:dyDescent="0.25">
      <c r="A447" s="96" t="s">
        <v>3779</v>
      </c>
      <c r="B447" s="96" t="s">
        <v>1854</v>
      </c>
      <c r="C447" s="96" t="s">
        <v>2667</v>
      </c>
      <c r="D447" t="s">
        <v>26</v>
      </c>
      <c r="E447" t="s">
        <v>42</v>
      </c>
      <c r="F447" s="96">
        <v>2</v>
      </c>
      <c r="G447" s="96" t="s">
        <v>4</v>
      </c>
      <c r="H447" t="s">
        <v>15</v>
      </c>
      <c r="I447">
        <v>1500000</v>
      </c>
      <c r="J447" s="56">
        <v>1500000</v>
      </c>
      <c r="K447">
        <v>996.67774086378734</v>
      </c>
      <c r="N447" t="s">
        <v>744</v>
      </c>
      <c r="P447" t="s">
        <v>3780</v>
      </c>
    </row>
    <row r="448" spans="1:16" x14ac:dyDescent="0.25">
      <c r="A448" t="s">
        <v>3779</v>
      </c>
      <c r="B448" t="s">
        <v>3597</v>
      </c>
      <c r="C448" t="s">
        <v>3288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3780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82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3842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3871</v>
      </c>
      <c r="P456" t="s">
        <v>3843</v>
      </c>
    </row>
    <row r="457" spans="1:16" hidden="1" x14ac:dyDescent="0.25">
      <c r="A457" t="s">
        <v>3842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3871</v>
      </c>
      <c r="P457" t="s">
        <v>3843</v>
      </c>
    </row>
    <row r="458" spans="1:16" x14ac:dyDescent="0.25">
      <c r="A458" s="96" t="s">
        <v>3842</v>
      </c>
      <c r="B458" s="96" t="s">
        <v>3048</v>
      </c>
      <c r="C458" s="96" t="s">
        <v>155</v>
      </c>
      <c r="D458" t="s">
        <v>26</v>
      </c>
      <c r="E458" t="s">
        <v>42</v>
      </c>
      <c r="F458" s="96">
        <v>1</v>
      </c>
      <c r="G458" s="96" t="s">
        <v>4</v>
      </c>
      <c r="H458" t="s">
        <v>15</v>
      </c>
      <c r="I458">
        <v>80000</v>
      </c>
      <c r="J458" s="56">
        <v>80000</v>
      </c>
      <c r="K458">
        <v>53.333333333333336</v>
      </c>
      <c r="N458" t="s">
        <v>3871</v>
      </c>
      <c r="P458" t="s">
        <v>3843</v>
      </c>
    </row>
    <row r="459" spans="1:16" x14ac:dyDescent="0.25">
      <c r="A459" s="96" t="s">
        <v>3842</v>
      </c>
      <c r="B459" s="96" t="s">
        <v>1462</v>
      </c>
      <c r="C459" s="96" t="s">
        <v>155</v>
      </c>
      <c r="D459" t="s">
        <v>26</v>
      </c>
      <c r="E459" t="s">
        <v>42</v>
      </c>
      <c r="F459" s="96">
        <v>1</v>
      </c>
      <c r="G459" s="96" t="s">
        <v>4</v>
      </c>
      <c r="H459" t="s">
        <v>15</v>
      </c>
      <c r="I459">
        <v>98520</v>
      </c>
      <c r="J459" s="56">
        <v>98520</v>
      </c>
      <c r="K459">
        <v>65.680000000000007</v>
      </c>
      <c r="N459" t="s">
        <v>3871</v>
      </c>
      <c r="P459" t="s">
        <v>3843</v>
      </c>
    </row>
    <row r="460" spans="1:16" x14ac:dyDescent="0.25">
      <c r="A460" s="96" t="s">
        <v>3842</v>
      </c>
      <c r="B460" s="96" t="s">
        <v>483</v>
      </c>
      <c r="C460" s="96" t="s">
        <v>155</v>
      </c>
      <c r="D460" t="s">
        <v>26</v>
      </c>
      <c r="E460" t="s">
        <v>42</v>
      </c>
      <c r="F460" s="96">
        <v>1</v>
      </c>
      <c r="G460" s="96" t="s">
        <v>4</v>
      </c>
      <c r="H460" t="s">
        <v>15</v>
      </c>
      <c r="I460">
        <v>160000</v>
      </c>
      <c r="J460" s="56">
        <v>160000</v>
      </c>
      <c r="K460">
        <v>106.66666666666667</v>
      </c>
      <c r="L460" t="s">
        <v>3177</v>
      </c>
      <c r="N460" t="s">
        <v>3871</v>
      </c>
      <c r="P460" t="s">
        <v>3843</v>
      </c>
    </row>
    <row r="461" spans="1:16" x14ac:dyDescent="0.25">
      <c r="A461" t="s">
        <v>3842</v>
      </c>
      <c r="B461" t="s">
        <v>3299</v>
      </c>
      <c r="C461" t="s">
        <v>3300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3871</v>
      </c>
      <c r="P461" t="s">
        <v>3843</v>
      </c>
    </row>
    <row r="462" spans="1:16" x14ac:dyDescent="0.25">
      <c r="A462" t="s">
        <v>3842</v>
      </c>
      <c r="B462" t="s">
        <v>3155</v>
      </c>
      <c r="C462" t="s">
        <v>3156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3871</v>
      </c>
      <c r="P462" t="s">
        <v>3843</v>
      </c>
    </row>
    <row r="463" spans="1:16" x14ac:dyDescent="0.25">
      <c r="A463" s="96" t="s">
        <v>3842</v>
      </c>
      <c r="B463" s="96" t="s">
        <v>3169</v>
      </c>
      <c r="C463" s="96" t="s">
        <v>3170</v>
      </c>
      <c r="D463" t="s">
        <v>26</v>
      </c>
      <c r="E463" t="s">
        <v>42</v>
      </c>
      <c r="F463" s="96">
        <v>1</v>
      </c>
      <c r="G463" s="96" t="s">
        <v>4</v>
      </c>
      <c r="H463" t="s">
        <v>15</v>
      </c>
      <c r="I463">
        <v>300000</v>
      </c>
      <c r="J463" s="56">
        <v>300000</v>
      </c>
      <c r="K463">
        <v>200</v>
      </c>
      <c r="N463" t="s">
        <v>3871</v>
      </c>
      <c r="P463" t="s">
        <v>3843</v>
      </c>
    </row>
    <row r="464" spans="1:16" hidden="1" x14ac:dyDescent="0.25">
      <c r="A464" t="s">
        <v>3842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>
        <v>500000</v>
      </c>
      <c r="K464">
        <v>333.33333333333331</v>
      </c>
      <c r="N464" t="s">
        <v>3871</v>
      </c>
      <c r="P464" t="s">
        <v>3843</v>
      </c>
    </row>
    <row r="465" spans="1:16" hidden="1" x14ac:dyDescent="0.25">
      <c r="A465" t="s">
        <v>3842</v>
      </c>
      <c r="B465" t="s">
        <v>2652</v>
      </c>
      <c r="C465" t="s">
        <v>3790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>
        <v>500000</v>
      </c>
      <c r="K465">
        <v>333.33333333333331</v>
      </c>
      <c r="N465" t="s">
        <v>3871</v>
      </c>
      <c r="P465" t="s">
        <v>3843</v>
      </c>
    </row>
    <row r="466" spans="1:16" hidden="1" x14ac:dyDescent="0.25">
      <c r="A466" t="s">
        <v>3842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>
        <v>500000</v>
      </c>
      <c r="K466">
        <v>333.33333333333331</v>
      </c>
      <c r="N466" t="s">
        <v>3871</v>
      </c>
      <c r="P466" t="s">
        <v>3843</v>
      </c>
    </row>
    <row r="467" spans="1:16" hidden="1" x14ac:dyDescent="0.25">
      <c r="A467" t="s">
        <v>3842</v>
      </c>
      <c r="B467" t="s">
        <v>483</v>
      </c>
      <c r="C467" t="s">
        <v>3443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>
        <v>1000000</v>
      </c>
      <c r="K467">
        <v>666.66666666666663</v>
      </c>
      <c r="N467" t="s">
        <v>3871</v>
      </c>
      <c r="P467" t="s">
        <v>3843</v>
      </c>
    </row>
    <row r="468" spans="1:16" hidden="1" x14ac:dyDescent="0.25">
      <c r="A468" t="s">
        <v>3842</v>
      </c>
      <c r="B468" t="s">
        <v>3597</v>
      </c>
      <c r="C468" t="s">
        <v>3288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>
        <v>1600000</v>
      </c>
      <c r="K468">
        <v>1066.6666666666667</v>
      </c>
      <c r="N468" t="s">
        <v>3871</v>
      </c>
      <c r="P468" t="s">
        <v>3843</v>
      </c>
    </row>
    <row r="469" spans="1:16" hidden="1" x14ac:dyDescent="0.25">
      <c r="A469" t="s">
        <v>3842</v>
      </c>
      <c r="B469" t="s">
        <v>1854</v>
      </c>
      <c r="C469" t="s">
        <v>3870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>
        <v>4500000</v>
      </c>
      <c r="K469">
        <v>3000</v>
      </c>
      <c r="N469" t="s">
        <v>3871</v>
      </c>
      <c r="P469" t="s">
        <v>3843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3842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>
        <v>0</v>
      </c>
      <c r="K473">
        <v>0</v>
      </c>
      <c r="N473" t="s">
        <v>3871</v>
      </c>
      <c r="P473" t="s">
        <v>3843</v>
      </c>
    </row>
    <row r="474" spans="1:16" hidden="1" x14ac:dyDescent="0.25">
      <c r="A474" t="s">
        <v>3842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>
        <v>0</v>
      </c>
      <c r="K474">
        <v>0</v>
      </c>
      <c r="N474" t="s">
        <v>3871</v>
      </c>
      <c r="P474" t="s">
        <v>3843</v>
      </c>
    </row>
    <row r="475" spans="1:16" hidden="1" x14ac:dyDescent="0.25">
      <c r="A475" t="s">
        <v>3842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>
        <v>80000</v>
      </c>
      <c r="K475">
        <v>53.333333333333336</v>
      </c>
      <c r="N475" t="s">
        <v>3871</v>
      </c>
      <c r="P475" t="s">
        <v>3843</v>
      </c>
    </row>
    <row r="476" spans="1:16" hidden="1" x14ac:dyDescent="0.25">
      <c r="A476" t="s">
        <v>3842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>
        <v>98520</v>
      </c>
      <c r="K476">
        <v>65.680000000000007</v>
      </c>
      <c r="N476" t="s">
        <v>3871</v>
      </c>
      <c r="P476" t="s">
        <v>3843</v>
      </c>
    </row>
    <row r="477" spans="1:16" hidden="1" x14ac:dyDescent="0.25">
      <c r="A477" t="s">
        <v>3842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>
        <v>160000</v>
      </c>
      <c r="K477">
        <v>106.66666666666667</v>
      </c>
      <c r="L477" t="s">
        <v>3177</v>
      </c>
      <c r="N477" t="s">
        <v>3871</v>
      </c>
      <c r="P477" t="s">
        <v>3843</v>
      </c>
    </row>
    <row r="478" spans="1:16" hidden="1" x14ac:dyDescent="0.25">
      <c r="A478" t="s">
        <v>3842</v>
      </c>
      <c r="B478" t="s">
        <v>3299</v>
      </c>
      <c r="C478" t="s">
        <v>3300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>
        <v>250000</v>
      </c>
      <c r="K478">
        <v>166.66666666666666</v>
      </c>
      <c r="N478" t="s">
        <v>3871</v>
      </c>
      <c r="P478" t="s">
        <v>3843</v>
      </c>
    </row>
    <row r="479" spans="1:16" hidden="1" x14ac:dyDescent="0.25">
      <c r="A479" t="s">
        <v>3842</v>
      </c>
      <c r="B479" t="s">
        <v>3155</v>
      </c>
      <c r="C479" t="s">
        <v>3156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>
        <v>250000</v>
      </c>
      <c r="K479">
        <v>166.66666666666666</v>
      </c>
      <c r="N479" t="s">
        <v>3871</v>
      </c>
      <c r="P479" t="s">
        <v>3843</v>
      </c>
    </row>
    <row r="480" spans="1:16" hidden="1" x14ac:dyDescent="0.25">
      <c r="A480" t="s">
        <v>3842</v>
      </c>
      <c r="B480" t="s">
        <v>3169</v>
      </c>
      <c r="C480" t="s">
        <v>3170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>
        <v>300000</v>
      </c>
      <c r="K480">
        <v>200</v>
      </c>
      <c r="N480" t="s">
        <v>3871</v>
      </c>
      <c r="P480" t="s">
        <v>3843</v>
      </c>
    </row>
    <row r="481" spans="1:16" x14ac:dyDescent="0.25">
      <c r="A481" s="96" t="s">
        <v>3842</v>
      </c>
      <c r="B481" s="96" t="s">
        <v>3051</v>
      </c>
      <c r="C481" s="96" t="s">
        <v>2667</v>
      </c>
      <c r="D481" t="s">
        <v>26</v>
      </c>
      <c r="E481" t="s">
        <v>42</v>
      </c>
      <c r="F481" s="96">
        <v>2</v>
      </c>
      <c r="G481" s="96" t="s">
        <v>4</v>
      </c>
      <c r="H481" t="s">
        <v>15</v>
      </c>
      <c r="I481">
        <v>500000</v>
      </c>
      <c r="J481" s="56">
        <v>500000</v>
      </c>
      <c r="K481">
        <v>333.33333333333331</v>
      </c>
      <c r="N481" t="s">
        <v>3871</v>
      </c>
      <c r="P481" t="s">
        <v>3843</v>
      </c>
    </row>
    <row r="482" spans="1:16" x14ac:dyDescent="0.25">
      <c r="A482" s="96" t="s">
        <v>3842</v>
      </c>
      <c r="B482" s="96" t="s">
        <v>2652</v>
      </c>
      <c r="C482" s="96" t="s">
        <v>3790</v>
      </c>
      <c r="D482" t="s">
        <v>26</v>
      </c>
      <c r="E482" t="s">
        <v>42</v>
      </c>
      <c r="F482" s="96">
        <v>2</v>
      </c>
      <c r="G482" s="96" t="s">
        <v>4</v>
      </c>
      <c r="H482" t="s">
        <v>15</v>
      </c>
      <c r="I482">
        <v>500000</v>
      </c>
      <c r="J482" s="56">
        <v>500000</v>
      </c>
      <c r="K482">
        <v>333.33333333333331</v>
      </c>
      <c r="N482" t="s">
        <v>3871</v>
      </c>
      <c r="P482" t="s">
        <v>3843</v>
      </c>
    </row>
    <row r="483" spans="1:16" x14ac:dyDescent="0.25">
      <c r="A483" s="96" t="s">
        <v>3890</v>
      </c>
      <c r="B483" s="96" t="s">
        <v>1580</v>
      </c>
      <c r="C483" s="96" t="s">
        <v>3889</v>
      </c>
      <c r="D483" t="s">
        <v>26</v>
      </c>
      <c r="E483" t="s">
        <v>42</v>
      </c>
      <c r="F483" s="96">
        <v>2</v>
      </c>
      <c r="G483" s="96" t="s">
        <v>4</v>
      </c>
      <c r="H483" t="s">
        <v>15</v>
      </c>
      <c r="I483">
        <v>500000</v>
      </c>
      <c r="J483" s="56">
        <v>500000</v>
      </c>
      <c r="K483">
        <v>333.33333333333331</v>
      </c>
      <c r="N483" t="s">
        <v>3871</v>
      </c>
      <c r="P483" t="s">
        <v>3843</v>
      </c>
    </row>
    <row r="484" spans="1:16" x14ac:dyDescent="0.25">
      <c r="A484" s="96" t="s">
        <v>3842</v>
      </c>
      <c r="B484" s="96" t="s">
        <v>483</v>
      </c>
      <c r="C484" s="96" t="s">
        <v>3443</v>
      </c>
      <c r="D484" t="s">
        <v>26</v>
      </c>
      <c r="E484" t="s">
        <v>42</v>
      </c>
      <c r="F484" s="96">
        <v>2</v>
      </c>
      <c r="G484" s="96" t="s">
        <v>4</v>
      </c>
      <c r="H484" t="s">
        <v>15</v>
      </c>
      <c r="I484">
        <v>1000000</v>
      </c>
      <c r="J484" s="56">
        <v>1000000</v>
      </c>
      <c r="K484">
        <v>666.66666666666663</v>
      </c>
      <c r="N484" t="s">
        <v>3871</v>
      </c>
      <c r="P484" t="s">
        <v>3843</v>
      </c>
    </row>
    <row r="485" spans="1:16" x14ac:dyDescent="0.25">
      <c r="A485" s="96" t="s">
        <v>3842</v>
      </c>
      <c r="B485" s="96" t="s">
        <v>3597</v>
      </c>
      <c r="C485" s="96" t="s">
        <v>3875</v>
      </c>
      <c r="D485" t="s">
        <v>26</v>
      </c>
      <c r="E485" t="s">
        <v>42</v>
      </c>
      <c r="F485" s="96">
        <v>2</v>
      </c>
      <c r="G485" s="96" t="s">
        <v>4</v>
      </c>
      <c r="H485" t="s">
        <v>15</v>
      </c>
      <c r="I485">
        <v>1600000</v>
      </c>
      <c r="J485" s="56">
        <v>1600000</v>
      </c>
      <c r="K485">
        <v>1066.6666666666667</v>
      </c>
      <c r="N485" t="s">
        <v>3871</v>
      </c>
      <c r="P485" t="s">
        <v>3843</v>
      </c>
    </row>
    <row r="486" spans="1:16" x14ac:dyDescent="0.25">
      <c r="A486" s="96" t="s">
        <v>3842</v>
      </c>
      <c r="B486" s="96" t="s">
        <v>1854</v>
      </c>
      <c r="C486" s="96" t="s">
        <v>3870</v>
      </c>
      <c r="D486" t="s">
        <v>26</v>
      </c>
      <c r="E486" t="s">
        <v>42</v>
      </c>
      <c r="F486" s="96">
        <v>2</v>
      </c>
      <c r="G486" s="96" t="s">
        <v>4</v>
      </c>
      <c r="H486" t="s">
        <v>15</v>
      </c>
      <c r="I486">
        <v>4500000</v>
      </c>
      <c r="J486" s="56">
        <v>4500000</v>
      </c>
      <c r="K486">
        <v>3000</v>
      </c>
      <c r="N486" t="s">
        <v>3871</v>
      </c>
      <c r="P486" t="s">
        <v>3843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  <row r="492" spans="1:16" x14ac:dyDescent="0.25">
      <c r="A492" t="s">
        <v>7</v>
      </c>
      <c r="B492" t="s">
        <v>8</v>
      </c>
      <c r="C492" t="s">
        <v>9</v>
      </c>
      <c r="D492" t="s">
        <v>10</v>
      </c>
      <c r="E492" t="s">
        <v>11</v>
      </c>
      <c r="F492" t="s">
        <v>12</v>
      </c>
      <c r="G492" t="s">
        <v>13</v>
      </c>
      <c r="H492" t="s">
        <v>14</v>
      </c>
      <c r="I492" t="s">
        <v>15</v>
      </c>
      <c r="J492" s="2" t="s">
        <v>16</v>
      </c>
      <c r="K492" t="s">
        <v>17</v>
      </c>
      <c r="L492" t="s">
        <v>18</v>
      </c>
      <c r="M492" t="s">
        <v>19</v>
      </c>
      <c r="N492" t="s">
        <v>20</v>
      </c>
      <c r="O492" t="s">
        <v>21</v>
      </c>
      <c r="P492" t="s">
        <v>22</v>
      </c>
    </row>
    <row r="493" spans="1:16" hidden="1" x14ac:dyDescent="0.25">
      <c r="A493" t="s">
        <v>3907</v>
      </c>
      <c r="B493" t="s">
        <v>3839</v>
      </c>
      <c r="C493" t="s">
        <v>3936</v>
      </c>
      <c r="D493" t="s">
        <v>26</v>
      </c>
      <c r="E493" t="s">
        <v>62</v>
      </c>
      <c r="F493">
        <v>2</v>
      </c>
      <c r="G493" t="s">
        <v>4</v>
      </c>
      <c r="H493" t="s">
        <v>15</v>
      </c>
      <c r="I493">
        <v>79900</v>
      </c>
      <c r="J493">
        <v>79900</v>
      </c>
      <c r="K493">
        <v>52.565789473684212</v>
      </c>
      <c r="N493" t="s">
        <v>3937</v>
      </c>
      <c r="P493" t="s">
        <v>3908</v>
      </c>
    </row>
    <row r="494" spans="1:16" x14ac:dyDescent="0.25">
      <c r="A494" t="s">
        <v>3907</v>
      </c>
      <c r="B494" t="s">
        <v>2153</v>
      </c>
      <c r="C494" t="s">
        <v>155</v>
      </c>
      <c r="D494" t="s">
        <v>26</v>
      </c>
      <c r="E494" t="s">
        <v>42</v>
      </c>
      <c r="F494">
        <v>1</v>
      </c>
      <c r="G494" t="s">
        <v>4</v>
      </c>
      <c r="H494" t="s">
        <v>15</v>
      </c>
      <c r="I494">
        <v>190000</v>
      </c>
      <c r="J494" s="2">
        <v>190000</v>
      </c>
      <c r="K494">
        <v>125</v>
      </c>
      <c r="N494" t="s">
        <v>3937</v>
      </c>
      <c r="P494" t="s">
        <v>3908</v>
      </c>
    </row>
    <row r="495" spans="1:16" x14ac:dyDescent="0.25">
      <c r="A495" t="s">
        <v>3907</v>
      </c>
      <c r="B495" t="s">
        <v>3299</v>
      </c>
      <c r="C495" t="s">
        <v>3300</v>
      </c>
      <c r="D495" t="s">
        <v>26</v>
      </c>
      <c r="E495" t="s">
        <v>42</v>
      </c>
      <c r="F495">
        <v>1</v>
      </c>
      <c r="G495" t="s">
        <v>4</v>
      </c>
      <c r="H495" t="s">
        <v>15</v>
      </c>
      <c r="I495">
        <v>250000</v>
      </c>
      <c r="J495" s="2">
        <v>250000</v>
      </c>
      <c r="K495">
        <v>164.47368421052633</v>
      </c>
      <c r="N495" t="s">
        <v>3937</v>
      </c>
      <c r="P495" t="s">
        <v>3908</v>
      </c>
    </row>
    <row r="496" spans="1:16" x14ac:dyDescent="0.25">
      <c r="A496" t="s">
        <v>3907</v>
      </c>
      <c r="B496" t="s">
        <v>3155</v>
      </c>
      <c r="C496" t="s">
        <v>3156</v>
      </c>
      <c r="D496" t="s">
        <v>26</v>
      </c>
      <c r="E496" t="s">
        <v>42</v>
      </c>
      <c r="F496">
        <v>1</v>
      </c>
      <c r="G496" t="s">
        <v>4</v>
      </c>
      <c r="H496" t="s">
        <v>15</v>
      </c>
      <c r="I496">
        <v>250000</v>
      </c>
      <c r="J496" s="2">
        <v>250000</v>
      </c>
      <c r="K496">
        <v>164.47368421052633</v>
      </c>
      <c r="N496" t="s">
        <v>3937</v>
      </c>
      <c r="P496" t="s">
        <v>3908</v>
      </c>
    </row>
    <row r="497" spans="1:16" hidden="1" x14ac:dyDescent="0.25">
      <c r="A497" t="s">
        <v>3907</v>
      </c>
      <c r="B497" t="s">
        <v>1580</v>
      </c>
      <c r="C497" t="s">
        <v>3206</v>
      </c>
      <c r="D497" t="s">
        <v>26</v>
      </c>
      <c r="E497" t="s">
        <v>62</v>
      </c>
      <c r="F497">
        <v>2</v>
      </c>
      <c r="G497" t="s">
        <v>4</v>
      </c>
      <c r="H497" t="s">
        <v>15</v>
      </c>
      <c r="I497">
        <v>500000</v>
      </c>
      <c r="J497">
        <v>500000</v>
      </c>
      <c r="K497">
        <v>328.94736842105266</v>
      </c>
      <c r="N497" t="s">
        <v>3937</v>
      </c>
      <c r="P497" t="s">
        <v>3908</v>
      </c>
    </row>
    <row r="498" spans="1:16" hidden="1" x14ac:dyDescent="0.25">
      <c r="A498" t="s">
        <v>3907</v>
      </c>
      <c r="B498" t="s">
        <v>3432</v>
      </c>
      <c r="C498" t="s">
        <v>3936</v>
      </c>
      <c r="D498" t="s">
        <v>26</v>
      </c>
      <c r="E498" t="s">
        <v>62</v>
      </c>
      <c r="F498">
        <v>2</v>
      </c>
      <c r="G498" t="s">
        <v>4</v>
      </c>
      <c r="H498" t="s">
        <v>15</v>
      </c>
      <c r="I498">
        <v>656200</v>
      </c>
      <c r="J498">
        <v>656200</v>
      </c>
      <c r="K498">
        <v>431.71052631578948</v>
      </c>
      <c r="N498" t="s">
        <v>3937</v>
      </c>
      <c r="P498" t="s">
        <v>3908</v>
      </c>
    </row>
    <row r="499" spans="1:16" hidden="1" x14ac:dyDescent="0.25">
      <c r="A499" t="s">
        <v>3907</v>
      </c>
      <c r="B499" t="s">
        <v>1760</v>
      </c>
      <c r="C499" t="s">
        <v>2098</v>
      </c>
      <c r="D499" t="s">
        <v>26</v>
      </c>
      <c r="E499" t="s">
        <v>62</v>
      </c>
      <c r="F499">
        <v>2</v>
      </c>
      <c r="G499" t="s">
        <v>4</v>
      </c>
      <c r="H499" t="s">
        <v>15</v>
      </c>
      <c r="I499">
        <v>1000000</v>
      </c>
      <c r="J499">
        <v>1000000</v>
      </c>
      <c r="K499">
        <v>657.89473684210532</v>
      </c>
      <c r="N499" t="s">
        <v>3937</v>
      </c>
      <c r="P499" t="s">
        <v>3908</v>
      </c>
    </row>
    <row r="500" spans="1:16" hidden="1" x14ac:dyDescent="0.25">
      <c r="A500" t="s">
        <v>3907</v>
      </c>
      <c r="B500" t="s">
        <v>2728</v>
      </c>
      <c r="C500" t="s">
        <v>3936</v>
      </c>
      <c r="D500" t="s">
        <v>26</v>
      </c>
      <c r="E500" t="s">
        <v>62</v>
      </c>
      <c r="F500">
        <v>2</v>
      </c>
      <c r="G500" t="s">
        <v>4</v>
      </c>
      <c r="H500" t="s">
        <v>15</v>
      </c>
      <c r="I500">
        <v>1011000</v>
      </c>
      <c r="J500">
        <v>1011000</v>
      </c>
      <c r="K500">
        <v>665.13157894736844</v>
      </c>
      <c r="N500" t="s">
        <v>3937</v>
      </c>
      <c r="P500" t="s">
        <v>3908</v>
      </c>
    </row>
    <row r="501" spans="1:16" hidden="1" x14ac:dyDescent="0.25">
      <c r="A501" t="s">
        <v>3907</v>
      </c>
      <c r="B501" t="s">
        <v>2652</v>
      </c>
      <c r="C501" t="s">
        <v>3790</v>
      </c>
      <c r="D501" t="s">
        <v>26</v>
      </c>
      <c r="E501" t="s">
        <v>42</v>
      </c>
      <c r="F501">
        <v>2</v>
      </c>
      <c r="G501" t="s">
        <v>4</v>
      </c>
      <c r="H501" t="s">
        <v>15</v>
      </c>
      <c r="I501">
        <v>1144000</v>
      </c>
      <c r="J501">
        <v>1144000</v>
      </c>
      <c r="K501">
        <v>752.63157894736844</v>
      </c>
      <c r="N501" t="s">
        <v>3937</v>
      </c>
      <c r="P501" t="s">
        <v>3908</v>
      </c>
    </row>
    <row r="502" spans="1:16" x14ac:dyDescent="0.25">
      <c r="A502" t="s">
        <v>3907</v>
      </c>
      <c r="B502" t="s">
        <v>3020</v>
      </c>
      <c r="C502" t="s">
        <v>3879</v>
      </c>
      <c r="D502" t="s">
        <v>26</v>
      </c>
      <c r="E502" t="s">
        <v>62</v>
      </c>
      <c r="F502">
        <v>1</v>
      </c>
      <c r="G502" t="s">
        <v>4</v>
      </c>
      <c r="H502" t="s">
        <v>15</v>
      </c>
      <c r="I502">
        <v>2148760.2000000002</v>
      </c>
      <c r="J502" s="2">
        <v>0</v>
      </c>
      <c r="K502">
        <v>1413.6580263157896</v>
      </c>
      <c r="N502" t="s">
        <v>3937</v>
      </c>
      <c r="P502" t="s">
        <v>3908</v>
      </c>
    </row>
    <row r="503" spans="1:16" x14ac:dyDescent="0.25">
      <c r="J503" s="2">
        <f>SUBTOTAL(109,Tabla1228[Importe AR$])</f>
        <v>690000</v>
      </c>
    </row>
    <row r="504" spans="1:16" ht="5.25" customHeight="1" x14ac:dyDescent="0.25"/>
    <row r="505" spans="1:16" x14ac:dyDescent="0.25">
      <c r="A505" t="s">
        <v>7</v>
      </c>
      <c r="B505" t="s">
        <v>8</v>
      </c>
      <c r="C505" t="s">
        <v>9</v>
      </c>
      <c r="D505" t="s">
        <v>10</v>
      </c>
      <c r="E505" t="s">
        <v>11</v>
      </c>
      <c r="F505" t="s">
        <v>12</v>
      </c>
      <c r="G505" t="s">
        <v>13</v>
      </c>
      <c r="H505" t="s">
        <v>14</v>
      </c>
      <c r="I505" t="s">
        <v>15</v>
      </c>
      <c r="J505" s="2" t="s">
        <v>16</v>
      </c>
      <c r="K505" t="s">
        <v>17</v>
      </c>
      <c r="L505" t="s">
        <v>18</v>
      </c>
      <c r="M505" t="s">
        <v>19</v>
      </c>
      <c r="N505" t="s">
        <v>20</v>
      </c>
      <c r="O505" t="s">
        <v>21</v>
      </c>
      <c r="P505" t="s">
        <v>22</v>
      </c>
    </row>
    <row r="506" spans="1:16" x14ac:dyDescent="0.25">
      <c r="A506" s="96" t="s">
        <v>3907</v>
      </c>
      <c r="B506" s="96" t="s">
        <v>3839</v>
      </c>
      <c r="C506" s="96" t="s">
        <v>3936</v>
      </c>
      <c r="D506" s="96" t="s">
        <v>26</v>
      </c>
      <c r="E506" s="96" t="s">
        <v>62</v>
      </c>
      <c r="F506" s="96">
        <v>2</v>
      </c>
      <c r="G506" s="96" t="s">
        <v>4</v>
      </c>
      <c r="H506" s="96" t="s">
        <v>15</v>
      </c>
      <c r="I506" s="96">
        <v>79900</v>
      </c>
      <c r="J506" s="56">
        <v>500000</v>
      </c>
      <c r="K506">
        <v>52.565789473684212</v>
      </c>
      <c r="N506" t="s">
        <v>3937</v>
      </c>
      <c r="P506" t="s">
        <v>3908</v>
      </c>
    </row>
    <row r="507" spans="1:16" x14ac:dyDescent="0.25">
      <c r="A507" s="96" t="s">
        <v>3907</v>
      </c>
      <c r="B507" s="96" t="s">
        <v>1580</v>
      </c>
      <c r="C507" s="96" t="s">
        <v>3206</v>
      </c>
      <c r="D507" s="96" t="s">
        <v>26</v>
      </c>
      <c r="E507" s="96" t="s">
        <v>62</v>
      </c>
      <c r="F507" s="96">
        <v>2</v>
      </c>
      <c r="G507" s="96" t="s">
        <v>4</v>
      </c>
      <c r="H507" s="96" t="s">
        <v>15</v>
      </c>
      <c r="I507" s="96">
        <v>500000</v>
      </c>
      <c r="J507" s="56">
        <v>500000</v>
      </c>
      <c r="K507">
        <v>328.94736842105266</v>
      </c>
      <c r="N507" t="s">
        <v>3937</v>
      </c>
      <c r="P507" t="s">
        <v>3908</v>
      </c>
    </row>
    <row r="508" spans="1:16" x14ac:dyDescent="0.25">
      <c r="A508" s="96" t="s">
        <v>3907</v>
      </c>
      <c r="B508" s="96" t="s">
        <v>3432</v>
      </c>
      <c r="C508" s="96" t="s">
        <v>3936</v>
      </c>
      <c r="D508" s="96" t="s">
        <v>26</v>
      </c>
      <c r="E508" s="96" t="s">
        <v>62</v>
      </c>
      <c r="F508" s="96">
        <v>2</v>
      </c>
      <c r="G508" s="96" t="s">
        <v>4</v>
      </c>
      <c r="H508" s="96" t="s">
        <v>15</v>
      </c>
      <c r="I508" s="96">
        <v>656200</v>
      </c>
      <c r="J508" s="56">
        <v>656200</v>
      </c>
      <c r="K508">
        <v>431.71052631578948</v>
      </c>
      <c r="N508" t="s">
        <v>3937</v>
      </c>
      <c r="P508" t="s">
        <v>3908</v>
      </c>
    </row>
    <row r="509" spans="1:16" x14ac:dyDescent="0.25">
      <c r="A509" s="96" t="s">
        <v>3907</v>
      </c>
      <c r="B509" s="96" t="s">
        <v>1760</v>
      </c>
      <c r="C509" s="96" t="s">
        <v>2098</v>
      </c>
      <c r="D509" t="s">
        <v>26</v>
      </c>
      <c r="E509" t="s">
        <v>62</v>
      </c>
      <c r="F509" s="96">
        <v>2</v>
      </c>
      <c r="G509" s="96" t="s">
        <v>4</v>
      </c>
      <c r="H509" t="s">
        <v>15</v>
      </c>
      <c r="I509">
        <v>1000000</v>
      </c>
      <c r="J509" s="56">
        <v>1000000</v>
      </c>
      <c r="K509">
        <v>657.89473684210532</v>
      </c>
      <c r="N509" t="s">
        <v>3937</v>
      </c>
      <c r="P509" t="s">
        <v>3908</v>
      </c>
    </row>
    <row r="510" spans="1:16" x14ac:dyDescent="0.25">
      <c r="A510" t="s">
        <v>3907</v>
      </c>
      <c r="B510" t="s">
        <v>3975</v>
      </c>
      <c r="F510">
        <v>2</v>
      </c>
      <c r="G510" t="s">
        <v>4</v>
      </c>
      <c r="J510" s="2">
        <v>2000000</v>
      </c>
    </row>
    <row r="511" spans="1:16" x14ac:dyDescent="0.25">
      <c r="A511" t="s">
        <v>3907</v>
      </c>
      <c r="B511" t="s">
        <v>2652</v>
      </c>
      <c r="C511" t="s">
        <v>3790</v>
      </c>
      <c r="D511" t="s">
        <v>26</v>
      </c>
      <c r="E511" t="s">
        <v>42</v>
      </c>
      <c r="F511">
        <v>2</v>
      </c>
      <c r="G511" t="s">
        <v>4</v>
      </c>
      <c r="H511" t="s">
        <v>15</v>
      </c>
      <c r="I511">
        <v>1144000</v>
      </c>
      <c r="J511" s="2">
        <v>500000</v>
      </c>
    </row>
    <row r="512" spans="1:16" x14ac:dyDescent="0.25">
      <c r="B512" t="s">
        <v>3987</v>
      </c>
      <c r="J512" s="2">
        <v>500000</v>
      </c>
    </row>
    <row r="513" spans="1:16" x14ac:dyDescent="0.25">
      <c r="B513" t="s">
        <v>3988</v>
      </c>
      <c r="J513" s="2">
        <v>500000</v>
      </c>
    </row>
    <row r="515" spans="1:16" x14ac:dyDescent="0.25">
      <c r="J515" s="8">
        <f>SUBTOTAL(109,Tabla1229[Importe AR$])</f>
        <v>6156200</v>
      </c>
    </row>
    <row r="516" spans="1:16" ht="6" customHeight="1" x14ac:dyDescent="0.25"/>
    <row r="517" spans="1:16" x14ac:dyDescent="0.25">
      <c r="G517" s="25" t="s">
        <v>26</v>
      </c>
      <c r="H517" s="25"/>
      <c r="I517" s="25"/>
      <c r="J517" s="4">
        <f>Tabla1229[[#Totals],[Importe AR$]]+Tabla1228[[#Totals],[Importe AR$]]</f>
        <v>6846200</v>
      </c>
    </row>
    <row r="519" spans="1:16" x14ac:dyDescent="0.25">
      <c r="A519" t="s">
        <v>7</v>
      </c>
      <c r="B519" t="s">
        <v>8</v>
      </c>
      <c r="C519" t="s">
        <v>9</v>
      </c>
      <c r="D519" t="s">
        <v>10</v>
      </c>
      <c r="E519" t="s">
        <v>11</v>
      </c>
      <c r="F519" t="s">
        <v>12</v>
      </c>
      <c r="G519" t="s">
        <v>13</v>
      </c>
      <c r="H519" t="s">
        <v>14</v>
      </c>
      <c r="I519" t="s">
        <v>15</v>
      </c>
      <c r="J519" t="s">
        <v>16</v>
      </c>
      <c r="K519" t="s">
        <v>17</v>
      </c>
      <c r="L519" t="s">
        <v>18</v>
      </c>
      <c r="M519" t="s">
        <v>19</v>
      </c>
      <c r="N519" t="s">
        <v>20</v>
      </c>
      <c r="O519" t="s">
        <v>21</v>
      </c>
      <c r="P519" t="s">
        <v>22</v>
      </c>
    </row>
    <row r="520" spans="1:16" x14ac:dyDescent="0.25">
      <c r="A520" t="s">
        <v>3990</v>
      </c>
      <c r="B520" t="s">
        <v>2153</v>
      </c>
      <c r="C520" t="s">
        <v>155</v>
      </c>
      <c r="D520" t="s">
        <v>26</v>
      </c>
      <c r="E520" t="s">
        <v>42</v>
      </c>
      <c r="F520">
        <v>1</v>
      </c>
      <c r="G520" t="s">
        <v>4</v>
      </c>
      <c r="H520" t="s">
        <v>15</v>
      </c>
      <c r="I520">
        <v>50005</v>
      </c>
      <c r="J520">
        <v>50005</v>
      </c>
      <c r="K520">
        <v>33.006600660066006</v>
      </c>
      <c r="N520" t="s">
        <v>4008</v>
      </c>
      <c r="P520" t="s">
        <v>3991</v>
      </c>
    </row>
    <row r="521" spans="1:16" x14ac:dyDescent="0.25">
      <c r="A521" t="s">
        <v>3990</v>
      </c>
      <c r="B521" t="s">
        <v>3788</v>
      </c>
      <c r="C521" t="s">
        <v>4003</v>
      </c>
      <c r="D521" t="s">
        <v>26</v>
      </c>
      <c r="E521" t="s">
        <v>42</v>
      </c>
      <c r="F521">
        <v>1</v>
      </c>
      <c r="G521" t="s">
        <v>4</v>
      </c>
      <c r="H521" t="s">
        <v>15</v>
      </c>
      <c r="I521">
        <v>67001.820000000007</v>
      </c>
      <c r="J521">
        <v>67001.820000000007</v>
      </c>
      <c r="K521">
        <v>44.225623762376244</v>
      </c>
      <c r="N521" t="s">
        <v>4008</v>
      </c>
      <c r="P521" t="s">
        <v>3991</v>
      </c>
    </row>
    <row r="522" spans="1:16" x14ac:dyDescent="0.25">
      <c r="A522" t="s">
        <v>3990</v>
      </c>
      <c r="B522" t="s">
        <v>3048</v>
      </c>
      <c r="C522" t="s">
        <v>155</v>
      </c>
      <c r="D522" t="s">
        <v>26</v>
      </c>
      <c r="E522" t="s">
        <v>42</v>
      </c>
      <c r="F522">
        <v>1</v>
      </c>
      <c r="G522" t="s">
        <v>4</v>
      </c>
      <c r="H522" t="s">
        <v>15</v>
      </c>
      <c r="I522">
        <v>80000</v>
      </c>
      <c r="J522">
        <v>80000</v>
      </c>
      <c r="K522">
        <v>52.805280528052805</v>
      </c>
      <c r="N522" t="s">
        <v>4008</v>
      </c>
      <c r="P522" t="s">
        <v>3991</v>
      </c>
    </row>
    <row r="523" spans="1:16" x14ac:dyDescent="0.25">
      <c r="A523" t="s">
        <v>3990</v>
      </c>
      <c r="B523" t="s">
        <v>1571</v>
      </c>
      <c r="C523" t="s">
        <v>155</v>
      </c>
      <c r="D523" t="s">
        <v>26</v>
      </c>
      <c r="E523" t="s">
        <v>42</v>
      </c>
      <c r="F523">
        <v>1</v>
      </c>
      <c r="G523" t="s">
        <v>4</v>
      </c>
      <c r="H523" t="s">
        <v>15</v>
      </c>
      <c r="I523">
        <v>190000</v>
      </c>
      <c r="J523">
        <v>190000</v>
      </c>
      <c r="K523">
        <v>125.41254125412541</v>
      </c>
      <c r="N523" t="s">
        <v>4008</v>
      </c>
      <c r="P523" t="s">
        <v>3991</v>
      </c>
    </row>
    <row r="524" spans="1:16" x14ac:dyDescent="0.25">
      <c r="A524" t="s">
        <v>3990</v>
      </c>
      <c r="B524" t="s">
        <v>483</v>
      </c>
      <c r="C524" t="s">
        <v>155</v>
      </c>
      <c r="D524" t="s">
        <v>26</v>
      </c>
      <c r="E524" t="s">
        <v>42</v>
      </c>
      <c r="F524">
        <v>1</v>
      </c>
      <c r="G524" t="s">
        <v>4</v>
      </c>
      <c r="H524" t="s">
        <v>15</v>
      </c>
      <c r="I524">
        <v>190000</v>
      </c>
      <c r="J524">
        <v>190000</v>
      </c>
      <c r="K524">
        <v>125.41254125412541</v>
      </c>
      <c r="N524" t="s">
        <v>4008</v>
      </c>
      <c r="P524" t="s">
        <v>3991</v>
      </c>
    </row>
    <row r="525" spans="1:16" x14ac:dyDescent="0.25">
      <c r="A525" t="s">
        <v>3990</v>
      </c>
      <c r="B525" t="s">
        <v>3299</v>
      </c>
      <c r="C525" t="s">
        <v>3300</v>
      </c>
      <c r="D525" t="s">
        <v>26</v>
      </c>
      <c r="E525" t="s">
        <v>42</v>
      </c>
      <c r="F525">
        <v>1</v>
      </c>
      <c r="G525" t="s">
        <v>4</v>
      </c>
      <c r="H525" t="s">
        <v>15</v>
      </c>
      <c r="I525">
        <v>250000</v>
      </c>
      <c r="J525">
        <v>250000</v>
      </c>
      <c r="K525">
        <v>165.01650165016503</v>
      </c>
      <c r="N525" t="s">
        <v>4008</v>
      </c>
      <c r="P525" t="s">
        <v>3991</v>
      </c>
    </row>
    <row r="526" spans="1:16" x14ac:dyDescent="0.25">
      <c r="A526" t="s">
        <v>3990</v>
      </c>
      <c r="B526" t="s">
        <v>3155</v>
      </c>
      <c r="C526" t="s">
        <v>3156</v>
      </c>
      <c r="D526" t="s">
        <v>26</v>
      </c>
      <c r="E526" t="s">
        <v>42</v>
      </c>
      <c r="F526">
        <v>1</v>
      </c>
      <c r="G526" t="s">
        <v>4</v>
      </c>
      <c r="H526" t="s">
        <v>15</v>
      </c>
      <c r="I526">
        <v>250000</v>
      </c>
      <c r="J526">
        <v>250000</v>
      </c>
      <c r="K526">
        <v>165.01650165016503</v>
      </c>
      <c r="N526" t="s">
        <v>4008</v>
      </c>
      <c r="P526" t="s">
        <v>3991</v>
      </c>
    </row>
    <row r="527" spans="1:16" hidden="1" x14ac:dyDescent="0.25">
      <c r="A527" t="s">
        <v>3990</v>
      </c>
      <c r="B527" t="s">
        <v>2652</v>
      </c>
      <c r="C527" t="s">
        <v>3790</v>
      </c>
      <c r="D527" t="s">
        <v>26</v>
      </c>
      <c r="E527" t="s">
        <v>62</v>
      </c>
      <c r="F527">
        <v>2</v>
      </c>
      <c r="G527" t="s">
        <v>4</v>
      </c>
      <c r="H527" t="s">
        <v>15</v>
      </c>
      <c r="I527">
        <v>500000</v>
      </c>
      <c r="J527">
        <v>500000</v>
      </c>
      <c r="K527">
        <v>330.03300330033005</v>
      </c>
      <c r="N527" t="s">
        <v>4008</v>
      </c>
      <c r="P527" t="s">
        <v>3991</v>
      </c>
    </row>
    <row r="528" spans="1:16" hidden="1" x14ac:dyDescent="0.25">
      <c r="A528" t="s">
        <v>3990</v>
      </c>
      <c r="B528" t="s">
        <v>4004</v>
      </c>
      <c r="C528" t="s">
        <v>4005</v>
      </c>
      <c r="D528" t="s">
        <v>26</v>
      </c>
      <c r="E528" t="s">
        <v>42</v>
      </c>
      <c r="F528">
        <v>2</v>
      </c>
      <c r="G528" t="s">
        <v>4</v>
      </c>
      <c r="H528" t="s">
        <v>15</v>
      </c>
      <c r="I528">
        <v>1000000</v>
      </c>
      <c r="J528">
        <v>1000000</v>
      </c>
      <c r="K528">
        <v>660.0660066006601</v>
      </c>
      <c r="N528" t="s">
        <v>4008</v>
      </c>
      <c r="P528" t="s">
        <v>3991</v>
      </c>
    </row>
    <row r="529" spans="1:16" hidden="1" x14ac:dyDescent="0.25">
      <c r="A529" t="s">
        <v>3990</v>
      </c>
      <c r="B529" t="s">
        <v>3051</v>
      </c>
      <c r="C529" t="s">
        <v>2667</v>
      </c>
      <c r="D529" t="s">
        <v>26</v>
      </c>
      <c r="E529" t="s">
        <v>3955</v>
      </c>
      <c r="F529">
        <v>2</v>
      </c>
      <c r="G529" t="s">
        <v>4</v>
      </c>
      <c r="H529" t="s">
        <v>15</v>
      </c>
      <c r="I529">
        <v>1000000</v>
      </c>
      <c r="J529">
        <v>1000000</v>
      </c>
      <c r="K529">
        <v>660.0660066006601</v>
      </c>
      <c r="N529" t="s">
        <v>4008</v>
      </c>
      <c r="P529" t="s">
        <v>3991</v>
      </c>
    </row>
    <row r="530" spans="1:16" hidden="1" x14ac:dyDescent="0.25">
      <c r="A530" t="s">
        <v>3990</v>
      </c>
      <c r="B530" t="s">
        <v>2922</v>
      </c>
      <c r="C530" t="s">
        <v>3530</v>
      </c>
      <c r="D530" t="s">
        <v>61</v>
      </c>
      <c r="E530" t="s">
        <v>62</v>
      </c>
      <c r="F530">
        <v>2</v>
      </c>
      <c r="G530" t="s">
        <v>4</v>
      </c>
      <c r="H530" t="s">
        <v>15</v>
      </c>
      <c r="I530">
        <v>1000000</v>
      </c>
      <c r="J530">
        <v>1000000</v>
      </c>
      <c r="K530">
        <v>660.0660066006601</v>
      </c>
      <c r="N530" t="s">
        <v>4008</v>
      </c>
      <c r="P530" t="s">
        <v>3991</v>
      </c>
    </row>
    <row r="531" spans="1:16" hidden="1" x14ac:dyDescent="0.25">
      <c r="A531" t="s">
        <v>3990</v>
      </c>
      <c r="B531" t="s">
        <v>40</v>
      </c>
      <c r="C531" t="s">
        <v>2667</v>
      </c>
      <c r="D531" t="s">
        <v>61</v>
      </c>
      <c r="E531" t="s">
        <v>3955</v>
      </c>
      <c r="F531">
        <v>2</v>
      </c>
      <c r="G531" t="s">
        <v>4</v>
      </c>
      <c r="H531" t="s">
        <v>15</v>
      </c>
      <c r="I531">
        <v>1000000</v>
      </c>
      <c r="J531">
        <v>1000000</v>
      </c>
      <c r="K531">
        <v>660.0660066006601</v>
      </c>
      <c r="N531" t="s">
        <v>4008</v>
      </c>
      <c r="P531" t="s">
        <v>3991</v>
      </c>
    </row>
    <row r="532" spans="1:16" hidden="1" x14ac:dyDescent="0.25">
      <c r="A532" t="s">
        <v>3990</v>
      </c>
      <c r="B532" t="s">
        <v>2728</v>
      </c>
      <c r="C532" t="s">
        <v>3936</v>
      </c>
      <c r="D532" t="s">
        <v>26</v>
      </c>
      <c r="E532" t="s">
        <v>62</v>
      </c>
      <c r="F532">
        <v>2</v>
      </c>
      <c r="G532" t="s">
        <v>4</v>
      </c>
      <c r="H532" t="s">
        <v>15</v>
      </c>
      <c r="I532">
        <v>1011000</v>
      </c>
      <c r="J532">
        <v>1011000</v>
      </c>
      <c r="K532">
        <v>667.32673267326732</v>
      </c>
      <c r="N532" t="s">
        <v>4008</v>
      </c>
      <c r="P532" t="s">
        <v>3991</v>
      </c>
    </row>
    <row r="533" spans="1:16" hidden="1" x14ac:dyDescent="0.25">
      <c r="A533" t="s">
        <v>3990</v>
      </c>
      <c r="B533" t="s">
        <v>1854</v>
      </c>
      <c r="C533" t="s">
        <v>2667</v>
      </c>
      <c r="D533" t="s">
        <v>26</v>
      </c>
      <c r="E533" t="s">
        <v>3955</v>
      </c>
      <c r="F533">
        <v>2</v>
      </c>
      <c r="G533" t="s">
        <v>4</v>
      </c>
      <c r="H533" t="s">
        <v>15</v>
      </c>
      <c r="I533">
        <v>3000000</v>
      </c>
      <c r="J533">
        <v>3000000</v>
      </c>
      <c r="K533">
        <v>1980.1980198019803</v>
      </c>
      <c r="N533" t="s">
        <v>4008</v>
      </c>
      <c r="P533" t="s">
        <v>3991</v>
      </c>
    </row>
    <row r="534" spans="1:16" x14ac:dyDescent="0.25">
      <c r="J534" s="2">
        <f>SUBTOTAL(109,Tabla1230[Importe AR$])</f>
        <v>1077006.82</v>
      </c>
    </row>
    <row r="536" spans="1:16" x14ac:dyDescent="0.25">
      <c r="A536" t="s">
        <v>7</v>
      </c>
      <c r="B536" t="s">
        <v>8</v>
      </c>
      <c r="C536" t="s">
        <v>9</v>
      </c>
      <c r="D536" t="s">
        <v>10</v>
      </c>
      <c r="E536" t="s">
        <v>11</v>
      </c>
      <c r="F536" t="s">
        <v>12</v>
      </c>
      <c r="G536" t="s">
        <v>13</v>
      </c>
      <c r="H536" t="s">
        <v>14</v>
      </c>
      <c r="I536" t="s">
        <v>15</v>
      </c>
      <c r="J536" t="s">
        <v>16</v>
      </c>
      <c r="K536" t="s">
        <v>17</v>
      </c>
      <c r="L536" t="s">
        <v>18</v>
      </c>
      <c r="M536" t="s">
        <v>19</v>
      </c>
      <c r="N536" t="s">
        <v>20</v>
      </c>
      <c r="O536" t="s">
        <v>21</v>
      </c>
      <c r="P536" t="s">
        <v>22</v>
      </c>
    </row>
    <row r="537" spans="1:16" hidden="1" x14ac:dyDescent="0.25">
      <c r="A537" t="s">
        <v>3990</v>
      </c>
      <c r="B537" t="s">
        <v>2153</v>
      </c>
      <c r="C537" t="s">
        <v>155</v>
      </c>
      <c r="D537" t="s">
        <v>26</v>
      </c>
      <c r="E537" t="s">
        <v>42</v>
      </c>
      <c r="F537">
        <v>1</v>
      </c>
      <c r="G537" t="s">
        <v>4</v>
      </c>
      <c r="H537" t="s">
        <v>15</v>
      </c>
      <c r="I537">
        <v>50005</v>
      </c>
      <c r="J537">
        <v>50005</v>
      </c>
      <c r="K537">
        <v>33.006600660066006</v>
      </c>
      <c r="N537" t="s">
        <v>4008</v>
      </c>
      <c r="P537" t="s">
        <v>3991</v>
      </c>
    </row>
    <row r="538" spans="1:16" hidden="1" x14ac:dyDescent="0.25">
      <c r="A538" t="s">
        <v>3990</v>
      </c>
      <c r="B538" t="s">
        <v>3788</v>
      </c>
      <c r="C538" t="s">
        <v>4003</v>
      </c>
      <c r="D538" t="s">
        <v>26</v>
      </c>
      <c r="E538" t="s">
        <v>42</v>
      </c>
      <c r="F538">
        <v>1</v>
      </c>
      <c r="G538" t="s">
        <v>4</v>
      </c>
      <c r="H538" t="s">
        <v>15</v>
      </c>
      <c r="I538">
        <v>67001.820000000007</v>
      </c>
      <c r="J538">
        <v>67001.820000000007</v>
      </c>
      <c r="K538">
        <v>44.225623762376244</v>
      </c>
      <c r="N538" t="s">
        <v>4008</v>
      </c>
      <c r="P538" t="s">
        <v>3991</v>
      </c>
    </row>
    <row r="539" spans="1:16" hidden="1" x14ac:dyDescent="0.25">
      <c r="A539" t="s">
        <v>3990</v>
      </c>
      <c r="B539" t="s">
        <v>3048</v>
      </c>
      <c r="C539" t="s">
        <v>155</v>
      </c>
      <c r="D539" t="s">
        <v>26</v>
      </c>
      <c r="E539" t="s">
        <v>42</v>
      </c>
      <c r="F539">
        <v>1</v>
      </c>
      <c r="G539" t="s">
        <v>4</v>
      </c>
      <c r="H539" t="s">
        <v>15</v>
      </c>
      <c r="I539">
        <v>80000</v>
      </c>
      <c r="J539">
        <v>80000</v>
      </c>
      <c r="K539">
        <v>52.805280528052805</v>
      </c>
      <c r="N539" t="s">
        <v>4008</v>
      </c>
      <c r="P539" t="s">
        <v>3991</v>
      </c>
    </row>
    <row r="540" spans="1:16" hidden="1" x14ac:dyDescent="0.25">
      <c r="A540" t="s">
        <v>3990</v>
      </c>
      <c r="B540" t="s">
        <v>1571</v>
      </c>
      <c r="C540" t="s">
        <v>155</v>
      </c>
      <c r="D540" t="s">
        <v>26</v>
      </c>
      <c r="E540" t="s">
        <v>42</v>
      </c>
      <c r="F540">
        <v>1</v>
      </c>
      <c r="G540" t="s">
        <v>4</v>
      </c>
      <c r="H540" t="s">
        <v>15</v>
      </c>
      <c r="I540">
        <v>190000</v>
      </c>
      <c r="J540">
        <v>190000</v>
      </c>
      <c r="K540">
        <v>125.41254125412541</v>
      </c>
      <c r="N540" t="s">
        <v>4008</v>
      </c>
      <c r="P540" t="s">
        <v>3991</v>
      </c>
    </row>
    <row r="541" spans="1:16" hidden="1" x14ac:dyDescent="0.25">
      <c r="A541" t="s">
        <v>3990</v>
      </c>
      <c r="B541" t="s">
        <v>483</v>
      </c>
      <c r="C541" t="s">
        <v>155</v>
      </c>
      <c r="D541" t="s">
        <v>26</v>
      </c>
      <c r="E541" t="s">
        <v>42</v>
      </c>
      <c r="F541">
        <v>1</v>
      </c>
      <c r="G541" t="s">
        <v>4</v>
      </c>
      <c r="H541" t="s">
        <v>15</v>
      </c>
      <c r="I541">
        <v>190000</v>
      </c>
      <c r="J541">
        <v>190000</v>
      </c>
      <c r="K541">
        <v>125.41254125412541</v>
      </c>
      <c r="N541" t="s">
        <v>4008</v>
      </c>
      <c r="P541" t="s">
        <v>3991</v>
      </c>
    </row>
    <row r="542" spans="1:16" hidden="1" x14ac:dyDescent="0.25">
      <c r="A542" t="s">
        <v>3990</v>
      </c>
      <c r="B542" t="s">
        <v>3299</v>
      </c>
      <c r="C542" t="s">
        <v>3300</v>
      </c>
      <c r="D542" t="s">
        <v>26</v>
      </c>
      <c r="E542" t="s">
        <v>42</v>
      </c>
      <c r="F542">
        <v>1</v>
      </c>
      <c r="G542" t="s">
        <v>4</v>
      </c>
      <c r="H542" t="s">
        <v>15</v>
      </c>
      <c r="I542">
        <v>250000</v>
      </c>
      <c r="J542">
        <v>250000</v>
      </c>
      <c r="K542">
        <v>165.01650165016503</v>
      </c>
      <c r="N542" t="s">
        <v>4008</v>
      </c>
      <c r="P542" t="s">
        <v>3991</v>
      </c>
    </row>
    <row r="543" spans="1:16" hidden="1" x14ac:dyDescent="0.25">
      <c r="A543" t="s">
        <v>3990</v>
      </c>
      <c r="B543" t="s">
        <v>3155</v>
      </c>
      <c r="C543" t="s">
        <v>3156</v>
      </c>
      <c r="D543" t="s">
        <v>26</v>
      </c>
      <c r="E543" t="s">
        <v>42</v>
      </c>
      <c r="F543">
        <v>1</v>
      </c>
      <c r="G543" t="s">
        <v>4</v>
      </c>
      <c r="H543" t="s">
        <v>15</v>
      </c>
      <c r="I543">
        <v>250000</v>
      </c>
      <c r="J543">
        <v>250000</v>
      </c>
      <c r="K543">
        <v>165.01650165016503</v>
      </c>
      <c r="N543" t="s">
        <v>4008</v>
      </c>
      <c r="P543" t="s">
        <v>3991</v>
      </c>
    </row>
    <row r="544" spans="1:16" x14ac:dyDescent="0.25">
      <c r="A544" t="s">
        <v>3990</v>
      </c>
      <c r="B544" t="s">
        <v>2652</v>
      </c>
      <c r="C544" t="s">
        <v>3790</v>
      </c>
      <c r="D544" t="s">
        <v>26</v>
      </c>
      <c r="E544" t="s">
        <v>62</v>
      </c>
      <c r="F544">
        <v>2</v>
      </c>
      <c r="G544" t="s">
        <v>4</v>
      </c>
      <c r="H544" t="s">
        <v>15</v>
      </c>
      <c r="I544">
        <v>500000</v>
      </c>
      <c r="J544">
        <v>500000</v>
      </c>
      <c r="K544">
        <v>330.03300330033005</v>
      </c>
      <c r="N544" t="s">
        <v>4008</v>
      </c>
      <c r="P544" t="s">
        <v>3991</v>
      </c>
    </row>
    <row r="545" spans="1:16" x14ac:dyDescent="0.25">
      <c r="A545" t="s">
        <v>3990</v>
      </c>
      <c r="B545" t="s">
        <v>4004</v>
      </c>
      <c r="C545" t="s">
        <v>4005</v>
      </c>
      <c r="D545" t="s">
        <v>26</v>
      </c>
      <c r="E545" t="s">
        <v>42</v>
      </c>
      <c r="F545">
        <v>2</v>
      </c>
      <c r="G545" t="s">
        <v>4</v>
      </c>
      <c r="H545" t="s">
        <v>15</v>
      </c>
      <c r="I545">
        <v>1000000</v>
      </c>
      <c r="J545">
        <v>1000000</v>
      </c>
      <c r="K545">
        <v>660.0660066006601</v>
      </c>
      <c r="N545" t="s">
        <v>4008</v>
      </c>
      <c r="P545" t="s">
        <v>3991</v>
      </c>
    </row>
    <row r="546" spans="1:16" x14ac:dyDescent="0.25">
      <c r="A546" t="s">
        <v>3990</v>
      </c>
      <c r="B546" t="s">
        <v>3051</v>
      </c>
      <c r="C546" t="s">
        <v>2667</v>
      </c>
      <c r="D546" t="s">
        <v>26</v>
      </c>
      <c r="E546" t="s">
        <v>3955</v>
      </c>
      <c r="F546">
        <v>2</v>
      </c>
      <c r="G546" t="s">
        <v>4</v>
      </c>
      <c r="H546" t="s">
        <v>15</v>
      </c>
      <c r="I546">
        <v>1000000</v>
      </c>
      <c r="J546">
        <v>1000000</v>
      </c>
      <c r="K546">
        <v>660.0660066006601</v>
      </c>
      <c r="N546" t="s">
        <v>4008</v>
      </c>
      <c r="P546" t="s">
        <v>3991</v>
      </c>
    </row>
    <row r="547" spans="1:16" x14ac:dyDescent="0.25">
      <c r="A547" t="s">
        <v>3990</v>
      </c>
      <c r="B547" t="s">
        <v>2922</v>
      </c>
      <c r="C547" t="s">
        <v>3530</v>
      </c>
      <c r="D547" t="s">
        <v>61</v>
      </c>
      <c r="E547" t="s">
        <v>62</v>
      </c>
      <c r="F547">
        <v>2</v>
      </c>
      <c r="G547" t="s">
        <v>4</v>
      </c>
      <c r="H547" t="s">
        <v>15</v>
      </c>
      <c r="I547">
        <v>1000000</v>
      </c>
      <c r="J547">
        <v>1000000</v>
      </c>
      <c r="K547">
        <v>660.0660066006601</v>
      </c>
      <c r="N547" t="s">
        <v>4008</v>
      </c>
      <c r="P547" t="s">
        <v>3991</v>
      </c>
    </row>
    <row r="548" spans="1:16" x14ac:dyDescent="0.25">
      <c r="A548" t="s">
        <v>3990</v>
      </c>
      <c r="B548" t="s">
        <v>40</v>
      </c>
      <c r="C548" t="s">
        <v>2667</v>
      </c>
      <c r="D548" t="s">
        <v>61</v>
      </c>
      <c r="E548" t="s">
        <v>3955</v>
      </c>
      <c r="F548">
        <v>2</v>
      </c>
      <c r="G548" t="s">
        <v>4</v>
      </c>
      <c r="H548" t="s">
        <v>15</v>
      </c>
      <c r="I548">
        <v>1000000</v>
      </c>
      <c r="J548">
        <v>1000000</v>
      </c>
      <c r="K548">
        <v>660.0660066006601</v>
      </c>
      <c r="N548" t="s">
        <v>4008</v>
      </c>
      <c r="P548" t="s">
        <v>3991</v>
      </c>
    </row>
    <row r="549" spans="1:16" x14ac:dyDescent="0.25">
      <c r="A549" t="s">
        <v>3990</v>
      </c>
      <c r="B549" t="s">
        <v>2728</v>
      </c>
      <c r="C549" t="s">
        <v>3936</v>
      </c>
      <c r="D549" t="s">
        <v>26</v>
      </c>
      <c r="E549" t="s">
        <v>62</v>
      </c>
      <c r="F549">
        <v>2</v>
      </c>
      <c r="G549" t="s">
        <v>4</v>
      </c>
      <c r="H549" t="s">
        <v>15</v>
      </c>
      <c r="I549">
        <v>1011000</v>
      </c>
      <c r="J549">
        <v>1011000</v>
      </c>
      <c r="K549">
        <v>667.32673267326732</v>
      </c>
      <c r="N549" t="s">
        <v>4008</v>
      </c>
      <c r="P549" t="s">
        <v>3991</v>
      </c>
    </row>
    <row r="550" spans="1:16" x14ac:dyDescent="0.25">
      <c r="A550" t="s">
        <v>3990</v>
      </c>
      <c r="B550" t="s">
        <v>1854</v>
      </c>
      <c r="C550" t="s">
        <v>2667</v>
      </c>
      <c r="D550" t="s">
        <v>26</v>
      </c>
      <c r="E550" t="s">
        <v>3955</v>
      </c>
      <c r="F550">
        <v>2</v>
      </c>
      <c r="G550" t="s">
        <v>4</v>
      </c>
      <c r="H550" t="s">
        <v>15</v>
      </c>
      <c r="I550">
        <v>3000000</v>
      </c>
      <c r="J550">
        <v>3000000</v>
      </c>
      <c r="K550">
        <v>1980.1980198019803</v>
      </c>
      <c r="N550" t="s">
        <v>4008</v>
      </c>
      <c r="P550" t="s">
        <v>3991</v>
      </c>
    </row>
    <row r="551" spans="1:16" x14ac:dyDescent="0.25">
      <c r="J551" s="2">
        <f>SUBTOTAL(109,Tabla1235[Importe AR$])</f>
        <v>8511000</v>
      </c>
    </row>
    <row r="553" spans="1:16" x14ac:dyDescent="0.25">
      <c r="G553" s="82" t="s">
        <v>26</v>
      </c>
      <c r="J553" s="4">
        <f>Tabla1235[[#Totals],[Importe AR$]]+Tabla1230[[#Totals],[Importe AR$]]</f>
        <v>9588006.8200000003</v>
      </c>
    </row>
  </sheetData>
  <pageMargins left="0.7" right="0.7" top="0.75" bottom="0.75" header="0.3" footer="0.3"/>
  <pageSetup paperSize="9" orientation="landscape" r:id="rId1"/>
  <drawing r:id="rId2"/>
  <tableParts count="28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X20"/>
  <sheetViews>
    <sheetView showGridLines="0" topLeftCell="J1" zoomScale="115" zoomScaleNormal="115" workbookViewId="0">
      <selection activeCell="Y15" sqref="Y15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5.7109375" bestFit="1" customWidth="1"/>
    <col min="6" max="6" width="16.85546875" bestFit="1" customWidth="1"/>
    <col min="7" max="7" width="9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5.85546875" bestFit="1" customWidth="1"/>
    <col min="17" max="17" width="9" bestFit="1" customWidth="1"/>
    <col min="20" max="20" width="15.5703125" bestFit="1" customWidth="1"/>
    <col min="22" max="22" width="16.7109375" bestFit="1" customWidth="1"/>
    <col min="23" max="23" width="15.85546875" bestFit="1" customWidth="1"/>
    <col min="24" max="24" width="9" bestFit="1" customWidth="1"/>
  </cols>
  <sheetData>
    <row r="3" spans="1:24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3480</v>
      </c>
      <c r="F3" t="s">
        <v>3481</v>
      </c>
      <c r="G3" t="s">
        <v>3482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3481</v>
      </c>
      <c r="Q3" t="s">
        <v>3482</v>
      </c>
      <c r="S3" s="24" t="s">
        <v>7</v>
      </c>
      <c r="T3" s="24" t="s">
        <v>22</v>
      </c>
      <c r="U3" s="24" t="s">
        <v>12</v>
      </c>
      <c r="V3" s="24" t="s">
        <v>13</v>
      </c>
      <c r="W3" t="s">
        <v>3481</v>
      </c>
      <c r="X3" t="s">
        <v>3482</v>
      </c>
    </row>
    <row r="4" spans="1:24" x14ac:dyDescent="0.25">
      <c r="A4" t="s">
        <v>3907</v>
      </c>
      <c r="B4" t="s">
        <v>27</v>
      </c>
      <c r="C4">
        <v>1</v>
      </c>
      <c r="D4" t="s">
        <v>32</v>
      </c>
      <c r="E4" s="64">
        <v>3030.6277953795379</v>
      </c>
      <c r="F4" s="8">
        <v>4591401.1100000003</v>
      </c>
      <c r="G4" s="57">
        <v>0.16358347145707325</v>
      </c>
      <c r="L4" t="s">
        <v>3990</v>
      </c>
      <c r="M4" t="s">
        <v>3991</v>
      </c>
      <c r="N4">
        <v>1</v>
      </c>
      <c r="O4" t="s">
        <v>4</v>
      </c>
      <c r="P4" s="8">
        <v>1077006.82</v>
      </c>
      <c r="Q4" s="57">
        <v>0.11232854129321532</v>
      </c>
      <c r="S4" t="s">
        <v>3990</v>
      </c>
      <c r="T4" t="s">
        <v>3991</v>
      </c>
      <c r="U4">
        <v>1</v>
      </c>
      <c r="V4" t="s">
        <v>4</v>
      </c>
      <c r="W4" s="8">
        <v>1077006.82</v>
      </c>
      <c r="X4" s="57">
        <v>0.11232854129321532</v>
      </c>
    </row>
    <row r="5" spans="1:24" x14ac:dyDescent="0.25">
      <c r="D5" t="s">
        <v>4</v>
      </c>
      <c r="E5" s="64">
        <v>1798.2091947194717</v>
      </c>
      <c r="F5" s="8">
        <v>2724286.9299999997</v>
      </c>
      <c r="G5" s="57">
        <v>9.7061507495809399E-2</v>
      </c>
      <c r="N5">
        <v>2</v>
      </c>
      <c r="O5" t="s">
        <v>4</v>
      </c>
      <c r="P5" s="8">
        <v>8511000</v>
      </c>
      <c r="Q5" s="57">
        <v>0.88767145870678466</v>
      </c>
      <c r="U5">
        <v>2</v>
      </c>
      <c r="V5" t="s">
        <v>4</v>
      </c>
      <c r="W5" s="8">
        <v>8511000</v>
      </c>
      <c r="X5" s="57">
        <v>0.88767145870678466</v>
      </c>
    </row>
    <row r="6" spans="1:24" x14ac:dyDescent="0.25">
      <c r="D6" t="s">
        <v>5</v>
      </c>
      <c r="E6" s="64">
        <v>3047.7964356435641</v>
      </c>
      <c r="F6" s="8">
        <v>4617411.6000000006</v>
      </c>
      <c r="G6" s="57">
        <v>0.16451017904514095</v>
      </c>
      <c r="M6" t="s">
        <v>4007</v>
      </c>
      <c r="P6" s="8">
        <v>9588006.8200000003</v>
      </c>
      <c r="Q6" s="57">
        <v>1</v>
      </c>
      <c r="T6" t="s">
        <v>4007</v>
      </c>
      <c r="W6" s="8">
        <v>9588006.8200000003</v>
      </c>
      <c r="X6" s="57">
        <v>1</v>
      </c>
    </row>
    <row r="7" spans="1:24" x14ac:dyDescent="0.25">
      <c r="E7" s="64"/>
      <c r="F7" s="8"/>
      <c r="G7" s="57"/>
      <c r="L7" t="s">
        <v>4006</v>
      </c>
      <c r="P7" s="8">
        <v>9588006.8200000003</v>
      </c>
      <c r="Q7" s="57">
        <v>1</v>
      </c>
      <c r="S7" t="s">
        <v>4006</v>
      </c>
      <c r="W7" s="8">
        <v>9588006.8200000003</v>
      </c>
      <c r="X7" s="57">
        <v>1</v>
      </c>
    </row>
    <row r="8" spans="1:24" x14ac:dyDescent="0.25">
      <c r="C8">
        <v>2</v>
      </c>
      <c r="D8" t="s">
        <v>32</v>
      </c>
      <c r="E8" s="64">
        <v>6084.8818481848193</v>
      </c>
      <c r="F8" s="8">
        <v>9218596</v>
      </c>
      <c r="G8" s="57">
        <v>0.32844221175881744</v>
      </c>
      <c r="L8" t="s">
        <v>3483</v>
      </c>
      <c r="P8" s="8">
        <v>9588006.8200000003</v>
      </c>
      <c r="Q8" s="57">
        <v>1</v>
      </c>
      <c r="S8" t="s">
        <v>3483</v>
      </c>
      <c r="W8" s="8">
        <v>9588006.8200000003</v>
      </c>
      <c r="X8" s="57">
        <v>1</v>
      </c>
    </row>
    <row r="9" spans="1:24" x14ac:dyDescent="0.25">
      <c r="D9" t="s">
        <v>4</v>
      </c>
      <c r="E9" s="64">
        <v>4564.9762376237632</v>
      </c>
      <c r="F9" s="8">
        <v>6915939</v>
      </c>
      <c r="G9" s="57">
        <v>0.24640263024315895</v>
      </c>
    </row>
    <row r="10" spans="1:24" x14ac:dyDescent="0.25">
      <c r="E10" s="64"/>
      <c r="F10" s="8"/>
      <c r="G10" s="57"/>
    </row>
    <row r="11" spans="1:24" x14ac:dyDescent="0.25">
      <c r="B11" t="s">
        <v>3484</v>
      </c>
      <c r="E11" s="64">
        <v>18526.491511551154</v>
      </c>
      <c r="F11" s="8">
        <v>28067634.640000001</v>
      </c>
      <c r="G11" s="57">
        <v>1</v>
      </c>
    </row>
    <row r="12" spans="1:24" x14ac:dyDescent="0.25">
      <c r="E12" s="64"/>
      <c r="F12" s="8"/>
      <c r="G12" s="57"/>
    </row>
    <row r="13" spans="1:24" x14ac:dyDescent="0.25">
      <c r="A13" t="s">
        <v>3910</v>
      </c>
      <c r="E13" s="64">
        <v>18526.491511551154</v>
      </c>
      <c r="F13" s="8">
        <v>28067634.640000001</v>
      </c>
      <c r="G13" s="57">
        <v>1</v>
      </c>
    </row>
    <row r="14" spans="1:24" x14ac:dyDescent="0.25">
      <c r="A14" t="s">
        <v>3483</v>
      </c>
      <c r="E14" s="64">
        <v>18526.491511551154</v>
      </c>
      <c r="F14" s="8">
        <v>28067634.640000001</v>
      </c>
      <c r="G14" s="57">
        <v>1</v>
      </c>
    </row>
    <row r="20" spans="18:19" x14ac:dyDescent="0.25">
      <c r="R20" s="26"/>
      <c r="S20" s="26"/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="145" zoomScaleNormal="145" workbookViewId="0">
      <selection activeCell="I23" sqref="I23"/>
    </sheetView>
  </sheetViews>
  <sheetFormatPr baseColWidth="10" defaultColWidth="11.42578125" defaultRowHeight="15" x14ac:dyDescent="0.25"/>
  <cols>
    <col min="1" max="1" width="12.5703125" bestFit="1" customWidth="1"/>
    <col min="2" max="2" width="16.5703125" bestFit="1" customWidth="1"/>
    <col min="3" max="3" width="13.7109375" bestFit="1" customWidth="1"/>
    <col min="4" max="4" width="18.5703125" bestFit="1" customWidth="1"/>
    <col min="5" max="5" width="20.5703125" style="2" bestFit="1" customWidth="1"/>
    <col min="6" max="6" width="8.57031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11</v>
      </c>
      <c r="C2" s="24" t="s">
        <v>12</v>
      </c>
      <c r="D2" s="24" t="s">
        <v>8</v>
      </c>
      <c r="E2" t="s">
        <v>3485</v>
      </c>
      <c r="F2" s="102" t="s">
        <v>3486</v>
      </c>
    </row>
    <row r="3" spans="1:16" x14ac:dyDescent="0.25">
      <c r="A3" t="s">
        <v>3907</v>
      </c>
      <c r="B3" t="s">
        <v>3955</v>
      </c>
      <c r="C3">
        <v>2</v>
      </c>
      <c r="D3" t="s">
        <v>1854</v>
      </c>
      <c r="E3" s="64">
        <v>1320.1320132013202</v>
      </c>
      <c r="F3" s="57">
        <v>0.51383038715835094</v>
      </c>
    </row>
    <row r="4" spans="1:16" x14ac:dyDescent="0.25">
      <c r="D4" t="s">
        <v>3951</v>
      </c>
      <c r="E4" s="64">
        <v>589</v>
      </c>
      <c r="F4" s="57">
        <v>0.22925441926247353</v>
      </c>
    </row>
    <row r="5" spans="1:16" x14ac:dyDescent="0.25">
      <c r="D5" t="s">
        <v>3728</v>
      </c>
      <c r="E5" s="64">
        <v>330.03300330033005</v>
      </c>
      <c r="F5" s="57">
        <v>0.12845759678958774</v>
      </c>
    </row>
    <row r="6" spans="1:16" x14ac:dyDescent="0.25">
      <c r="D6" t="s">
        <v>3051</v>
      </c>
      <c r="E6" s="64">
        <v>330.03300330033005</v>
      </c>
      <c r="F6" s="57">
        <v>0.12845759678958774</v>
      </c>
    </row>
    <row r="7" spans="1:16" x14ac:dyDescent="0.25">
      <c r="C7" t="s">
        <v>3493</v>
      </c>
      <c r="E7" s="64">
        <v>2569.1980198019805</v>
      </c>
      <c r="F7" s="57">
        <v>1</v>
      </c>
    </row>
    <row r="8" spans="1:16" x14ac:dyDescent="0.25">
      <c r="E8" s="64"/>
    </row>
    <row r="9" spans="1:16" x14ac:dyDescent="0.25">
      <c r="A9" t="s">
        <v>3910</v>
      </c>
      <c r="E9" s="64">
        <v>2569.1980198019805</v>
      </c>
      <c r="F9" s="57">
        <v>1</v>
      </c>
    </row>
    <row r="10" spans="1:16" x14ac:dyDescent="0.25">
      <c r="A10" t="s">
        <v>3483</v>
      </c>
      <c r="E10" s="64">
        <v>2569.1980198019805</v>
      </c>
      <c r="F10" s="57">
        <v>1</v>
      </c>
    </row>
    <row r="11" spans="1:16" x14ac:dyDescent="0.25">
      <c r="E11"/>
      <c r="F11"/>
    </row>
    <row r="12" spans="1:16" x14ac:dyDescent="0.25">
      <c r="E12"/>
      <c r="F12"/>
    </row>
    <row r="13" spans="1:16" x14ac:dyDescent="0.25">
      <c r="E13"/>
      <c r="F13"/>
    </row>
    <row r="14" spans="1:16" x14ac:dyDescent="0.25">
      <c r="E14"/>
      <c r="F14"/>
    </row>
    <row r="15" spans="1:16" x14ac:dyDescent="0.25">
      <c r="E15"/>
      <c r="F15"/>
      <c r="P15" t="s">
        <v>3487</v>
      </c>
    </row>
    <row r="16" spans="1:1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123"/>
  <sheetViews>
    <sheetView showGridLines="0" zoomScale="115" zoomScaleNormal="115" workbookViewId="0">
      <selection activeCell="I26" sqref="I26"/>
    </sheetView>
  </sheetViews>
  <sheetFormatPr baseColWidth="10" defaultColWidth="11.42578125" defaultRowHeight="15" x14ac:dyDescent="0.25"/>
  <cols>
    <col min="1" max="1" width="11.85546875" customWidth="1"/>
    <col min="2" max="2" width="5.7109375" customWidth="1"/>
    <col min="3" max="3" width="8.7109375" bestFit="1" customWidth="1"/>
    <col min="4" max="4" width="19.7109375" bestFit="1" customWidth="1"/>
    <col min="5" max="5" width="20.5703125" style="2" bestFit="1" customWidth="1"/>
    <col min="6" max="6" width="9" style="57" bestFit="1" customWidth="1"/>
    <col min="7" max="7" width="8.5703125" bestFit="1" customWidth="1"/>
    <col min="9" max="9" width="12.7109375" bestFit="1" customWidth="1"/>
    <col min="10" max="11" width="6.85546875" bestFit="1" customWidth="1"/>
    <col min="12" max="12" width="9" bestFit="1" customWidth="1"/>
    <col min="13" max="13" width="46" bestFit="1" customWidth="1"/>
    <col min="14" max="14" width="20.5703125" bestFit="1" customWidth="1"/>
    <col min="15" max="15" width="8.5703125" bestFit="1" customWidth="1"/>
  </cols>
  <sheetData>
    <row r="2" spans="1:23" x14ac:dyDescent="0.25">
      <c r="A2" s="25" t="s">
        <v>3490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3485</v>
      </c>
      <c r="F3" t="s">
        <v>3486</v>
      </c>
    </row>
    <row r="4" spans="1:23" x14ac:dyDescent="0.25">
      <c r="A4" t="s">
        <v>3907</v>
      </c>
      <c r="B4">
        <v>1</v>
      </c>
      <c r="C4" t="s">
        <v>62</v>
      </c>
      <c r="D4" t="s">
        <v>3020</v>
      </c>
      <c r="E4" s="64">
        <v>2013.5016765676569</v>
      </c>
      <c r="F4" s="57">
        <v>0.19703179577790328</v>
      </c>
      <c r="W4" t="e">
        <f>269040.86-GETPIVOTDATA("Suma de Importe U$D",$A$3,"Semana","2026-13","Proveedor","Amenduni Nicolas SPA","Rubro","Deuda","Vía",1)</f>
        <v>#REF!</v>
      </c>
    </row>
    <row r="5" spans="1:23" x14ac:dyDescent="0.25">
      <c r="D5" t="s">
        <v>3105</v>
      </c>
      <c r="E5" s="64">
        <v>676.16469306930696</v>
      </c>
      <c r="F5" s="57">
        <v>6.6166293908513529E-2</v>
      </c>
    </row>
    <row r="6" spans="1:23" x14ac:dyDescent="0.25">
      <c r="B6" t="s">
        <v>3491</v>
      </c>
      <c r="E6" s="64">
        <v>2689.6663696369637</v>
      </c>
      <c r="F6" s="57">
        <v>0.26319808968641678</v>
      </c>
    </row>
    <row r="7" spans="1:23" x14ac:dyDescent="0.25">
      <c r="E7" s="64"/>
    </row>
    <row r="8" spans="1:23" x14ac:dyDescent="0.25">
      <c r="B8">
        <v>2</v>
      </c>
      <c r="C8" t="s">
        <v>62</v>
      </c>
      <c r="D8" t="s">
        <v>1760</v>
      </c>
      <c r="E8" s="64">
        <v>6106.2706270627059</v>
      </c>
      <c r="F8" s="57">
        <v>0.59753089910854185</v>
      </c>
    </row>
    <row r="9" spans="1:23" x14ac:dyDescent="0.25">
      <c r="D9" t="s">
        <v>3432</v>
      </c>
      <c r="E9" s="64">
        <v>433.13531353135312</v>
      </c>
      <c r="F9" s="57">
        <v>4.238458285536971E-2</v>
      </c>
    </row>
    <row r="10" spans="1:23" x14ac:dyDescent="0.25">
      <c r="D10" t="s">
        <v>3839</v>
      </c>
      <c r="E10" s="64">
        <v>330.03300330033005</v>
      </c>
      <c r="F10" s="57">
        <v>3.2295476116557233E-2</v>
      </c>
    </row>
    <row r="11" spans="1:23" x14ac:dyDescent="0.25">
      <c r="D11" t="s">
        <v>1580</v>
      </c>
      <c r="E11" s="64">
        <v>330.03300330033005</v>
      </c>
      <c r="F11" s="57">
        <v>3.2295476116557233E-2</v>
      </c>
    </row>
    <row r="12" spans="1:23" x14ac:dyDescent="0.25">
      <c r="D12" t="s">
        <v>2652</v>
      </c>
      <c r="E12" s="64">
        <v>330.03300330033005</v>
      </c>
      <c r="F12" s="57">
        <v>3.2295476116557233E-2</v>
      </c>
    </row>
    <row r="13" spans="1:23" x14ac:dyDescent="0.25">
      <c r="B13" t="s">
        <v>3493</v>
      </c>
      <c r="E13" s="64">
        <v>7529.5049504950493</v>
      </c>
      <c r="F13" s="57">
        <v>0.73680191031358322</v>
      </c>
    </row>
    <row r="14" spans="1:23" x14ac:dyDescent="0.25">
      <c r="E14" s="64"/>
    </row>
    <row r="15" spans="1:23" x14ac:dyDescent="0.25">
      <c r="A15" t="s">
        <v>3910</v>
      </c>
      <c r="E15" s="64">
        <v>10219.171320132013</v>
      </c>
      <c r="F15" s="57">
        <v>1</v>
      </c>
    </row>
    <row r="16" spans="1:23" x14ac:dyDescent="0.25">
      <c r="A16" t="s">
        <v>3483</v>
      </c>
      <c r="E16" s="64">
        <v>10219.171320132013</v>
      </c>
      <c r="F16" s="57">
        <v>1</v>
      </c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hidden="1" x14ac:dyDescent="0.25">
      <c r="E42"/>
      <c r="F42"/>
    </row>
    <row r="43" spans="5:6" hidden="1" x14ac:dyDescent="0.25">
      <c r="E43"/>
      <c r="F43"/>
    </row>
    <row r="44" spans="5:6" hidden="1" x14ac:dyDescent="0.25">
      <c r="E44"/>
      <c r="F44"/>
    </row>
    <row r="45" spans="5:6" hidden="1" x14ac:dyDescent="0.25">
      <c r="E45"/>
      <c r="F45"/>
    </row>
    <row r="46" spans="5:6" hidden="1" x14ac:dyDescent="0.25">
      <c r="E46"/>
      <c r="F46"/>
    </row>
    <row r="47" spans="5:6" hidden="1" x14ac:dyDescent="0.25">
      <c r="E47"/>
      <c r="F47"/>
    </row>
    <row r="48" spans="5:6" x14ac:dyDescent="0.25">
      <c r="E48"/>
      <c r="F48"/>
    </row>
    <row r="49" spans="5:6" x14ac:dyDescent="0.25">
      <c r="E49"/>
      <c r="F49"/>
    </row>
    <row r="50" spans="5:6" x14ac:dyDescent="0.25">
      <c r="E50"/>
      <c r="F50"/>
    </row>
    <row r="51" spans="5:6" x14ac:dyDescent="0.25">
      <c r="E51"/>
      <c r="F51"/>
    </row>
    <row r="52" spans="5:6" x14ac:dyDescent="0.25">
      <c r="E52"/>
      <c r="F52"/>
    </row>
    <row r="53" spans="5:6" x14ac:dyDescent="0.25">
      <c r="E53"/>
      <c r="F53"/>
    </row>
    <row r="54" spans="5:6" x14ac:dyDescent="0.25">
      <c r="E54"/>
      <c r="F54"/>
    </row>
    <row r="55" spans="5:6" x14ac:dyDescent="0.25">
      <c r="E55"/>
      <c r="F55"/>
    </row>
    <row r="56" spans="5:6" x14ac:dyDescent="0.25">
      <c r="E56"/>
      <c r="F56"/>
    </row>
    <row r="57" spans="5:6" x14ac:dyDescent="0.25">
      <c r="E57"/>
      <c r="F57"/>
    </row>
    <row r="58" spans="5:6" x14ac:dyDescent="0.25">
      <c r="E58"/>
      <c r="F58"/>
    </row>
    <row r="59" spans="5:6" x14ac:dyDescent="0.25">
      <c r="E59"/>
      <c r="F59"/>
    </row>
    <row r="60" spans="5:6" x14ac:dyDescent="0.25">
      <c r="E60"/>
      <c r="F60"/>
    </row>
    <row r="61" spans="5:6" x14ac:dyDescent="0.25">
      <c r="E61"/>
      <c r="F61"/>
    </row>
    <row r="62" spans="5:6" x14ac:dyDescent="0.25">
      <c r="E62"/>
      <c r="F62"/>
    </row>
    <row r="63" spans="5:6" x14ac:dyDescent="0.25">
      <c r="E63"/>
      <c r="F63"/>
    </row>
    <row r="64" spans="5:6" x14ac:dyDescent="0.25">
      <c r="E64"/>
      <c r="F64"/>
    </row>
    <row r="65" spans="5:6" x14ac:dyDescent="0.25">
      <c r="E65"/>
      <c r="F65"/>
    </row>
    <row r="66" spans="5:6" x14ac:dyDescent="0.25">
      <c r="E66"/>
      <c r="F66"/>
    </row>
    <row r="67" spans="5:6" x14ac:dyDescent="0.25">
      <c r="E67"/>
      <c r="F67"/>
    </row>
    <row r="68" spans="5:6" x14ac:dyDescent="0.25">
      <c r="E68"/>
      <c r="F68"/>
    </row>
    <row r="69" spans="5:6" x14ac:dyDescent="0.25">
      <c r="E69"/>
      <c r="F69"/>
    </row>
    <row r="70" spans="5:6" x14ac:dyDescent="0.25">
      <c r="E70"/>
      <c r="F70"/>
    </row>
    <row r="71" spans="5:6" x14ac:dyDescent="0.25">
      <c r="E71"/>
      <c r="F71"/>
    </row>
    <row r="72" spans="5:6" x14ac:dyDescent="0.25">
      <c r="E72"/>
      <c r="F72"/>
    </row>
    <row r="73" spans="5:6" x14ac:dyDescent="0.25">
      <c r="E73"/>
      <c r="F73"/>
    </row>
    <row r="74" spans="5:6" x14ac:dyDescent="0.25">
      <c r="E74"/>
      <c r="F74"/>
    </row>
    <row r="75" spans="5:6" x14ac:dyDescent="0.25">
      <c r="E75"/>
      <c r="F75"/>
    </row>
    <row r="76" spans="5:6" x14ac:dyDescent="0.25">
      <c r="E76"/>
      <c r="F76"/>
    </row>
    <row r="77" spans="5:6" x14ac:dyDescent="0.25">
      <c r="E77"/>
      <c r="F77"/>
    </row>
    <row r="78" spans="5:6" x14ac:dyDescent="0.25">
      <c r="E78"/>
      <c r="F78"/>
    </row>
    <row r="79" spans="5:6" x14ac:dyDescent="0.25">
      <c r="E79"/>
      <c r="F79"/>
    </row>
    <row r="80" spans="5:6" x14ac:dyDescent="0.25">
      <c r="E80"/>
      <c r="F80"/>
    </row>
    <row r="81" spans="5:6" x14ac:dyDescent="0.25">
      <c r="E81"/>
      <c r="F81"/>
    </row>
    <row r="82" spans="5:6" x14ac:dyDescent="0.25">
      <c r="E82"/>
      <c r="F82"/>
    </row>
    <row r="83" spans="5:6" x14ac:dyDescent="0.25">
      <c r="E83"/>
      <c r="F83"/>
    </row>
    <row r="84" spans="5:6" x14ac:dyDescent="0.25">
      <c r="E84"/>
      <c r="F84"/>
    </row>
    <row r="85" spans="5:6" x14ac:dyDescent="0.25">
      <c r="E85"/>
      <c r="F85"/>
    </row>
    <row r="86" spans="5:6" x14ac:dyDescent="0.25">
      <c r="E86"/>
      <c r="F86"/>
    </row>
    <row r="87" spans="5:6" x14ac:dyDescent="0.25">
      <c r="E87"/>
      <c r="F87"/>
    </row>
    <row r="88" spans="5:6" x14ac:dyDescent="0.25">
      <c r="E88"/>
      <c r="F88"/>
    </row>
    <row r="89" spans="5:6" x14ac:dyDescent="0.25">
      <c r="E89"/>
      <c r="F89"/>
    </row>
    <row r="90" spans="5:6" x14ac:dyDescent="0.25">
      <c r="E90"/>
      <c r="F90"/>
    </row>
    <row r="91" spans="5:6" x14ac:dyDescent="0.25">
      <c r="E91"/>
      <c r="F91"/>
    </row>
    <row r="92" spans="5:6" x14ac:dyDescent="0.25">
      <c r="E92"/>
      <c r="F92"/>
    </row>
    <row r="93" spans="5:6" x14ac:dyDescent="0.25">
      <c r="E93"/>
      <c r="F93"/>
    </row>
    <row r="94" spans="5:6" x14ac:dyDescent="0.25">
      <c r="E94"/>
      <c r="F94"/>
    </row>
    <row r="95" spans="5:6" x14ac:dyDescent="0.25">
      <c r="E95"/>
      <c r="F95"/>
    </row>
    <row r="96" spans="5:6" x14ac:dyDescent="0.25">
      <c r="E96"/>
      <c r="F96"/>
    </row>
    <row r="97" spans="5:6" x14ac:dyDescent="0.25">
      <c r="E97"/>
      <c r="F97"/>
    </row>
    <row r="98" spans="5:6" x14ac:dyDescent="0.25">
      <c r="E98"/>
      <c r="F98"/>
    </row>
    <row r="99" spans="5:6" x14ac:dyDescent="0.25">
      <c r="E99"/>
      <c r="F99"/>
    </row>
    <row r="100" spans="5:6" x14ac:dyDescent="0.25">
      <c r="E100"/>
      <c r="F100"/>
    </row>
    <row r="101" spans="5:6" x14ac:dyDescent="0.25">
      <c r="E101"/>
      <c r="F101"/>
    </row>
    <row r="102" spans="5:6" x14ac:dyDescent="0.25">
      <c r="E102"/>
      <c r="F102"/>
    </row>
    <row r="103" spans="5:6" x14ac:dyDescent="0.25">
      <c r="E103"/>
      <c r="F103"/>
    </row>
    <row r="104" spans="5:6" x14ac:dyDescent="0.25">
      <c r="E104"/>
      <c r="F104"/>
    </row>
    <row r="105" spans="5:6" x14ac:dyDescent="0.25">
      <c r="E105"/>
      <c r="F105"/>
    </row>
    <row r="106" spans="5:6" x14ac:dyDescent="0.25">
      <c r="E106"/>
      <c r="F106"/>
    </row>
    <row r="107" spans="5:6" x14ac:dyDescent="0.25">
      <c r="E107"/>
      <c r="F107"/>
    </row>
    <row r="108" spans="5:6" x14ac:dyDescent="0.25">
      <c r="E108"/>
      <c r="F108"/>
    </row>
    <row r="109" spans="5:6" x14ac:dyDescent="0.25">
      <c r="E109"/>
      <c r="F109"/>
    </row>
    <row r="110" spans="5:6" x14ac:dyDescent="0.25">
      <c r="E110"/>
      <c r="F110"/>
    </row>
    <row r="111" spans="5:6" x14ac:dyDescent="0.25">
      <c r="E111"/>
      <c r="F111"/>
    </row>
    <row r="112" spans="5:6" x14ac:dyDescent="0.25">
      <c r="E112"/>
      <c r="F112"/>
    </row>
    <row r="113" spans="5:6" x14ac:dyDescent="0.25">
      <c r="E113"/>
      <c r="F113"/>
    </row>
    <row r="114" spans="5:6" x14ac:dyDescent="0.25">
      <c r="E114"/>
      <c r="F114"/>
    </row>
    <row r="115" spans="5:6" x14ac:dyDescent="0.25">
      <c r="E115"/>
      <c r="F115"/>
    </row>
    <row r="116" spans="5:6" x14ac:dyDescent="0.25">
      <c r="E116"/>
      <c r="F116"/>
    </row>
    <row r="117" spans="5:6" x14ac:dyDescent="0.25">
      <c r="E117"/>
      <c r="F117"/>
    </row>
    <row r="118" spans="5:6" x14ac:dyDescent="0.25">
      <c r="E118"/>
      <c r="F118"/>
    </row>
    <row r="119" spans="5:6" x14ac:dyDescent="0.25">
      <c r="E119"/>
      <c r="F119"/>
    </row>
    <row r="120" spans="5:6" x14ac:dyDescent="0.25">
      <c r="E120"/>
      <c r="F120"/>
    </row>
    <row r="121" spans="5:6" x14ac:dyDescent="0.25">
      <c r="E121"/>
      <c r="F121"/>
    </row>
    <row r="122" spans="5:6" x14ac:dyDescent="0.25">
      <c r="E122"/>
      <c r="F122"/>
    </row>
    <row r="123" spans="5:6" x14ac:dyDescent="0.25">
      <c r="E123"/>
      <c r="F123"/>
    </row>
  </sheetData>
  <pageMargins left="0.25" right="0.25" top="0.75" bottom="0.75" header="0.3" footer="0.3"/>
  <pageSetup paperSize="9" scale="31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="115" zoomScaleNormal="115" workbookViewId="0">
      <selection activeCell="D8" sqref="D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2.85546875" bestFit="1" customWidth="1"/>
    <col min="5" max="5" width="20.5703125" style="2" bestFit="1" customWidth="1"/>
    <col min="6" max="6" width="9" style="57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3492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3485</v>
      </c>
      <c r="F3" t="s">
        <v>3486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3488</v>
      </c>
      <c r="N3" s="57" t="s">
        <v>3489</v>
      </c>
    </row>
    <row r="4" spans="1:14" x14ac:dyDescent="0.25">
      <c r="A4" t="s">
        <v>3907</v>
      </c>
      <c r="B4">
        <v>1</v>
      </c>
      <c r="C4" t="s">
        <v>31</v>
      </c>
      <c r="D4" t="s">
        <v>3256</v>
      </c>
      <c r="E4" s="64">
        <v>660.0660066006601</v>
      </c>
      <c r="F4" s="57">
        <v>0.30459185779970732</v>
      </c>
      <c r="I4" t="s">
        <v>828</v>
      </c>
      <c r="J4">
        <v>1</v>
      </c>
      <c r="K4" t="s">
        <v>31</v>
      </c>
      <c r="L4" t="s">
        <v>2701</v>
      </c>
      <c r="M4" s="102">
        <v>5915953.9900000002</v>
      </c>
      <c r="N4" s="57">
        <v>0.45987929296674807</v>
      </c>
    </row>
    <row r="5" spans="1:14" x14ac:dyDescent="0.25">
      <c r="D5" t="s">
        <v>3380</v>
      </c>
      <c r="E5" s="64">
        <v>520.47194719471941</v>
      </c>
      <c r="F5" s="57">
        <v>0.24017524875293619</v>
      </c>
      <c r="L5" t="s">
        <v>969</v>
      </c>
      <c r="M5" s="102">
        <v>3282567.26</v>
      </c>
      <c r="N5" s="57">
        <v>0.25517181391138499</v>
      </c>
    </row>
    <row r="6" spans="1:14" x14ac:dyDescent="0.25">
      <c r="D6" t="s">
        <v>3931</v>
      </c>
      <c r="E6" s="64">
        <v>431.57471947194716</v>
      </c>
      <c r="F6" s="57">
        <v>0.19915303055877209</v>
      </c>
      <c r="L6" t="s">
        <v>1893</v>
      </c>
      <c r="M6" s="102">
        <v>1193544</v>
      </c>
      <c r="N6" s="57">
        <v>9.2780669317663905E-2</v>
      </c>
    </row>
    <row r="7" spans="1:14" x14ac:dyDescent="0.25">
      <c r="D7" t="s">
        <v>3916</v>
      </c>
      <c r="E7" s="64">
        <v>319.14219801980198</v>
      </c>
      <c r="F7" s="57">
        <v>0.14727029422065735</v>
      </c>
      <c r="L7" t="s">
        <v>266</v>
      </c>
      <c r="M7" s="102">
        <v>1064791.3400000001</v>
      </c>
      <c r="N7" s="57">
        <v>8.2772024499182473E-2</v>
      </c>
    </row>
    <row r="8" spans="1:14" x14ac:dyDescent="0.25">
      <c r="D8" t="s">
        <v>1314</v>
      </c>
      <c r="E8" s="64">
        <v>166.71004620462045</v>
      </c>
      <c r="F8" s="57">
        <v>7.6929461871320687E-2</v>
      </c>
      <c r="L8" t="s">
        <v>2560</v>
      </c>
      <c r="M8" s="102">
        <v>316000</v>
      </c>
      <c r="N8" s="57">
        <v>2.4564399389031148E-2</v>
      </c>
    </row>
    <row r="9" spans="1:14" x14ac:dyDescent="0.25">
      <c r="D9" t="s">
        <v>203</v>
      </c>
      <c r="E9" s="64">
        <v>69.085808580858085</v>
      </c>
      <c r="F9" s="57">
        <v>3.1880106796606369E-2</v>
      </c>
      <c r="L9" t="s">
        <v>1133</v>
      </c>
      <c r="M9" s="102">
        <v>279787.09000000003</v>
      </c>
      <c r="N9" s="57">
        <v>2.1749372856502545E-2</v>
      </c>
    </row>
    <row r="10" spans="1:14" x14ac:dyDescent="0.25">
      <c r="B10" t="s">
        <v>3491</v>
      </c>
      <c r="E10" s="64">
        <v>2167.0507260726072</v>
      </c>
      <c r="F10" s="57">
        <v>1</v>
      </c>
      <c r="L10" t="s">
        <v>1152</v>
      </c>
      <c r="M10" s="102">
        <v>111501.5</v>
      </c>
      <c r="N10" s="57">
        <v>8.6676182863166355E-3</v>
      </c>
    </row>
    <row r="11" spans="1:14" x14ac:dyDescent="0.25">
      <c r="E11" s="64"/>
      <c r="J11" t="s">
        <v>3491</v>
      </c>
      <c r="M11" s="102">
        <v>12164145.18</v>
      </c>
      <c r="N11" s="57">
        <v>0.94558519122682971</v>
      </c>
    </row>
    <row r="12" spans="1:14" x14ac:dyDescent="0.25">
      <c r="A12" t="s">
        <v>3910</v>
      </c>
      <c r="E12" s="64">
        <v>2167.0507260726072</v>
      </c>
      <c r="F12" s="57">
        <v>1</v>
      </c>
      <c r="M12" s="102"/>
      <c r="N12" s="57"/>
    </row>
    <row r="13" spans="1:14" x14ac:dyDescent="0.25">
      <c r="A13" t="s">
        <v>3483</v>
      </c>
      <c r="E13" s="64">
        <v>2167.0507260726072</v>
      </c>
      <c r="F13" s="57">
        <v>1</v>
      </c>
      <c r="J13">
        <v>2</v>
      </c>
      <c r="K13" t="s">
        <v>31</v>
      </c>
      <c r="L13" t="s">
        <v>1606</v>
      </c>
      <c r="M13" s="102">
        <v>700000</v>
      </c>
      <c r="N13" s="57">
        <v>5.4414808773170266E-2</v>
      </c>
    </row>
    <row r="14" spans="1:14" x14ac:dyDescent="0.25">
      <c r="E14"/>
      <c r="F14"/>
      <c r="J14" t="s">
        <v>3493</v>
      </c>
      <c r="M14" s="102">
        <v>700000</v>
      </c>
      <c r="N14" s="57">
        <v>5.4414808773170266E-2</v>
      </c>
    </row>
    <row r="15" spans="1:14" x14ac:dyDescent="0.25">
      <c r="E15"/>
      <c r="F15"/>
      <c r="M15" s="102"/>
      <c r="N15" s="57"/>
    </row>
    <row r="16" spans="1:14" x14ac:dyDescent="0.25">
      <c r="E16"/>
      <c r="F16"/>
      <c r="I16" t="s">
        <v>3494</v>
      </c>
      <c r="M16" s="102">
        <v>12864145.18</v>
      </c>
      <c r="N16" s="57">
        <v>1</v>
      </c>
    </row>
    <row r="17" spans="5:14" x14ac:dyDescent="0.25">
      <c r="E17"/>
      <c r="F17"/>
      <c r="I17" t="s">
        <v>3483</v>
      </c>
      <c r="M17" s="102">
        <v>12864145.18</v>
      </c>
      <c r="N17" s="57">
        <v>1</v>
      </c>
    </row>
    <row r="18" spans="5:14" x14ac:dyDescent="0.25">
      <c r="E18"/>
      <c r="F18"/>
    </row>
    <row r="19" spans="5:14" x14ac:dyDescent="0.25">
      <c r="E19"/>
      <c r="F19"/>
    </row>
    <row r="20" spans="5:14" x14ac:dyDescent="0.25">
      <c r="E20"/>
      <c r="F20"/>
    </row>
    <row r="21" spans="5:14" x14ac:dyDescent="0.25">
      <c r="E21"/>
      <c r="F21"/>
    </row>
    <row r="22" spans="5:14" x14ac:dyDescent="0.25">
      <c r="E22"/>
      <c r="F22"/>
    </row>
    <row r="23" spans="5:14" x14ac:dyDescent="0.25">
      <c r="E23"/>
      <c r="F23"/>
    </row>
    <row r="24" spans="5:14" x14ac:dyDescent="0.25">
      <c r="E24"/>
      <c r="F24"/>
    </row>
    <row r="25" spans="5:14" x14ac:dyDescent="0.25">
      <c r="E25"/>
      <c r="F25"/>
    </row>
    <row r="26" spans="5:14" x14ac:dyDescent="0.25">
      <c r="E26"/>
      <c r="F26"/>
    </row>
    <row r="27" spans="5:14" x14ac:dyDescent="0.25">
      <c r="E27"/>
      <c r="F27"/>
    </row>
    <row r="28" spans="5:14" x14ac:dyDescent="0.25">
      <c r="E28"/>
      <c r="F28"/>
    </row>
    <row r="29" spans="5:14" x14ac:dyDescent="0.25">
      <c r="E29"/>
      <c r="F29"/>
    </row>
    <row r="30" spans="5:14" x14ac:dyDescent="0.25">
      <c r="E30"/>
      <c r="F30"/>
    </row>
    <row r="31" spans="5:14" x14ac:dyDescent="0.25">
      <c r="E31"/>
      <c r="F31"/>
    </row>
    <row r="32" spans="5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topLeftCell="A10"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3495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3496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3497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3498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3497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3499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3497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3500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3497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3501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3497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3502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3497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3503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3497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3504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3497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3505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3497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3506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3497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3507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3497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3508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3497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3509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3497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3510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3497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3511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3497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3512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3497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3513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3497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3514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3497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3515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3497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3516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3497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D22"/>
  <sheetViews>
    <sheetView topLeftCell="A2" zoomScale="115" zoomScaleNormal="115" workbookViewId="0">
      <selection activeCell="C27" sqref="C27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8" bestFit="1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3236</v>
      </c>
      <c r="B5" s="28" t="s">
        <v>3237</v>
      </c>
      <c r="C5" s="35" t="s">
        <v>5</v>
      </c>
      <c r="D5" s="43">
        <v>392868.67</v>
      </c>
    </row>
    <row r="6" spans="1:4" x14ac:dyDescent="0.25">
      <c r="A6" s="28" t="s">
        <v>3517</v>
      </c>
      <c r="B6" s="28"/>
      <c r="C6" s="35" t="s">
        <v>5</v>
      </c>
      <c r="D6" s="43">
        <v>130000</v>
      </c>
    </row>
    <row r="7" spans="1:4" x14ac:dyDescent="0.25">
      <c r="A7" s="28" t="s">
        <v>1019</v>
      </c>
      <c r="B7" s="28" t="s">
        <v>3518</v>
      </c>
      <c r="C7" s="35" t="s">
        <v>5</v>
      </c>
      <c r="D7" s="43">
        <v>577754.77</v>
      </c>
    </row>
    <row r="8" spans="1:4" x14ac:dyDescent="0.25">
      <c r="A8" s="28" t="s">
        <v>3519</v>
      </c>
      <c r="B8" s="28" t="s">
        <v>1147</v>
      </c>
      <c r="C8" s="35" t="s">
        <v>5</v>
      </c>
      <c r="D8" s="43">
        <v>120000</v>
      </c>
    </row>
    <row r="9" spans="1:4" x14ac:dyDescent="0.25">
      <c r="A9" s="28" t="s">
        <v>3520</v>
      </c>
      <c r="B9" s="28" t="s">
        <v>693</v>
      </c>
      <c r="C9" s="35" t="s">
        <v>5</v>
      </c>
      <c r="D9" s="43">
        <v>511853.4</v>
      </c>
    </row>
    <row r="10" spans="1:4" x14ac:dyDescent="0.25">
      <c r="A10" s="28" t="s">
        <v>3521</v>
      </c>
      <c r="B10" s="28" t="s">
        <v>693</v>
      </c>
      <c r="C10" s="35" t="s">
        <v>5</v>
      </c>
      <c r="D10" s="43">
        <v>245000</v>
      </c>
    </row>
    <row r="11" spans="1:4" x14ac:dyDescent="0.25">
      <c r="A11" s="28" t="s">
        <v>3522</v>
      </c>
      <c r="B11" s="28"/>
      <c r="C11" s="35" t="s">
        <v>5</v>
      </c>
      <c r="D11" s="43">
        <v>216000</v>
      </c>
    </row>
    <row r="12" spans="1:4" x14ac:dyDescent="0.25">
      <c r="A12" s="28" t="s">
        <v>1807</v>
      </c>
      <c r="B12" s="28" t="s">
        <v>1814</v>
      </c>
      <c r="C12" s="35" t="s">
        <v>5</v>
      </c>
      <c r="D12" s="43">
        <v>200000</v>
      </c>
    </row>
    <row r="13" spans="1:4" x14ac:dyDescent="0.25">
      <c r="A13" s="28" t="s">
        <v>3523</v>
      </c>
      <c r="B13" s="28" t="s">
        <v>693</v>
      </c>
      <c r="C13" s="35" t="s">
        <v>5</v>
      </c>
      <c r="D13" s="43">
        <v>580000</v>
      </c>
    </row>
    <row r="14" spans="1:4" x14ac:dyDescent="0.25">
      <c r="A14" s="28" t="s">
        <v>3524</v>
      </c>
      <c r="B14" s="28" t="s">
        <v>3410</v>
      </c>
      <c r="C14" s="35" t="s">
        <v>5</v>
      </c>
      <c r="D14" s="43">
        <v>232459.1</v>
      </c>
    </row>
    <row r="15" spans="1:4" x14ac:dyDescent="0.25">
      <c r="A15" s="28" t="s">
        <v>3525</v>
      </c>
      <c r="B15" s="28" t="s">
        <v>2360</v>
      </c>
      <c r="C15" s="35" t="s">
        <v>5</v>
      </c>
      <c r="D15" s="43">
        <v>1091353.6499999999</v>
      </c>
    </row>
    <row r="16" spans="1:4" x14ac:dyDescent="0.25">
      <c r="A16" s="28" t="s">
        <v>3526</v>
      </c>
      <c r="B16" s="28" t="s">
        <v>634</v>
      </c>
      <c r="C16" s="35" t="s">
        <v>5</v>
      </c>
      <c r="D16" s="43">
        <v>1150000</v>
      </c>
    </row>
    <row r="17" spans="1:4" x14ac:dyDescent="0.25">
      <c r="A17" s="28" t="s">
        <v>1653</v>
      </c>
      <c r="B17" s="28" t="s">
        <v>693</v>
      </c>
      <c r="C17" s="35" t="s">
        <v>5</v>
      </c>
      <c r="D17" s="43">
        <v>460000</v>
      </c>
    </row>
    <row r="18" spans="1:4" x14ac:dyDescent="0.25">
      <c r="A18" s="28" t="s">
        <v>1639</v>
      </c>
      <c r="B18" s="28"/>
      <c r="C18" s="35" t="s">
        <v>5</v>
      </c>
      <c r="D18" s="43">
        <v>190000</v>
      </c>
    </row>
    <row r="19" spans="1:4" x14ac:dyDescent="0.25">
      <c r="A19" s="39" t="s">
        <v>3527</v>
      </c>
      <c r="B19" s="39"/>
      <c r="C19" s="40" t="s">
        <v>5</v>
      </c>
      <c r="D19" s="49">
        <v>47869.05</v>
      </c>
    </row>
    <row r="20" spans="1:4" x14ac:dyDescent="0.25">
      <c r="A20" s="39" t="s">
        <v>3528</v>
      </c>
      <c r="B20" s="39"/>
      <c r="C20" s="40" t="s">
        <v>5</v>
      </c>
      <c r="D20" s="49">
        <v>580000</v>
      </c>
    </row>
    <row r="21" spans="1:4" ht="9" customHeight="1" x14ac:dyDescent="0.25">
      <c r="C21" s="40"/>
      <c r="D21" s="49"/>
    </row>
    <row r="22" spans="1:4" x14ac:dyDescent="0.25">
      <c r="C22" s="45" t="s">
        <v>5</v>
      </c>
      <c r="D22" s="44">
        <f>SUM(D4:D20)</f>
        <v>7935780.04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Semanal</vt:lpstr>
      <vt:lpstr>Efectivo</vt:lpstr>
      <vt:lpstr>Pago Semana</vt:lpstr>
      <vt:lpstr>Deuda Fruta</vt:lpstr>
      <vt:lpstr>Deuda Proveedores</vt:lpstr>
      <vt:lpstr>P Nuevo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2026-08-03T11:45:18Z</cp:lastPrinted>
  <dcterms:created xsi:type="dcterms:W3CDTF">2025-02-26T14:26:06Z</dcterms:created>
  <dcterms:modified xsi:type="dcterms:W3CDTF">2026-08-05T15:30:14Z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