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e\Lavoro\Morinat\BeltsPack\DocumentazioneBeltsPack\Test\"/>
    </mc:Choice>
  </mc:AlternateContent>
  <xr:revisionPtr revIDLastSave="0" documentId="13_ncr:1_{2F128356-1B31-46C3-96BE-5B1650D37765}" xr6:coauthVersionLast="47" xr6:coauthVersionMax="47" xr10:uidLastSave="{00000000-0000-0000-0000-000000000000}"/>
  <bookViews>
    <workbookView xWindow="-60" yWindow="16080" windowWidth="29040" windowHeight="15720" activeTab="5" xr2:uid="{9ECB03AF-49BE-4AD4-B3CF-CBBBD005DDA1}"/>
  </bookViews>
  <sheets>
    <sheet name="TestPrezziPesi" sheetId="1" r:id="rId1"/>
    <sheet name="TestCasseFerro" sheetId="2" r:id="rId2"/>
    <sheet name="SimulazioneConf1" sheetId="3" r:id="rId3"/>
    <sheet name="SimulazioneConf7" sheetId="6" r:id="rId4"/>
    <sheet name="SimulazioneConf6" sheetId="4" r:id="rId5"/>
    <sheet name="Database" sheetId="7" r:id="rId6"/>
    <sheet name="Trasporti" sheetId="8" r:id="rId7"/>
    <sheet name="Rinforzi" sheetId="9" r:id="rId8"/>
  </sheets>
  <definedNames>
    <definedName name="_xlnm._FilterDatabase" localSheetId="5" hidden="1">Database!$A$2:$T$20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6" l="1"/>
  <c r="B17" i="6"/>
  <c r="B18" i="6" s="1"/>
  <c r="I26" i="3"/>
  <c r="C18" i="6"/>
  <c r="D18" i="6"/>
  <c r="D17" i="6"/>
  <c r="C17" i="6"/>
  <c r="D16" i="6"/>
  <c r="D14" i="6"/>
  <c r="I5" i="6"/>
  <c r="C16" i="6"/>
  <c r="D15" i="6"/>
  <c r="C15" i="6"/>
  <c r="C14" i="6"/>
  <c r="D13" i="6"/>
  <c r="C13" i="6"/>
  <c r="D12" i="6"/>
  <c r="C12" i="6"/>
  <c r="N11" i="6"/>
  <c r="C11" i="6"/>
  <c r="B11" i="6"/>
  <c r="B12" i="6" s="1"/>
  <c r="B13" i="6" s="1"/>
  <c r="B14" i="6" s="1"/>
  <c r="B15" i="6" s="1"/>
  <c r="B16" i="6" s="1"/>
  <c r="D24" i="4"/>
  <c r="D25" i="4"/>
  <c r="D26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N11" i="4"/>
  <c r="E11" i="4"/>
  <c r="C11" i="4"/>
  <c r="B11" i="4"/>
  <c r="B12" i="4" s="1"/>
  <c r="N11" i="3"/>
  <c r="C16" i="3"/>
  <c r="D12" i="3"/>
  <c r="D13" i="3"/>
  <c r="D14" i="3"/>
  <c r="D15" i="3"/>
  <c r="D16" i="3"/>
  <c r="C13" i="3"/>
  <c r="C14" i="3"/>
  <c r="C15" i="3"/>
  <c r="C12" i="3"/>
  <c r="C11" i="3"/>
  <c r="B11" i="3"/>
  <c r="B12" i="3" s="1"/>
  <c r="B13" i="3" s="1"/>
  <c r="B14" i="3" s="1"/>
  <c r="B15" i="3" s="1"/>
  <c r="B16" i="3" s="1"/>
  <c r="B23" i="1"/>
  <c r="B31" i="1"/>
  <c r="B17" i="1"/>
  <c r="B30" i="1"/>
  <c r="B28" i="1"/>
  <c r="B24" i="1"/>
  <c r="B26" i="1"/>
  <c r="B25" i="1"/>
  <c r="E11" i="6" l="1"/>
  <c r="F11" i="6"/>
  <c r="E11" i="3"/>
  <c r="F11" i="3"/>
  <c r="C33" i="1"/>
  <c r="C35" i="1"/>
  <c r="B35" i="1"/>
  <c r="B10" i="1"/>
  <c r="F11" i="4" l="1"/>
  <c r="B29" i="1"/>
  <c r="B27" i="1"/>
  <c r="B22" i="1"/>
  <c r="B5" i="1"/>
  <c r="B14" i="1" s="1"/>
  <c r="B15" i="1"/>
  <c r="B16" i="1"/>
  <c r="C31" i="1" l="1"/>
  <c r="C30" i="1"/>
  <c r="F4" i="1" l="1"/>
  <c r="C25" i="1" l="1"/>
  <c r="C26" i="1"/>
  <c r="C24" i="1"/>
  <c r="C27" i="1"/>
  <c r="F5" i="1"/>
  <c r="F3" i="1"/>
  <c r="B21" i="1"/>
  <c r="B36" i="1" s="1"/>
  <c r="B18" i="1"/>
  <c r="C28" i="1" l="1"/>
  <c r="C29" i="1"/>
  <c r="C23" i="1"/>
  <c r="C22" i="1"/>
  <c r="F12" i="1"/>
  <c r="C21" i="1"/>
  <c r="C36" i="1" l="1"/>
  <c r="F1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Allegretti</author>
  </authors>
  <commentList>
    <comment ref="E6" authorId="0" shapeId="0" xr:uid="{AE1A3283-5278-4FAE-8036-DF5B11C8A987}">
      <text>
        <r>
          <rPr>
            <b/>
            <sz val="9"/>
            <color indexed="81"/>
            <rFont val="Tahoma"/>
            <charset val="1"/>
          </rPr>
          <t>Alessandro Allegretti:</t>
        </r>
        <r>
          <rPr>
            <sz val="9"/>
            <color indexed="81"/>
            <rFont val="Tahoma"/>
            <charset val="1"/>
          </rPr>
          <t xml:space="preserve">
- Dimensioni pannello = 1000 x 2000 [mm]
- Maglia = 100 x 100 [mm]
- Diametro filo = 3 [mm]</t>
        </r>
      </text>
    </comment>
    <comment ref="C32" authorId="0" shapeId="0" xr:uid="{EC76EC76-2BC7-4101-88C1-657B90B3B0DF}">
      <text>
        <r>
          <rPr>
            <b/>
            <sz val="9"/>
            <color indexed="81"/>
            <rFont val="Tahoma"/>
            <charset val="1"/>
          </rPr>
          <t>Alessandro Allegretti:</t>
        </r>
        <r>
          <rPr>
            <sz val="9"/>
            <color indexed="81"/>
            <rFont val="Tahoma"/>
            <charset val="1"/>
          </rPr>
          <t xml:space="preserve">
Peso ipotizzato</t>
        </r>
      </text>
    </comment>
  </commentList>
</comments>
</file>

<file path=xl/sharedStrings.xml><?xml version="1.0" encoding="utf-8"?>
<sst xmlns="http://schemas.openxmlformats.org/spreadsheetml/2006/main" count="377" uniqueCount="144">
  <si>
    <t>Diagonali</t>
  </si>
  <si>
    <t>Verniciatura</t>
  </si>
  <si>
    <t>Incrocio</t>
  </si>
  <si>
    <t>Caratteristiche ferro</t>
  </si>
  <si>
    <t>Densità</t>
  </si>
  <si>
    <t>Caratteristiche imballo</t>
  </si>
  <si>
    <t>Costi manodopera</t>
  </si>
  <si>
    <t>Cassa in ferro 8 m con spalle</t>
  </si>
  <si>
    <t>Ganci</t>
  </si>
  <si>
    <t>Totale</t>
  </si>
  <si>
    <t>Peso</t>
  </si>
  <si>
    <t>Costo</t>
  </si>
  <si>
    <t>Lunghezza cassa [m]</t>
  </si>
  <si>
    <t>Larghezza [m]</t>
  </si>
  <si>
    <t>Altezza [m]</t>
  </si>
  <si>
    <t>Traversini base</t>
  </si>
  <si>
    <t>Traversini superiori</t>
  </si>
  <si>
    <t>Ritti</t>
  </si>
  <si>
    <t>Longheroni - inf sup</t>
  </si>
  <si>
    <t>Rete tamponatura fianchi</t>
  </si>
  <si>
    <t>Lamiera base</t>
  </si>
  <si>
    <t>Peso totale [kg]</t>
  </si>
  <si>
    <t>Check con programma</t>
  </si>
  <si>
    <t>OK</t>
  </si>
  <si>
    <t>Peso [kg]</t>
  </si>
  <si>
    <t>Etichette per ganci</t>
  </si>
  <si>
    <t>Rete tamponatura base</t>
  </si>
  <si>
    <t>Tubolare 80 x 50 x 4 [kg/m] - [€/m]</t>
  </si>
  <si>
    <t>Tubolare 40 x 40 x 3 [kg/m] - [€/m]</t>
  </si>
  <si>
    <t>Tubolare diam. 20 spessore 2 [mm][kg/m] - [€/m]</t>
  </si>
  <si>
    <t>Costo totale cassa [€]</t>
  </si>
  <si>
    <t>Materiale cassa</t>
  </si>
  <si>
    <t>Numero test</t>
  </si>
  <si>
    <t>Dati reali</t>
  </si>
  <si>
    <t>Lunghezza nastro [m]</t>
  </si>
  <si>
    <t>Altezza bordo [mm]</t>
  </si>
  <si>
    <t>Altezza cassa [m]</t>
  </si>
  <si>
    <t>Foto imballo</t>
  </si>
  <si>
    <t>Dati calcolati</t>
  </si>
  <si>
    <t>Lunghezza [m]</t>
  </si>
  <si>
    <t>Esito</t>
  </si>
  <si>
    <t>Commenti</t>
  </si>
  <si>
    <t>Configurazione 1. La parte dei corrugati è sfalsata, mentre i dischi in polistirolo sono posti sulla stessa ascissa.</t>
  </si>
  <si>
    <t>Configurazione 2. Sia la parte dei corrugati che quella dei dischi in polistirolo sono sfalsate.</t>
  </si>
  <si>
    <t>Configurazione 3. La parte dei corrugati fa il giro esterno, mentre quella in polistirolo stessa ascissa.
Lo sperimentale non è corretto perchè si utilizzano I dischi di polistirolo troppo bassi. Con il bordo
Da 200 va utilizzato il diametro 720 [mm]</t>
  </si>
  <si>
    <t>TBD</t>
  </si>
  <si>
    <t>Configurazione 3.</t>
  </si>
  <si>
    <t>Configurazione 4. Le dimensioni non coincidono con quelle sperimentali perchè il disco in polistirolo utilizzato
nell'imballo reale non è idoneo.</t>
  </si>
  <si>
    <t>Configurazione 5.</t>
  </si>
  <si>
    <t>Tamponatura laterale</t>
  </si>
  <si>
    <t>Rete tamponatura laterale</t>
  </si>
  <si>
    <t>Rinforzo</t>
  </si>
  <si>
    <t>Lunghezza rinforzo</t>
  </si>
  <si>
    <t>Diagonali campate 2 [m]</t>
  </si>
  <si>
    <t>Diagonali ultima campata</t>
  </si>
  <si>
    <t>Lunghezza ultima campata</t>
  </si>
  <si>
    <t>Incroci diagonali 2[m]</t>
  </si>
  <si>
    <t>Pluriball in alluminio</t>
  </si>
  <si>
    <t>Pluriball alluminio [kg/mq] - [€/mq]</t>
  </si>
  <si>
    <t>Etichette ganci [kg/pcs] - [€/set]</t>
  </si>
  <si>
    <t>Incroci diagonali ultima campata</t>
  </si>
  <si>
    <t>Si</t>
  </si>
  <si>
    <t>Rete tamponatura [kg/mq] - [€/mq]</t>
  </si>
  <si>
    <t>Strato</t>
  </si>
  <si>
    <t>Input</t>
  </si>
  <si>
    <t>Lunghezza cassa [mm]</t>
  </si>
  <si>
    <t>Altezza nastro [mm]</t>
  </si>
  <si>
    <t>Lunghezza nastro [mm]</t>
  </si>
  <si>
    <t>Diametro corrugato [mm]</t>
  </si>
  <si>
    <t>Diametro polistirolo [mm]</t>
  </si>
  <si>
    <t>Lunghezza [mm]</t>
  </si>
  <si>
    <t>Configurazione 1</t>
  </si>
  <si>
    <t>L imballato [mm]</t>
  </si>
  <si>
    <t>L curva [mm]</t>
  </si>
  <si>
    <t>H max [mm]</t>
  </si>
  <si>
    <t>Fattore H</t>
  </si>
  <si>
    <t>H [mm]</t>
  </si>
  <si>
    <t>Configurazione 6</t>
  </si>
  <si>
    <t>Altezza bordo</t>
  </si>
  <si>
    <t>Diametro pol</t>
  </si>
  <si>
    <t>Diametro corr</t>
  </si>
  <si>
    <t>Alt. Tot</t>
  </si>
  <si>
    <t>Traversino</t>
  </si>
  <si>
    <t>Lamiera superiore</t>
  </si>
  <si>
    <t>Bordo + nastro</t>
  </si>
  <si>
    <t>Diam corrugato</t>
  </si>
  <si>
    <t>N. Commessa</t>
  </si>
  <si>
    <t>Data</t>
  </si>
  <si>
    <t>Lunghezza Nastro</t>
  </si>
  <si>
    <t>Larghezza nastro</t>
  </si>
  <si>
    <t>Altezza Bordo</t>
  </si>
  <si>
    <t>Tipologia</t>
  </si>
  <si>
    <t>Lunghezza cassa</t>
  </si>
  <si>
    <t>Larghezza cassa</t>
  </si>
  <si>
    <t>Altezza cassa</t>
  </si>
  <si>
    <t>Numero file</t>
  </si>
  <si>
    <t>CALCOLATA</t>
  </si>
  <si>
    <t>REALE</t>
  </si>
  <si>
    <t>Conf.</t>
  </si>
  <si>
    <t>Tipo</t>
  </si>
  <si>
    <t>Bordi e tazze</t>
  </si>
  <si>
    <t>INPUT</t>
  </si>
  <si>
    <t>-</t>
  </si>
  <si>
    <t>Cassa in legno</t>
  </si>
  <si>
    <t>Aperto
Chiuso</t>
  </si>
  <si>
    <t>Aperto</t>
  </si>
  <si>
    <t>Cassa in ferro</t>
  </si>
  <si>
    <t>RISULTATO</t>
  </si>
  <si>
    <t>NOK</t>
  </si>
  <si>
    <t>Chiuso</t>
  </si>
  <si>
    <t>Solo bordi</t>
  </si>
  <si>
    <t>NOTE</t>
  </si>
  <si>
    <t>Da ricontrollare l'altezza e salvare immagine. In base alla foto l'altezza non può essere 2240, perchè se si considerano 9 strati di bordo da 200 + l'altezza del nastro, non ci stiamo dentro.</t>
  </si>
  <si>
    <t>Note</t>
  </si>
  <si>
    <t>Trasporto</t>
  </si>
  <si>
    <t>Nave; Camion;</t>
  </si>
  <si>
    <t>Camion STD</t>
  </si>
  <si>
    <t>Camion</t>
  </si>
  <si>
    <t>Open top</t>
  </si>
  <si>
    <t>Fuori std</t>
  </si>
  <si>
    <t>Diagonali ad incrocio</t>
  </si>
  <si>
    <t>Fondo in lamiera</t>
  </si>
  <si>
    <t>Cassa solo ritti</t>
  </si>
  <si>
    <t>Criterio 1</t>
  </si>
  <si>
    <t>Criterio 2</t>
  </si>
  <si>
    <t>Criterio 3</t>
  </si>
  <si>
    <t>SIG</t>
  </si>
  <si>
    <t>L&lt;6m</t>
  </si>
  <si>
    <t>20ft</t>
  </si>
  <si>
    <t xml:space="preserve">40 ft </t>
  </si>
  <si>
    <t>40 ft HC</t>
  </si>
  <si>
    <t>Altezza porta [mm]</t>
  </si>
  <si>
    <t>Larghezza porta [mm]</t>
  </si>
  <si>
    <t>28/'1/2022</t>
  </si>
  <si>
    <t>Al momento questo nastro non è calcolabile</t>
  </si>
  <si>
    <t>Da verificare</t>
  </si>
  <si>
    <t>Da capire. Fare prova con 100m se ci sta negli 11,8</t>
  </si>
  <si>
    <t>Ricontrollare versione nuova</t>
  </si>
  <si>
    <t>Ci sta in quella pedana ma non si riesce a mettere perchè il nastro troppo lungo</t>
  </si>
  <si>
    <t>Camion fuori STD</t>
  </si>
  <si>
    <t>15000 (primo step)</t>
  </si>
  <si>
    <t>2990 (2 step)</t>
  </si>
  <si>
    <t>3° step è aumentare di nuovo la larghezza</t>
  </si>
  <si>
    <t>Non c'è bisongo del panino?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</si>
</sst>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249977111117893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113">
    <xf numFmtId="0" fontId="0" fillId="0" borderId="0" xfId="0"/>
    <xf numFmtId="0" fontId="0" fillId="0" borderId="1" xfId="0" applyBorder="1"/>
    <xf numFmtId="0" fontId="0" fillId="2" borderId="1" xfId="0" applyFill="1" applyBorder="1"/>
    <xf numFmtId="44" fontId="0" fillId="2" borderId="1" xfId="1" applyFont="1" applyFill="1" applyBorder="1"/>
    <xf numFmtId="0" fontId="2" fillId="0" borderId="1" xfId="0" applyFont="1" applyBorder="1"/>
    <xf numFmtId="44" fontId="2" fillId="2" borderId="1" xfId="1" applyFont="1" applyFill="1" applyBorder="1"/>
    <xf numFmtId="0" fontId="2" fillId="0" borderId="2" xfId="0" applyFont="1" applyBorder="1" applyAlignment="1"/>
    <xf numFmtId="0" fontId="2" fillId="0" borderId="3" xfId="0" applyFont="1" applyBorder="1" applyAlignment="1"/>
    <xf numFmtId="0" fontId="0" fillId="0" borderId="1" xfId="0" applyFill="1" applyBorder="1"/>
    <xf numFmtId="0" fontId="2" fillId="0" borderId="1" xfId="0" applyFont="1" applyFill="1" applyBorder="1"/>
    <xf numFmtId="44" fontId="2" fillId="2" borderId="1" xfId="0" applyNumberFormat="1" applyFont="1" applyFill="1" applyBorder="1"/>
    <xf numFmtId="0" fontId="0" fillId="2" borderId="1" xfId="0" applyNumberFormat="1" applyFill="1" applyBorder="1"/>
    <xf numFmtId="0" fontId="2" fillId="2" borderId="1" xfId="0" applyNumberFormat="1" applyFont="1" applyFill="1" applyBorder="1"/>
    <xf numFmtId="44" fontId="2" fillId="3" borderId="1" xfId="0" applyNumberFormat="1" applyFont="1" applyFill="1" applyBorder="1"/>
    <xf numFmtId="164" fontId="2" fillId="3" borderId="1" xfId="0" applyNumberFormat="1" applyFont="1" applyFill="1" applyBorder="1"/>
    <xf numFmtId="0" fontId="3" fillId="4" borderId="1" xfId="2" applyBorder="1"/>
    <xf numFmtId="0" fontId="0" fillId="0" borderId="0" xfId="0" applyFill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0" borderId="5" xfId="3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4" borderId="15" xfId="2" applyBorder="1" applyAlignment="1">
      <alignment horizontal="center" vertical="center"/>
    </xf>
    <xf numFmtId="0" fontId="3" fillId="4" borderId="16" xfId="2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2" fillId="0" borderId="2" xfId="0" applyFont="1" applyFill="1" applyBorder="1"/>
    <xf numFmtId="0" fontId="3" fillId="4" borderId="2" xfId="2" applyBorder="1"/>
    <xf numFmtId="0" fontId="0" fillId="0" borderId="0" xfId="0" applyBorder="1"/>
    <xf numFmtId="0" fontId="2" fillId="0" borderId="0" xfId="0" applyFont="1" applyFill="1" applyBorder="1"/>
    <xf numFmtId="0" fontId="0" fillId="0" borderId="0" xfId="0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3" borderId="1" xfId="0" applyFont="1" applyFill="1" applyBorder="1"/>
    <xf numFmtId="0" fontId="0" fillId="3" borderId="1" xfId="0" applyFill="1" applyBorder="1"/>
    <xf numFmtId="0" fontId="0" fillId="0" borderId="0" xfId="0" applyAlignment="1">
      <alignment wrapText="1"/>
    </xf>
    <xf numFmtId="0" fontId="7" fillId="7" borderId="32" xfId="0" applyFont="1" applyFill="1" applyBorder="1" applyAlignment="1">
      <alignment horizontal="center" vertical="center" wrapText="1"/>
    </xf>
    <xf numFmtId="0" fontId="7" fillId="7" borderId="33" xfId="0" applyFont="1" applyFill="1" applyBorder="1" applyAlignment="1">
      <alignment horizontal="center" vertical="center" wrapText="1"/>
    </xf>
    <xf numFmtId="0" fontId="7" fillId="7" borderId="34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14" fontId="0" fillId="0" borderId="23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7" fillId="7" borderId="35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14" fontId="0" fillId="0" borderId="1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24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0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7" fillId="7" borderId="29" xfId="0" applyFont="1" applyFill="1" applyBorder="1" applyAlignment="1">
      <alignment horizontal="center" vertical="center"/>
    </xf>
    <xf numFmtId="0" fontId="7" fillId="7" borderId="30" xfId="0" applyFont="1" applyFill="1" applyBorder="1" applyAlignment="1">
      <alignment horizontal="center" vertical="center"/>
    </xf>
    <xf numFmtId="0" fontId="7" fillId="7" borderId="31" xfId="0" applyFont="1" applyFill="1" applyBorder="1" applyAlignment="1">
      <alignment horizontal="center" vertical="center"/>
    </xf>
    <xf numFmtId="0" fontId="7" fillId="7" borderId="26" xfId="0" applyFont="1" applyFill="1" applyBorder="1" applyAlignment="1">
      <alignment horizontal="center" vertical="center"/>
    </xf>
    <xf numFmtId="0" fontId="7" fillId="7" borderId="27" xfId="0" applyFont="1" applyFill="1" applyBorder="1" applyAlignment="1">
      <alignment horizontal="center" vertical="center"/>
    </xf>
    <xf numFmtId="0" fontId="7" fillId="7" borderId="28" xfId="0" applyFont="1" applyFill="1" applyBorder="1" applyAlignment="1">
      <alignment horizontal="center" vertical="center"/>
    </xf>
    <xf numFmtId="0" fontId="7" fillId="7" borderId="37" xfId="0" applyFont="1" applyFill="1" applyBorder="1" applyAlignment="1">
      <alignment horizontal="center" vertical="center" wrapText="1"/>
    </xf>
    <xf numFmtId="0" fontId="7" fillId="7" borderId="38" xfId="0" applyFont="1" applyFill="1" applyBorder="1" applyAlignment="1">
      <alignment horizontal="center" vertical="center" wrapText="1"/>
    </xf>
    <xf numFmtId="0" fontId="7" fillId="7" borderId="39" xfId="0" applyFont="1" applyFill="1" applyBorder="1" applyAlignment="1">
      <alignment horizontal="center" vertical="center" wrapText="1"/>
    </xf>
    <xf numFmtId="0" fontId="0" fillId="3" borderId="25" xfId="0" applyFill="1" applyBorder="1" applyAlignment="1">
      <alignment horizontal="center"/>
    </xf>
  </cellXfs>
  <cellStyles count="4">
    <cellStyle name="Currency" xfId="1" builtinId="4"/>
    <cellStyle name="Good" xfId="2" builtinId="26"/>
    <cellStyle name="Hyperlink" xfId="3" builtinId="8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123825</xdr:colOff>
          <xdr:row>2</xdr:row>
          <xdr:rowOff>28575</xdr:rowOff>
        </xdr:from>
        <xdr:to>
          <xdr:col>5</xdr:col>
          <xdr:colOff>676275</xdr:colOff>
          <xdr:row>2</xdr:row>
          <xdr:rowOff>447675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85725</xdr:rowOff>
        </xdr:from>
        <xdr:to>
          <xdr:col>5</xdr:col>
          <xdr:colOff>723900</xdr:colOff>
          <xdr:row>3</xdr:row>
          <xdr:rowOff>542925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4</xdr:row>
          <xdr:rowOff>38100</xdr:rowOff>
        </xdr:from>
        <xdr:to>
          <xdr:col>5</xdr:col>
          <xdr:colOff>762000</xdr:colOff>
          <xdr:row>4</xdr:row>
          <xdr:rowOff>561975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5</xdr:row>
          <xdr:rowOff>47625</xdr:rowOff>
        </xdr:from>
        <xdr:to>
          <xdr:col>5</xdr:col>
          <xdr:colOff>762000</xdr:colOff>
          <xdr:row>5</xdr:row>
          <xdr:rowOff>600075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6</xdr:row>
          <xdr:rowOff>133350</xdr:rowOff>
        </xdr:from>
        <xdr:to>
          <xdr:col>5</xdr:col>
          <xdr:colOff>685800</xdr:colOff>
          <xdr:row>6</xdr:row>
          <xdr:rowOff>581025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7</xdr:row>
          <xdr:rowOff>104775</xdr:rowOff>
        </xdr:from>
        <xdr:to>
          <xdr:col>5</xdr:col>
          <xdr:colOff>714375</xdr:colOff>
          <xdr:row>7</xdr:row>
          <xdr:rowOff>581025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</xdr:colOff>
      <xdr:row>11</xdr:row>
      <xdr:rowOff>76200</xdr:rowOff>
    </xdr:from>
    <xdr:to>
      <xdr:col>18</xdr:col>
      <xdr:colOff>115123</xdr:colOff>
      <xdr:row>25</xdr:row>
      <xdr:rowOff>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169"/>
        <a:stretch/>
      </xdr:blipFill>
      <xdr:spPr>
        <a:xfrm>
          <a:off x="8639175" y="2171700"/>
          <a:ext cx="5591998" cy="2591217"/>
        </a:xfrm>
        <a:prstGeom prst="rect">
          <a:avLst/>
        </a:prstGeom>
      </xdr:spPr>
    </xdr:pic>
    <xdr:clientData/>
  </xdr:twoCellAnchor>
  <xdr:twoCellAnchor>
    <xdr:from>
      <xdr:col>10</xdr:col>
      <xdr:colOff>152400</xdr:colOff>
      <xdr:row>17</xdr:row>
      <xdr:rowOff>19050</xdr:rowOff>
    </xdr:from>
    <xdr:to>
      <xdr:col>11</xdr:col>
      <xdr:colOff>161925</xdr:colOff>
      <xdr:row>18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flipH="1" flipV="1">
          <a:off x="9391650" y="3257550"/>
          <a:ext cx="619125" cy="2190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28575</xdr:colOff>
      <xdr:row>17</xdr:row>
      <xdr:rowOff>104775</xdr:rowOff>
    </xdr:from>
    <xdr:to>
      <xdr:col>18</xdr:col>
      <xdr:colOff>19050</xdr:colOff>
      <xdr:row>24</xdr:row>
      <xdr:rowOff>142875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13535025" y="3343275"/>
          <a:ext cx="600075" cy="13716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600075</xdr:colOff>
      <xdr:row>12</xdr:row>
      <xdr:rowOff>9525</xdr:rowOff>
    </xdr:from>
    <xdr:to>
      <xdr:col>20</xdr:col>
      <xdr:colOff>239181</xdr:colOff>
      <xdr:row>30</xdr:row>
      <xdr:rowOff>86214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10525" y="2295525"/>
          <a:ext cx="7563906" cy="3505689"/>
        </a:xfrm>
        <a:prstGeom prst="rect">
          <a:avLst/>
        </a:prstGeom>
      </xdr:spPr>
    </xdr:pic>
    <xdr:clientData/>
  </xdr:twoCellAnchor>
  <xdr:twoCellAnchor>
    <xdr:from>
      <xdr:col>11</xdr:col>
      <xdr:colOff>219075</xdr:colOff>
      <xdr:row>14</xdr:row>
      <xdr:rowOff>95250</xdr:rowOff>
    </xdr:from>
    <xdr:to>
      <xdr:col>11</xdr:col>
      <xdr:colOff>247651</xdr:colOff>
      <xdr:row>28</xdr:row>
      <xdr:rowOff>180976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 flipH="1" flipV="1">
          <a:off x="10067925" y="2762250"/>
          <a:ext cx="28576" cy="275272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333375</xdr:colOff>
      <xdr:row>27</xdr:row>
      <xdr:rowOff>114300</xdr:rowOff>
    </xdr:from>
    <xdr:to>
      <xdr:col>12</xdr:col>
      <xdr:colOff>66675</xdr:colOff>
      <xdr:row>28</xdr:row>
      <xdr:rowOff>123825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0182225" y="5257800"/>
          <a:ext cx="342900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11</xdr:col>
      <xdr:colOff>342900</xdr:colOff>
      <xdr:row>26</xdr:row>
      <xdr:rowOff>28575</xdr:rowOff>
    </xdr:from>
    <xdr:to>
      <xdr:col>12</xdr:col>
      <xdr:colOff>76200</xdr:colOff>
      <xdr:row>27</xdr:row>
      <xdr:rowOff>38100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0191750" y="4981575"/>
          <a:ext cx="342900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11</xdr:col>
      <xdr:colOff>352425</xdr:colOff>
      <xdr:row>24</xdr:row>
      <xdr:rowOff>142875</xdr:rowOff>
    </xdr:from>
    <xdr:to>
      <xdr:col>12</xdr:col>
      <xdr:colOff>85725</xdr:colOff>
      <xdr:row>25</xdr:row>
      <xdr:rowOff>152400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10201275" y="4714875"/>
          <a:ext cx="342900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11</xdr:col>
      <xdr:colOff>361950</xdr:colOff>
      <xdr:row>23</xdr:row>
      <xdr:rowOff>38100</xdr:rowOff>
    </xdr:from>
    <xdr:to>
      <xdr:col>12</xdr:col>
      <xdr:colOff>28575</xdr:colOff>
      <xdr:row>24</xdr:row>
      <xdr:rowOff>47625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10210800" y="4419600"/>
          <a:ext cx="276225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10</xdr:col>
      <xdr:colOff>523875</xdr:colOff>
      <xdr:row>19</xdr:row>
      <xdr:rowOff>47625</xdr:rowOff>
    </xdr:from>
    <xdr:to>
      <xdr:col>11</xdr:col>
      <xdr:colOff>228600</xdr:colOff>
      <xdr:row>19</xdr:row>
      <xdr:rowOff>171450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9763125" y="3667125"/>
          <a:ext cx="314325" cy="123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10</xdr:col>
      <xdr:colOff>552450</xdr:colOff>
      <xdr:row>18</xdr:row>
      <xdr:rowOff>104775</xdr:rowOff>
    </xdr:from>
    <xdr:to>
      <xdr:col>11</xdr:col>
      <xdr:colOff>257175</xdr:colOff>
      <xdr:row>19</xdr:row>
      <xdr:rowOff>38100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9791700" y="3533775"/>
          <a:ext cx="314325" cy="123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10</xdr:col>
      <xdr:colOff>533400</xdr:colOff>
      <xdr:row>15</xdr:row>
      <xdr:rowOff>133350</xdr:rowOff>
    </xdr:from>
    <xdr:to>
      <xdr:col>11</xdr:col>
      <xdr:colOff>200025</xdr:colOff>
      <xdr:row>16</xdr:row>
      <xdr:rowOff>38100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9772650" y="2990850"/>
          <a:ext cx="276225" cy="95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10</xdr:col>
      <xdr:colOff>533400</xdr:colOff>
      <xdr:row>15</xdr:row>
      <xdr:rowOff>28575</xdr:rowOff>
    </xdr:from>
    <xdr:to>
      <xdr:col>11</xdr:col>
      <xdr:colOff>200025</xdr:colOff>
      <xdr:row>15</xdr:row>
      <xdr:rowOff>123825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9772650" y="2886075"/>
          <a:ext cx="276225" cy="95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133350</xdr:colOff>
      <xdr:row>3</xdr:row>
      <xdr:rowOff>66674</xdr:rowOff>
    </xdr:from>
    <xdr:to>
      <xdr:col>21</xdr:col>
      <xdr:colOff>484695</xdr:colOff>
      <xdr:row>30</xdr:row>
      <xdr:rowOff>103737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01400" y="638174"/>
          <a:ext cx="5228145" cy="51805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A4F95-3133-4792-8CC5-503D186F742F}">
  <dimension ref="A1:G36"/>
  <sheetViews>
    <sheetView zoomScaleNormal="100" workbookViewId="0">
      <selection activeCell="C32" sqref="C32"/>
    </sheetView>
  </sheetViews>
  <sheetFormatPr defaultRowHeight="15" x14ac:dyDescent="0.25"/>
  <cols>
    <col min="1" max="1" width="30.140625" bestFit="1" customWidth="1"/>
    <col min="2" max="2" width="11" bestFit="1" customWidth="1"/>
    <col min="3" max="3" width="20.7109375" bestFit="1" customWidth="1"/>
    <col min="4" max="4" width="22.140625" bestFit="1" customWidth="1"/>
    <col min="5" max="5" width="45.42578125" bestFit="1" customWidth="1"/>
    <col min="6" max="7" width="11.42578125" bestFit="1" customWidth="1"/>
    <col min="12" max="12" width="8.85546875" customWidth="1"/>
  </cols>
  <sheetData>
    <row r="1" spans="1:7" x14ac:dyDescent="0.25">
      <c r="A1" s="92" t="s">
        <v>5</v>
      </c>
      <c r="B1" s="93"/>
      <c r="E1" s="6" t="s">
        <v>3</v>
      </c>
      <c r="F1" s="7" t="s">
        <v>10</v>
      </c>
      <c r="G1" s="4" t="s">
        <v>11</v>
      </c>
    </row>
    <row r="2" spans="1:7" x14ac:dyDescent="0.25">
      <c r="A2" s="1" t="s">
        <v>12</v>
      </c>
      <c r="B2" s="2">
        <v>10.6</v>
      </c>
      <c r="E2" s="1" t="s">
        <v>4</v>
      </c>
      <c r="F2" s="2">
        <v>7.8739999999999997</v>
      </c>
      <c r="G2" s="2"/>
    </row>
    <row r="3" spans="1:7" x14ac:dyDescent="0.25">
      <c r="A3" s="1" t="s">
        <v>13</v>
      </c>
      <c r="B3" s="2">
        <v>1.2</v>
      </c>
      <c r="E3" s="1" t="s">
        <v>27</v>
      </c>
      <c r="F3" s="2">
        <f>(80*50-72*42)*F2*0.001</f>
        <v>7.6850239999999994</v>
      </c>
      <c r="G3" s="3">
        <v>4.5</v>
      </c>
    </row>
    <row r="4" spans="1:7" x14ac:dyDescent="0.25">
      <c r="A4" s="1" t="s">
        <v>14</v>
      </c>
      <c r="B4" s="2">
        <v>2.2200000000000002</v>
      </c>
      <c r="E4" s="1" t="s">
        <v>28</v>
      </c>
      <c r="F4" s="2">
        <f>(40^2-34^2)*F2*0.001</f>
        <v>3.4960560000000003</v>
      </c>
      <c r="G4" s="3">
        <v>2</v>
      </c>
    </row>
    <row r="5" spans="1:7" x14ac:dyDescent="0.25">
      <c r="A5" s="1" t="s">
        <v>0</v>
      </c>
      <c r="B5" s="2" t="str">
        <f>IF(B2&gt;=8,"Si","No")</f>
        <v>Si</v>
      </c>
      <c r="E5" s="1" t="s">
        <v>29</v>
      </c>
      <c r="F5" s="2">
        <f>(20^2*PI()-18^2*PI())*F2*0.001</f>
        <v>1.8800044421318192</v>
      </c>
      <c r="G5" s="3">
        <v>0.75</v>
      </c>
    </row>
    <row r="6" spans="1:7" x14ac:dyDescent="0.25">
      <c r="A6" s="1" t="s">
        <v>2</v>
      </c>
      <c r="B6" s="2" t="s">
        <v>61</v>
      </c>
      <c r="E6" s="8" t="s">
        <v>62</v>
      </c>
      <c r="F6" s="2">
        <v>2.97</v>
      </c>
      <c r="G6" s="3">
        <v>0.28000000000000003</v>
      </c>
    </row>
    <row r="7" spans="1:7" x14ac:dyDescent="0.25">
      <c r="A7" s="1" t="s">
        <v>49</v>
      </c>
      <c r="B7" s="2" t="s">
        <v>61</v>
      </c>
      <c r="E7" s="8" t="s">
        <v>58</v>
      </c>
      <c r="F7" s="2">
        <v>0.2</v>
      </c>
      <c r="G7" s="3">
        <v>0.5</v>
      </c>
    </row>
    <row r="8" spans="1:7" x14ac:dyDescent="0.25">
      <c r="A8" s="1" t="s">
        <v>1</v>
      </c>
      <c r="B8" s="2" t="s">
        <v>61</v>
      </c>
      <c r="E8" s="8" t="s">
        <v>59</v>
      </c>
      <c r="F8" s="2">
        <v>0.01</v>
      </c>
      <c r="G8" s="3">
        <v>10</v>
      </c>
    </row>
    <row r="9" spans="1:7" x14ac:dyDescent="0.25">
      <c r="A9" s="8" t="s">
        <v>52</v>
      </c>
      <c r="B9" s="2">
        <v>2</v>
      </c>
    </row>
    <row r="10" spans="1:7" x14ac:dyDescent="0.25">
      <c r="A10" s="8" t="s">
        <v>55</v>
      </c>
      <c r="B10" s="2">
        <f>B2-ROUNDDOWN(B2/2,0)*2</f>
        <v>0.59999999999999964</v>
      </c>
    </row>
    <row r="12" spans="1:7" x14ac:dyDescent="0.25">
      <c r="A12" s="4" t="s">
        <v>6</v>
      </c>
      <c r="B12" s="1"/>
      <c r="C12" s="4" t="s">
        <v>22</v>
      </c>
      <c r="E12" s="4" t="s">
        <v>30</v>
      </c>
      <c r="F12" s="13">
        <f>SUM(B18,B36)</f>
        <v>1797.0907848489171</v>
      </c>
    </row>
    <row r="13" spans="1:7" x14ac:dyDescent="0.25">
      <c r="A13" s="1" t="s">
        <v>7</v>
      </c>
      <c r="B13" s="3">
        <v>220</v>
      </c>
      <c r="C13" s="15" t="s">
        <v>23</v>
      </c>
      <c r="E13" s="4" t="s">
        <v>21</v>
      </c>
      <c r="F13" s="14">
        <f>C36</f>
        <v>983.25969711501227</v>
      </c>
    </row>
    <row r="14" spans="1:7" x14ac:dyDescent="0.25">
      <c r="A14" s="1" t="s">
        <v>0</v>
      </c>
      <c r="B14" s="3">
        <f>IF(B5="Si",200,0)</f>
        <v>200</v>
      </c>
      <c r="C14" s="15" t="s">
        <v>23</v>
      </c>
    </row>
    <row r="15" spans="1:7" x14ac:dyDescent="0.25">
      <c r="A15" s="1" t="s">
        <v>2</v>
      </c>
      <c r="B15" s="3">
        <f>IF(B6="Si",300,0)</f>
        <v>300</v>
      </c>
      <c r="C15" s="15" t="s">
        <v>23</v>
      </c>
    </row>
    <row r="16" spans="1:7" x14ac:dyDescent="0.25">
      <c r="A16" s="1" t="s">
        <v>50</v>
      </c>
      <c r="B16" s="3">
        <f>IF(B7="Si",250,0)</f>
        <v>250</v>
      </c>
      <c r="C16" s="15" t="s">
        <v>23</v>
      </c>
    </row>
    <row r="17" spans="1:6" x14ac:dyDescent="0.25">
      <c r="A17" s="1" t="s">
        <v>1</v>
      </c>
      <c r="B17" s="3">
        <f>IF(AND(B8="Si",B2&lt;9),200,IF(AND(B8="Si",B2&gt;=9),250,0))</f>
        <v>250</v>
      </c>
      <c r="C17" s="15" t="s">
        <v>23</v>
      </c>
    </row>
    <row r="18" spans="1:6" x14ac:dyDescent="0.25">
      <c r="A18" s="4" t="s">
        <v>9</v>
      </c>
      <c r="B18" s="5">
        <f>SUM(B13:B17)</f>
        <v>1220</v>
      </c>
      <c r="C18" s="1"/>
      <c r="E18" s="47"/>
      <c r="F18" s="47"/>
    </row>
    <row r="19" spans="1:6" x14ac:dyDescent="0.25">
      <c r="E19" s="47"/>
      <c r="F19" s="47"/>
    </row>
    <row r="20" spans="1:6" x14ac:dyDescent="0.25">
      <c r="A20" s="4" t="s">
        <v>31</v>
      </c>
      <c r="B20" s="4" t="s">
        <v>11</v>
      </c>
      <c r="C20" s="4" t="s">
        <v>24</v>
      </c>
      <c r="D20" s="45" t="s">
        <v>22</v>
      </c>
      <c r="E20" s="48"/>
      <c r="F20" s="47"/>
    </row>
    <row r="21" spans="1:6" x14ac:dyDescent="0.25">
      <c r="A21" s="1" t="s">
        <v>18</v>
      </c>
      <c r="B21" s="3">
        <f>B2*G3*4</f>
        <v>190.79999999999998</v>
      </c>
      <c r="C21" s="11">
        <f>B2*F3*4</f>
        <v>325.84501759999995</v>
      </c>
      <c r="D21" s="46"/>
      <c r="E21" s="49"/>
      <c r="F21" s="47"/>
    </row>
    <row r="22" spans="1:6" x14ac:dyDescent="0.25">
      <c r="A22" s="1" t="s">
        <v>51</v>
      </c>
      <c r="B22" s="3">
        <f>IF(B2&gt;=8,B9*G3*4,0)</f>
        <v>36</v>
      </c>
      <c r="C22" s="11">
        <f>IF(B2&gt;=8,B9*F3*4,0)</f>
        <v>61.480191999999995</v>
      </c>
      <c r="D22" s="15"/>
      <c r="E22" s="16"/>
    </row>
    <row r="23" spans="1:6" x14ac:dyDescent="0.25">
      <c r="A23" s="1" t="s">
        <v>15</v>
      </c>
      <c r="B23" s="3">
        <f>ROUND((B2+1),0)*G3*B3</f>
        <v>64.8</v>
      </c>
      <c r="C23" s="11">
        <f>ROUND((B2+1),0)*F3*B3</f>
        <v>110.66434559999999</v>
      </c>
      <c r="D23" s="15"/>
      <c r="E23" s="16"/>
    </row>
    <row r="24" spans="1:6" x14ac:dyDescent="0.25">
      <c r="A24" s="1" t="s">
        <v>16</v>
      </c>
      <c r="B24" s="3">
        <f>ROUND(((B2/2)+1),0)*G4*B3</f>
        <v>14.399999999999999</v>
      </c>
      <c r="C24" s="11">
        <f>ROUND(((B2/2)+1),0)*F4*B3</f>
        <v>25.171603200000003</v>
      </c>
      <c r="D24" s="15"/>
      <c r="E24" s="16"/>
    </row>
    <row r="25" spans="1:6" x14ac:dyDescent="0.25">
      <c r="A25" s="1" t="s">
        <v>17</v>
      </c>
      <c r="B25" s="3">
        <f>ROUND((B2+1),0)*B4*G4</f>
        <v>53.28</v>
      </c>
      <c r="C25" s="11">
        <f>ROUND((B2+1),0)*B4*F4</f>
        <v>93.134931840000007</v>
      </c>
      <c r="D25" s="15"/>
      <c r="E25" s="16"/>
    </row>
    <row r="26" spans="1:6" x14ac:dyDescent="0.25">
      <c r="A26" s="1" t="s">
        <v>53</v>
      </c>
      <c r="B26" s="3">
        <f>SQRT(2^2+B4^2)*ROUNDDOWN(B2,0)*G4</f>
        <v>59.760856754233373</v>
      </c>
      <c r="C26" s="11">
        <f>SQRT(2^2+B4^2)*ROUNDDOWN(B2,0)*F4</f>
        <v>104.46365091038906</v>
      </c>
      <c r="D26" s="15"/>
      <c r="E26" s="16"/>
    </row>
    <row r="27" spans="1:6" x14ac:dyDescent="0.25">
      <c r="A27" s="1" t="s">
        <v>54</v>
      </c>
      <c r="B27" s="3">
        <f>SQRT(B10^2+B4^2)*G4*2</f>
        <v>9.1986085904336647</v>
      </c>
      <c r="C27" s="11">
        <f>SQRT(B10^2+B4^2)*F4*2</f>
        <v>16.079425377118579</v>
      </c>
      <c r="D27" s="15"/>
      <c r="E27" s="16"/>
    </row>
    <row r="28" spans="1:6" x14ac:dyDescent="0.25">
      <c r="A28" s="1" t="s">
        <v>56</v>
      </c>
      <c r="B28" s="3">
        <f>SQRT(2^2+B4^2)*ROUNDDOWN(B2,0)*G5</f>
        <v>22.410321282837515</v>
      </c>
      <c r="C28" s="11">
        <f>SQRT(2^2+B4^2)*ROUNDDOWN(B2,0)*F5</f>
        <v>56.175338081781035</v>
      </c>
      <c r="D28" s="15"/>
      <c r="E28" s="16"/>
    </row>
    <row r="29" spans="1:6" x14ac:dyDescent="0.25">
      <c r="A29" s="1" t="s">
        <v>60</v>
      </c>
      <c r="B29" s="3">
        <f>SQRT(B10^2+B4^2)*G5*2</f>
        <v>3.4494782214126243</v>
      </c>
      <c r="C29" s="11">
        <f>SQRT(B10^2+B4^2)*F5*2</f>
        <v>8.6467125057236007</v>
      </c>
      <c r="D29" s="15"/>
      <c r="E29" s="16"/>
    </row>
    <row r="30" spans="1:6" x14ac:dyDescent="0.25">
      <c r="A30" s="8" t="s">
        <v>19</v>
      </c>
      <c r="B30" s="3">
        <f>B2*B4*2*G6</f>
        <v>13.177920000000002</v>
      </c>
      <c r="C30" s="11">
        <f>B2*B4*2*F6</f>
        <v>139.78008</v>
      </c>
      <c r="D30" s="15"/>
      <c r="E30" s="16"/>
    </row>
    <row r="31" spans="1:6" x14ac:dyDescent="0.25">
      <c r="A31" s="8" t="s">
        <v>26</v>
      </c>
      <c r="B31" s="3">
        <f>B2*B3*G6</f>
        <v>3.5615999999999999</v>
      </c>
      <c r="C31" s="11">
        <f>B2*B3*F6</f>
        <v>37.778399999999998</v>
      </c>
      <c r="D31" s="15"/>
      <c r="E31" s="16"/>
    </row>
    <row r="32" spans="1:6" x14ac:dyDescent="0.25">
      <c r="A32" s="8" t="s">
        <v>8</v>
      </c>
      <c r="B32" s="3">
        <v>60</v>
      </c>
      <c r="C32" s="11">
        <v>4</v>
      </c>
      <c r="D32" s="15"/>
      <c r="E32" s="16"/>
    </row>
    <row r="33" spans="1:5" x14ac:dyDescent="0.25">
      <c r="A33" s="8" t="s">
        <v>25</v>
      </c>
      <c r="B33" s="3">
        <v>10</v>
      </c>
      <c r="C33" s="11">
        <f>F8*4</f>
        <v>0.04</v>
      </c>
      <c r="D33" s="15"/>
      <c r="E33" s="16"/>
    </row>
    <row r="34" spans="1:5" x14ac:dyDescent="0.25">
      <c r="A34" s="8" t="s">
        <v>20</v>
      </c>
      <c r="B34" s="3"/>
      <c r="C34" s="11"/>
      <c r="D34" s="15"/>
      <c r="E34" s="16"/>
    </row>
    <row r="35" spans="1:5" x14ac:dyDescent="0.25">
      <c r="A35" s="8" t="s">
        <v>57</v>
      </c>
      <c r="B35" s="3">
        <f>(B2*B4*2+B2*B3*2)*G7</f>
        <v>36.251999999999995</v>
      </c>
      <c r="C35" s="11">
        <f>F7*(B2*B4*2+B2*B3*2)</f>
        <v>14.500799999999998</v>
      </c>
      <c r="D35" s="15"/>
      <c r="E35" s="16"/>
    </row>
    <row r="36" spans="1:5" x14ac:dyDescent="0.25">
      <c r="A36" s="9" t="s">
        <v>9</v>
      </c>
      <c r="B36" s="10">
        <f>SUM(B21:B35)</f>
        <v>577.09078484891711</v>
      </c>
      <c r="C36" s="12">
        <f>SUM(C21:C34)</f>
        <v>983.25969711501227</v>
      </c>
      <c r="D36" s="15"/>
      <c r="E36" s="16"/>
    </row>
  </sheetData>
  <mergeCells count="1">
    <mergeCell ref="A1:B1"/>
  </mergeCells>
  <dataValidations disablePrompts="1" count="1">
    <dataValidation type="list" allowBlank="1" showInputMessage="1" showErrorMessage="1" sqref="B6:B8" xr:uid="{889F7A08-76CA-49FF-B344-072017510DBF}">
      <formula1>"Si,No,"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CE984-D0C5-4D28-A8F7-AA6D6D7AF8BD}">
  <dimension ref="A1:J8"/>
  <sheetViews>
    <sheetView workbookViewId="0">
      <selection activeCell="C5" sqref="C5"/>
    </sheetView>
  </sheetViews>
  <sheetFormatPr defaultRowHeight="15" x14ac:dyDescent="0.25"/>
  <cols>
    <col min="1" max="1" width="12.140625" style="18" bestFit="1" customWidth="1"/>
    <col min="2" max="2" width="20" style="18" bestFit="1" customWidth="1"/>
    <col min="3" max="3" width="18.7109375" style="18" bestFit="1" customWidth="1"/>
    <col min="4" max="4" width="23.140625" style="18" bestFit="1" customWidth="1"/>
    <col min="5" max="5" width="16.140625" style="18" bestFit="1" customWidth="1"/>
    <col min="6" max="6" width="12.140625" style="18" bestFit="1" customWidth="1"/>
    <col min="7" max="7" width="13.85546875" style="18" bestFit="1" customWidth="1"/>
    <col min="8" max="8" width="12.7109375" style="18" bestFit="1" customWidth="1"/>
    <col min="9" max="9" width="9.140625" style="18"/>
    <col min="10" max="10" width="100.140625" style="19" bestFit="1" customWidth="1"/>
  </cols>
  <sheetData>
    <row r="1" spans="1:10" x14ac:dyDescent="0.25">
      <c r="A1" s="36"/>
      <c r="B1" s="94" t="s">
        <v>33</v>
      </c>
      <c r="C1" s="96"/>
      <c r="D1" s="96"/>
      <c r="E1" s="96"/>
      <c r="F1" s="95"/>
      <c r="G1" s="94" t="s">
        <v>38</v>
      </c>
      <c r="H1" s="95"/>
      <c r="I1" s="97" t="s">
        <v>40</v>
      </c>
      <c r="J1" s="97" t="s">
        <v>41</v>
      </c>
    </row>
    <row r="2" spans="1:10" ht="15.75" thickBot="1" x14ac:dyDescent="0.3">
      <c r="A2" s="37" t="s">
        <v>32</v>
      </c>
      <c r="B2" s="41" t="s">
        <v>34</v>
      </c>
      <c r="C2" s="26" t="s">
        <v>35</v>
      </c>
      <c r="D2" s="26" t="s">
        <v>12</v>
      </c>
      <c r="E2" s="26" t="s">
        <v>36</v>
      </c>
      <c r="F2" s="42" t="s">
        <v>37</v>
      </c>
      <c r="G2" s="20" t="s">
        <v>39</v>
      </c>
      <c r="H2" s="21" t="s">
        <v>14</v>
      </c>
      <c r="I2" s="98"/>
      <c r="J2" s="98"/>
    </row>
    <row r="3" spans="1:10" ht="39" customHeight="1" x14ac:dyDescent="0.25">
      <c r="A3" s="38">
        <v>1</v>
      </c>
      <c r="B3" s="27">
        <v>80</v>
      </c>
      <c r="C3" s="28">
        <v>120</v>
      </c>
      <c r="D3" s="28">
        <v>8</v>
      </c>
      <c r="E3" s="28">
        <v>1.9</v>
      </c>
      <c r="F3" s="29"/>
      <c r="G3" s="22">
        <v>8.1999999999999993</v>
      </c>
      <c r="H3" s="23">
        <v>1.9</v>
      </c>
      <c r="I3" s="31" t="s">
        <v>23</v>
      </c>
      <c r="J3" s="33" t="s">
        <v>42</v>
      </c>
    </row>
    <row r="4" spans="1:10" ht="47.25" customHeight="1" x14ac:dyDescent="0.25">
      <c r="A4" s="39">
        <v>2</v>
      </c>
      <c r="B4" s="22">
        <v>60</v>
      </c>
      <c r="C4" s="17">
        <v>280</v>
      </c>
      <c r="D4" s="17">
        <v>11.8</v>
      </c>
      <c r="E4" s="17">
        <v>2.25</v>
      </c>
      <c r="F4" s="23"/>
      <c r="G4" s="22">
        <v>11</v>
      </c>
      <c r="H4" s="23">
        <v>2.2000000000000002</v>
      </c>
      <c r="I4" s="31" t="s">
        <v>23</v>
      </c>
      <c r="J4" s="33" t="s">
        <v>43</v>
      </c>
    </row>
    <row r="5" spans="1:10" ht="49.5" customHeight="1" x14ac:dyDescent="0.25">
      <c r="A5" s="39">
        <v>3</v>
      </c>
      <c r="B5" s="22">
        <v>48.2</v>
      </c>
      <c r="C5" s="17">
        <v>200</v>
      </c>
      <c r="D5" s="17">
        <v>6</v>
      </c>
      <c r="E5" s="17">
        <v>1.8</v>
      </c>
      <c r="F5" s="23"/>
      <c r="G5" s="43">
        <v>9.6</v>
      </c>
      <c r="H5" s="44">
        <v>1.64</v>
      </c>
      <c r="I5" s="31" t="s">
        <v>23</v>
      </c>
      <c r="J5" s="34" t="s">
        <v>44</v>
      </c>
    </row>
    <row r="6" spans="1:10" ht="50.25" customHeight="1" x14ac:dyDescent="0.25">
      <c r="A6" s="39">
        <v>4</v>
      </c>
      <c r="B6" s="22">
        <v>41.3</v>
      </c>
      <c r="C6" s="17">
        <v>120</v>
      </c>
      <c r="D6" s="17">
        <v>4</v>
      </c>
      <c r="E6" s="17" t="s">
        <v>45</v>
      </c>
      <c r="F6" s="23"/>
      <c r="G6" s="22">
        <v>4.2</v>
      </c>
      <c r="H6" s="23">
        <v>2</v>
      </c>
      <c r="I6" s="31" t="s">
        <v>23</v>
      </c>
      <c r="J6" s="33" t="s">
        <v>46</v>
      </c>
    </row>
    <row r="7" spans="1:10" ht="55.5" customHeight="1" x14ac:dyDescent="0.25">
      <c r="A7" s="39">
        <v>5</v>
      </c>
      <c r="B7" s="22">
        <v>67</v>
      </c>
      <c r="C7" s="17">
        <v>200</v>
      </c>
      <c r="D7" s="17">
        <v>9</v>
      </c>
      <c r="E7" s="17" t="s">
        <v>45</v>
      </c>
      <c r="F7" s="23"/>
      <c r="G7" s="22">
        <v>10</v>
      </c>
      <c r="H7" s="23">
        <v>2.1</v>
      </c>
      <c r="I7" s="31" t="s">
        <v>23</v>
      </c>
      <c r="J7" s="34" t="s">
        <v>47</v>
      </c>
    </row>
    <row r="8" spans="1:10" ht="55.5" customHeight="1" thickBot="1" x14ac:dyDescent="0.3">
      <c r="A8" s="40">
        <v>6</v>
      </c>
      <c r="B8" s="24">
        <v>95</v>
      </c>
      <c r="C8" s="30">
        <v>120</v>
      </c>
      <c r="D8" s="30">
        <v>7.7</v>
      </c>
      <c r="E8" s="30">
        <v>2.2000000000000002</v>
      </c>
      <c r="F8" s="25"/>
      <c r="G8" s="24">
        <v>8</v>
      </c>
      <c r="H8" s="25">
        <v>2.1</v>
      </c>
      <c r="I8" s="32" t="s">
        <v>23</v>
      </c>
      <c r="J8" s="35" t="s">
        <v>48</v>
      </c>
    </row>
  </sheetData>
  <mergeCells count="4">
    <mergeCell ref="G1:H1"/>
    <mergeCell ref="B1:F1"/>
    <mergeCell ref="I1:I2"/>
    <mergeCell ref="J1:J2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Oggetto shell Packager" dvAspect="DVASPECT_ICON" shapeId="2049" r:id="rId4">
          <objectPr defaultSize="0" autoPict="0" r:id="rId5">
            <anchor moveWithCells="1">
              <from>
                <xdr:col>5</xdr:col>
                <xdr:colOff>123825</xdr:colOff>
                <xdr:row>2</xdr:row>
                <xdr:rowOff>28575</xdr:rowOff>
              </from>
              <to>
                <xdr:col>5</xdr:col>
                <xdr:colOff>676275</xdr:colOff>
                <xdr:row>2</xdr:row>
                <xdr:rowOff>447675</xdr:rowOff>
              </to>
            </anchor>
          </objectPr>
        </oleObject>
      </mc:Choice>
      <mc:Fallback>
        <oleObject progId="Oggetto shell Packager" dvAspect="DVASPECT_ICON" shapeId="2049" r:id="rId4"/>
      </mc:Fallback>
    </mc:AlternateContent>
    <mc:AlternateContent xmlns:mc="http://schemas.openxmlformats.org/markup-compatibility/2006">
      <mc:Choice Requires="x14">
        <oleObject progId="Oggetto shell Packager" dvAspect="DVASPECT_ICON" shapeId="2050" r:id="rId6">
          <objectPr defaultSize="0" autoPict="0" r:id="rId7">
            <anchor moveWithCells="1">
              <from>
                <xdr:col>5</xdr:col>
                <xdr:colOff>114300</xdr:colOff>
                <xdr:row>3</xdr:row>
                <xdr:rowOff>85725</xdr:rowOff>
              </from>
              <to>
                <xdr:col>5</xdr:col>
                <xdr:colOff>723900</xdr:colOff>
                <xdr:row>3</xdr:row>
                <xdr:rowOff>542925</xdr:rowOff>
              </to>
            </anchor>
          </objectPr>
        </oleObject>
      </mc:Choice>
      <mc:Fallback>
        <oleObject progId="Oggetto shell Packager" dvAspect="DVASPECT_ICON" shapeId="2050" r:id="rId6"/>
      </mc:Fallback>
    </mc:AlternateContent>
    <mc:AlternateContent xmlns:mc="http://schemas.openxmlformats.org/markup-compatibility/2006">
      <mc:Choice Requires="x14">
        <oleObject progId="Oggetto shell Packager" dvAspect="DVASPECT_ICON" shapeId="2051" r:id="rId8">
          <objectPr defaultSize="0" autoPict="0" r:id="rId9">
            <anchor moveWithCells="1">
              <from>
                <xdr:col>5</xdr:col>
                <xdr:colOff>66675</xdr:colOff>
                <xdr:row>4</xdr:row>
                <xdr:rowOff>38100</xdr:rowOff>
              </from>
              <to>
                <xdr:col>5</xdr:col>
                <xdr:colOff>762000</xdr:colOff>
                <xdr:row>4</xdr:row>
                <xdr:rowOff>561975</xdr:rowOff>
              </to>
            </anchor>
          </objectPr>
        </oleObject>
      </mc:Choice>
      <mc:Fallback>
        <oleObject progId="Oggetto shell Packager" dvAspect="DVASPECT_ICON" shapeId="2051" r:id="rId8"/>
      </mc:Fallback>
    </mc:AlternateContent>
    <mc:AlternateContent xmlns:mc="http://schemas.openxmlformats.org/markup-compatibility/2006">
      <mc:Choice Requires="x14">
        <oleObject progId="Oggetto shell Packager" dvAspect="DVASPECT_ICON" shapeId="2052" r:id="rId10">
          <objectPr defaultSize="0" autoPict="0" r:id="rId11">
            <anchor moveWithCells="1">
              <from>
                <xdr:col>5</xdr:col>
                <xdr:colOff>28575</xdr:colOff>
                <xdr:row>5</xdr:row>
                <xdr:rowOff>47625</xdr:rowOff>
              </from>
              <to>
                <xdr:col>5</xdr:col>
                <xdr:colOff>762000</xdr:colOff>
                <xdr:row>5</xdr:row>
                <xdr:rowOff>600075</xdr:rowOff>
              </to>
            </anchor>
          </objectPr>
        </oleObject>
      </mc:Choice>
      <mc:Fallback>
        <oleObject progId="Oggetto shell Packager" dvAspect="DVASPECT_ICON" shapeId="2052" r:id="rId10"/>
      </mc:Fallback>
    </mc:AlternateContent>
    <mc:AlternateContent xmlns:mc="http://schemas.openxmlformats.org/markup-compatibility/2006">
      <mc:Choice Requires="x14">
        <oleObject progId="Oggetto shell Packager" dvAspect="DVASPECT_ICON" shapeId="2053" r:id="rId12">
          <objectPr defaultSize="0" autoPict="0" r:id="rId13">
            <anchor moveWithCells="1">
              <from>
                <xdr:col>5</xdr:col>
                <xdr:colOff>85725</xdr:colOff>
                <xdr:row>6</xdr:row>
                <xdr:rowOff>133350</xdr:rowOff>
              </from>
              <to>
                <xdr:col>5</xdr:col>
                <xdr:colOff>685800</xdr:colOff>
                <xdr:row>6</xdr:row>
                <xdr:rowOff>581025</xdr:rowOff>
              </to>
            </anchor>
          </objectPr>
        </oleObject>
      </mc:Choice>
      <mc:Fallback>
        <oleObject progId="Oggetto shell Packager" dvAspect="DVASPECT_ICON" shapeId="2053" r:id="rId12"/>
      </mc:Fallback>
    </mc:AlternateContent>
    <mc:AlternateContent xmlns:mc="http://schemas.openxmlformats.org/markup-compatibility/2006">
      <mc:Choice Requires="x14">
        <oleObject progId="Oggetto shell Packager" dvAspect="DVASPECT_ICON" shapeId="2054" r:id="rId14">
          <objectPr defaultSize="0" autoPict="0" r:id="rId15">
            <anchor moveWithCells="1">
              <from>
                <xdr:col>5</xdr:col>
                <xdr:colOff>76200</xdr:colOff>
                <xdr:row>7</xdr:row>
                <xdr:rowOff>104775</xdr:rowOff>
              </from>
              <to>
                <xdr:col>5</xdr:col>
                <xdr:colOff>714375</xdr:colOff>
                <xdr:row>7</xdr:row>
                <xdr:rowOff>581025</xdr:rowOff>
              </to>
            </anchor>
          </objectPr>
        </oleObject>
      </mc:Choice>
      <mc:Fallback>
        <oleObject progId="Oggetto shell Packager" dvAspect="DVASPECT_ICON" shapeId="2054" r:id="rId1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2EF6F-715B-412F-9B2D-240169A3DEA6}">
  <dimension ref="A1:N32"/>
  <sheetViews>
    <sheetView workbookViewId="0">
      <selection activeCell="V14" sqref="V14"/>
    </sheetView>
  </sheetViews>
  <sheetFormatPr defaultRowHeight="15" x14ac:dyDescent="0.25"/>
  <cols>
    <col min="1" max="1" width="24.5703125" bestFit="1" customWidth="1"/>
    <col min="2" max="2" width="15.5703125" bestFit="1" customWidth="1"/>
    <col min="3" max="3" width="12.28515625" bestFit="1" customWidth="1"/>
    <col min="4" max="4" width="17.42578125" bestFit="1" customWidth="1"/>
    <col min="5" max="5" width="16" customWidth="1"/>
    <col min="6" max="6" width="16.140625" bestFit="1" customWidth="1"/>
  </cols>
  <sheetData>
    <row r="1" spans="1:14" x14ac:dyDescent="0.25">
      <c r="A1" s="4" t="s">
        <v>64</v>
      </c>
      <c r="B1" s="1"/>
      <c r="C1" s="47"/>
      <c r="D1" s="50" t="s">
        <v>78</v>
      </c>
      <c r="E1" s="50" t="s">
        <v>79</v>
      </c>
      <c r="F1" s="51" t="s">
        <v>80</v>
      </c>
    </row>
    <row r="2" spans="1:14" x14ac:dyDescent="0.25">
      <c r="A2" s="4" t="s">
        <v>65</v>
      </c>
      <c r="B2" s="1">
        <v>15000</v>
      </c>
      <c r="C2" s="47"/>
      <c r="D2" s="52">
        <v>300</v>
      </c>
      <c r="E2" s="52">
        <v>350</v>
      </c>
      <c r="F2" s="53">
        <v>250</v>
      </c>
    </row>
    <row r="3" spans="1:14" x14ac:dyDescent="0.25">
      <c r="A3" s="4" t="s">
        <v>66</v>
      </c>
      <c r="B3" s="1">
        <v>60</v>
      </c>
      <c r="C3" s="47"/>
      <c r="D3" s="52">
        <v>200</v>
      </c>
      <c r="E3" s="52">
        <v>350</v>
      </c>
      <c r="F3" s="53">
        <v>400</v>
      </c>
    </row>
    <row r="4" spans="1:14" x14ac:dyDescent="0.25">
      <c r="A4" s="4" t="s">
        <v>67</v>
      </c>
      <c r="B4" s="1">
        <v>100000</v>
      </c>
      <c r="C4" s="47"/>
      <c r="D4" s="47"/>
      <c r="E4" s="47"/>
    </row>
    <row r="5" spans="1:14" x14ac:dyDescent="0.25">
      <c r="A5" s="4" t="s">
        <v>68</v>
      </c>
      <c r="B5" s="1">
        <v>630</v>
      </c>
      <c r="C5" s="47"/>
      <c r="D5" s="47"/>
      <c r="E5" s="47"/>
    </row>
    <row r="6" spans="1:14" x14ac:dyDescent="0.25">
      <c r="A6" s="4" t="s">
        <v>69</v>
      </c>
      <c r="B6" s="1">
        <v>900</v>
      </c>
      <c r="C6" s="47"/>
      <c r="D6" s="47"/>
      <c r="E6" s="47"/>
    </row>
    <row r="7" spans="1:14" x14ac:dyDescent="0.25">
      <c r="A7" s="9" t="s">
        <v>75</v>
      </c>
      <c r="B7" s="8">
        <v>1</v>
      </c>
    </row>
    <row r="8" spans="1:14" x14ac:dyDescent="0.25">
      <c r="A8" s="48"/>
      <c r="B8" s="49"/>
    </row>
    <row r="9" spans="1:14" x14ac:dyDescent="0.25">
      <c r="A9" s="99" t="s">
        <v>71</v>
      </c>
      <c r="B9" s="99"/>
      <c r="C9" s="99"/>
      <c r="D9" s="99"/>
      <c r="E9" s="99"/>
      <c r="F9" s="99"/>
    </row>
    <row r="10" spans="1:14" x14ac:dyDescent="0.25">
      <c r="A10" s="4" t="s">
        <v>63</v>
      </c>
      <c r="B10" s="4" t="s">
        <v>70</v>
      </c>
      <c r="C10" s="4" t="s">
        <v>73</v>
      </c>
      <c r="D10" s="4" t="s">
        <v>76</v>
      </c>
      <c r="E10" s="4" t="s">
        <v>74</v>
      </c>
      <c r="F10" s="4" t="s">
        <v>72</v>
      </c>
    </row>
    <row r="11" spans="1:14" x14ac:dyDescent="0.25">
      <c r="A11" s="1">
        <v>1</v>
      </c>
      <c r="B11" s="1">
        <f>B2-B6/2</f>
        <v>14550</v>
      </c>
      <c r="C11" s="1">
        <f>IF(ISEVEN(A11),$B$5*PI()*0.75,$B$6*PI()/2)</f>
        <v>1413.7166941154069</v>
      </c>
      <c r="D11" s="1">
        <v>0</v>
      </c>
      <c r="E11" s="1">
        <f>MAX(D11:D23)</f>
        <v>2700</v>
      </c>
      <c r="F11" s="1">
        <f>SUM(B11:B32) + SUM(C11:C32)</f>
        <v>88029.357668809753</v>
      </c>
      <c r="N11">
        <f>2240/300</f>
        <v>7.4666666666666668</v>
      </c>
    </row>
    <row r="12" spans="1:14" x14ac:dyDescent="0.25">
      <c r="A12" s="1">
        <v>2</v>
      </c>
      <c r="B12" s="1">
        <f>IF(ISEVEN(A12),B11-$B$5*0.5-$B$3,B11-$B$5*0.5-$B$6*0.5)</f>
        <v>14175</v>
      </c>
      <c r="C12" s="1">
        <f>IF(ISEVEN(A12),$B$5*PI()*0.75,$B$6*PI()/2)</f>
        <v>1484.4025288211774</v>
      </c>
      <c r="D12" s="1">
        <f t="shared" ref="D12:D16" si="0">IF(ISEVEN(A12),A12/2*$B$6,(A12-((A12-1)/2)*$B$7)*$B$3+$B$5)</f>
        <v>900</v>
      </c>
    </row>
    <row r="13" spans="1:14" x14ac:dyDescent="0.25">
      <c r="A13" s="1">
        <v>3</v>
      </c>
      <c r="B13" s="1">
        <f>IF(ISEVEN(A13),B12-$B$5*0.5-$B$3,B12-$B$5*0.5-$B$6*0.5)</f>
        <v>13410</v>
      </c>
      <c r="C13" s="1">
        <f t="shared" ref="C13:C16" si="1">IF(ISEVEN(A13),$B$5*PI()*0.75,$B$6*PI()/2)</f>
        <v>1413.7166941154069</v>
      </c>
      <c r="D13" s="1">
        <f t="shared" si="0"/>
        <v>750</v>
      </c>
    </row>
    <row r="14" spans="1:14" x14ac:dyDescent="0.25">
      <c r="A14" s="1">
        <v>4</v>
      </c>
      <c r="B14" s="1">
        <f t="shared" ref="B14:B16" si="2">IF(ISEVEN(A14),B13-$B$5*0.5-$B$3,B13-$B$5*0.5-$B$6*0.5)</f>
        <v>13035</v>
      </c>
      <c r="C14" s="1">
        <f t="shared" si="1"/>
        <v>1484.4025288211774</v>
      </c>
      <c r="D14" s="1">
        <f t="shared" si="0"/>
        <v>1800</v>
      </c>
    </row>
    <row r="15" spans="1:14" x14ac:dyDescent="0.25">
      <c r="A15" s="1">
        <v>5</v>
      </c>
      <c r="B15" s="1">
        <f t="shared" si="2"/>
        <v>12270</v>
      </c>
      <c r="C15" s="1">
        <f t="shared" si="1"/>
        <v>1413.7166941154069</v>
      </c>
      <c r="D15" s="1">
        <f t="shared" si="0"/>
        <v>810</v>
      </c>
    </row>
    <row r="16" spans="1:14" x14ac:dyDescent="0.25">
      <c r="A16" s="1">
        <v>6</v>
      </c>
      <c r="B16" s="1">
        <f t="shared" si="2"/>
        <v>11895</v>
      </c>
      <c r="C16" s="1">
        <f t="shared" si="1"/>
        <v>1484.4025288211774</v>
      </c>
      <c r="D16" s="1">
        <f t="shared" si="0"/>
        <v>2700</v>
      </c>
    </row>
    <row r="17" spans="1:9" x14ac:dyDescent="0.25">
      <c r="A17" s="1">
        <v>7</v>
      </c>
      <c r="B17" s="1"/>
      <c r="C17" s="1"/>
      <c r="D17" s="1"/>
    </row>
    <row r="18" spans="1:9" x14ac:dyDescent="0.25">
      <c r="A18" s="1">
        <v>8</v>
      </c>
      <c r="B18" s="1"/>
      <c r="C18" s="1"/>
      <c r="D18" s="1"/>
    </row>
    <row r="19" spans="1:9" x14ac:dyDescent="0.25">
      <c r="A19" s="1">
        <v>9</v>
      </c>
      <c r="B19" s="1"/>
      <c r="C19" s="1"/>
      <c r="D19" s="1"/>
      <c r="I19">
        <v>280</v>
      </c>
    </row>
    <row r="20" spans="1:9" x14ac:dyDescent="0.25">
      <c r="A20" s="1">
        <v>10</v>
      </c>
      <c r="B20" s="1"/>
      <c r="C20" s="1"/>
      <c r="D20" s="1"/>
      <c r="I20">
        <v>280</v>
      </c>
    </row>
    <row r="21" spans="1:9" x14ac:dyDescent="0.25">
      <c r="A21" s="1">
        <v>11</v>
      </c>
      <c r="B21" s="1"/>
      <c r="C21" s="1"/>
      <c r="D21" s="1"/>
      <c r="I21">
        <v>280</v>
      </c>
    </row>
    <row r="22" spans="1:9" x14ac:dyDescent="0.25">
      <c r="A22" s="1">
        <v>12</v>
      </c>
      <c r="B22" s="1"/>
      <c r="C22" s="1"/>
      <c r="D22" s="1"/>
      <c r="I22">
        <v>280</v>
      </c>
    </row>
    <row r="23" spans="1:9" x14ac:dyDescent="0.25">
      <c r="A23" s="1">
        <v>13</v>
      </c>
      <c r="B23" s="1"/>
      <c r="C23" s="1"/>
      <c r="D23" s="1"/>
      <c r="I23">
        <v>280</v>
      </c>
    </row>
    <row r="24" spans="1:9" x14ac:dyDescent="0.25">
      <c r="A24" s="1">
        <v>14</v>
      </c>
      <c r="B24" s="1"/>
      <c r="C24" s="1"/>
      <c r="D24" s="1"/>
      <c r="I24">
        <v>280</v>
      </c>
    </row>
    <row r="25" spans="1:9" x14ac:dyDescent="0.25">
      <c r="A25" s="1">
        <v>15</v>
      </c>
      <c r="B25" s="1"/>
      <c r="C25" s="1"/>
      <c r="D25" s="1"/>
      <c r="I25">
        <v>630</v>
      </c>
    </row>
    <row r="26" spans="1:9" x14ac:dyDescent="0.25">
      <c r="A26" s="1">
        <v>16</v>
      </c>
      <c r="B26" s="1"/>
      <c r="C26" s="1"/>
      <c r="D26" s="1"/>
      <c r="H26" t="s">
        <v>81</v>
      </c>
      <c r="I26">
        <f>SUM(I19:I25)</f>
        <v>2310</v>
      </c>
    </row>
    <row r="27" spans="1:9" x14ac:dyDescent="0.25">
      <c r="A27" s="1">
        <v>17</v>
      </c>
      <c r="B27" s="1"/>
      <c r="C27" s="1"/>
      <c r="D27" s="1"/>
    </row>
    <row r="28" spans="1:9" x14ac:dyDescent="0.25">
      <c r="A28" s="1">
        <v>18</v>
      </c>
      <c r="B28" s="1"/>
      <c r="C28" s="1"/>
      <c r="D28" s="1"/>
    </row>
    <row r="29" spans="1:9" x14ac:dyDescent="0.25">
      <c r="A29" s="1">
        <v>19</v>
      </c>
      <c r="B29" s="1"/>
      <c r="C29" s="1"/>
      <c r="D29" s="1"/>
    </row>
    <row r="30" spans="1:9" x14ac:dyDescent="0.25">
      <c r="A30" s="1">
        <v>20</v>
      </c>
      <c r="B30" s="1"/>
      <c r="C30" s="1"/>
      <c r="D30" s="1"/>
    </row>
    <row r="31" spans="1:9" x14ac:dyDescent="0.25">
      <c r="A31" s="1">
        <v>21</v>
      </c>
      <c r="B31" s="1"/>
      <c r="C31" s="1"/>
      <c r="D31" s="1"/>
    </row>
    <row r="32" spans="1:9" x14ac:dyDescent="0.25">
      <c r="A32" s="1">
        <v>22</v>
      </c>
      <c r="B32" s="1"/>
      <c r="C32" s="1"/>
      <c r="D32" s="1"/>
    </row>
  </sheetData>
  <mergeCells count="1">
    <mergeCell ref="A9:F9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6E99C-AB9E-4667-BE9F-DF6A69A1542A}">
  <dimension ref="A1:N32"/>
  <sheetViews>
    <sheetView workbookViewId="0">
      <selection activeCell="F14" sqref="F14:G25"/>
    </sheetView>
  </sheetViews>
  <sheetFormatPr defaultRowHeight="15" x14ac:dyDescent="0.25"/>
  <cols>
    <col min="1" max="1" width="24.5703125" bestFit="1" customWidth="1"/>
    <col min="2" max="2" width="15.5703125" bestFit="1" customWidth="1"/>
    <col min="3" max="3" width="12.28515625" bestFit="1" customWidth="1"/>
    <col min="4" max="4" width="17.42578125" bestFit="1" customWidth="1"/>
    <col min="5" max="5" width="16" customWidth="1"/>
    <col min="6" max="6" width="17.28515625" bestFit="1" customWidth="1"/>
  </cols>
  <sheetData>
    <row r="1" spans="1:14" x14ac:dyDescent="0.25">
      <c r="A1" s="4" t="s">
        <v>64</v>
      </c>
      <c r="B1" s="1"/>
      <c r="C1" s="47"/>
      <c r="D1" s="50" t="s">
        <v>78</v>
      </c>
      <c r="E1" s="50" t="s">
        <v>79</v>
      </c>
      <c r="F1" s="51" t="s">
        <v>80</v>
      </c>
    </row>
    <row r="2" spans="1:14" x14ac:dyDescent="0.25">
      <c r="A2" s="4" t="s">
        <v>65</v>
      </c>
      <c r="B2" s="1">
        <v>15900</v>
      </c>
      <c r="C2" s="47"/>
      <c r="D2" s="52">
        <v>120</v>
      </c>
      <c r="E2" s="52">
        <v>350</v>
      </c>
      <c r="F2" s="53">
        <v>250</v>
      </c>
    </row>
    <row r="3" spans="1:14" x14ac:dyDescent="0.25">
      <c r="A3" s="4" t="s">
        <v>66</v>
      </c>
      <c r="B3" s="1">
        <v>280</v>
      </c>
      <c r="C3" s="47"/>
      <c r="D3" s="52">
        <v>200</v>
      </c>
      <c r="E3" s="52">
        <v>650</v>
      </c>
      <c r="F3" s="53">
        <v>400</v>
      </c>
    </row>
    <row r="4" spans="1:14" x14ac:dyDescent="0.25">
      <c r="A4" s="4" t="s">
        <v>67</v>
      </c>
      <c r="B4" s="1">
        <v>51000</v>
      </c>
      <c r="C4" s="47"/>
      <c r="D4" s="52">
        <v>300</v>
      </c>
      <c r="E4" s="52">
        <v>900</v>
      </c>
      <c r="F4" s="53">
        <v>630</v>
      </c>
    </row>
    <row r="5" spans="1:14" x14ac:dyDescent="0.25">
      <c r="A5" s="4" t="s">
        <v>68</v>
      </c>
      <c r="B5" s="1">
        <v>630</v>
      </c>
      <c r="C5" s="47"/>
      <c r="D5" s="47"/>
      <c r="E5" s="47"/>
      <c r="I5">
        <f>95/11.8</f>
        <v>8.0508474576271176</v>
      </c>
    </row>
    <row r="6" spans="1:14" x14ac:dyDescent="0.25">
      <c r="A6" s="4" t="s">
        <v>69</v>
      </c>
      <c r="B6" s="1">
        <v>900</v>
      </c>
      <c r="C6" s="47"/>
      <c r="D6" s="47"/>
      <c r="E6" s="47"/>
    </row>
    <row r="7" spans="1:14" x14ac:dyDescent="0.25">
      <c r="A7" s="9" t="s">
        <v>75</v>
      </c>
      <c r="B7" s="8">
        <v>1</v>
      </c>
    </row>
    <row r="8" spans="1:14" x14ac:dyDescent="0.25">
      <c r="A8" s="48"/>
      <c r="B8" s="49"/>
    </row>
    <row r="9" spans="1:14" x14ac:dyDescent="0.25">
      <c r="A9" s="99" t="s">
        <v>71</v>
      </c>
      <c r="B9" s="99"/>
      <c r="C9" s="99"/>
      <c r="D9" s="99"/>
      <c r="E9" s="99"/>
      <c r="F9" s="99"/>
    </row>
    <row r="10" spans="1:14" x14ac:dyDescent="0.25">
      <c r="A10" s="4" t="s">
        <v>63</v>
      </c>
      <c r="B10" s="4" t="s">
        <v>70</v>
      </c>
      <c r="C10" s="4" t="s">
        <v>73</v>
      </c>
      <c r="D10" s="4" t="s">
        <v>76</v>
      </c>
      <c r="E10" s="4" t="s">
        <v>74</v>
      </c>
      <c r="F10" s="4" t="s">
        <v>72</v>
      </c>
    </row>
    <row r="11" spans="1:14" x14ac:dyDescent="0.25">
      <c r="A11" s="1">
        <v>1</v>
      </c>
      <c r="B11" s="1">
        <f>B2-B6/2</f>
        <v>15450</v>
      </c>
      <c r="C11" s="1">
        <f>IF(ISEVEN(A11),$B$5*PI()*0.75,$B$6*PI()/2)</f>
        <v>1413.7166941154069</v>
      </c>
      <c r="D11" s="1">
        <v>0</v>
      </c>
      <c r="E11" s="1">
        <f>MAX(D11:D23)</f>
        <v>2700</v>
      </c>
      <c r="F11" s="1">
        <f>SUM(B11:B32) + SUM(C11:C32)</f>
        <v>122188.47689174634</v>
      </c>
      <c r="N11">
        <f>2240/300</f>
        <v>7.4666666666666668</v>
      </c>
    </row>
    <row r="12" spans="1:14" x14ac:dyDescent="0.25">
      <c r="A12" s="1">
        <v>2</v>
      </c>
      <c r="B12" s="1">
        <f>B11-B5/2-B3</f>
        <v>14855</v>
      </c>
      <c r="C12" s="1">
        <f>IF(ISEVEN(A12),$B$5*PI()*0.75,$B$6*PI()/2)</f>
        <v>1484.4025288211774</v>
      </c>
      <c r="D12" s="1">
        <f t="shared" ref="D12:D15" si="0">IF(ISEVEN(A12),A12/2*$B$6,(A12-((A12-1)/2)*$B$7)*$B$3+$B$5)</f>
        <v>900</v>
      </c>
    </row>
    <row r="13" spans="1:14" x14ac:dyDescent="0.25">
      <c r="A13" s="1">
        <v>3</v>
      </c>
      <c r="B13" s="1">
        <f>B12-1.5*B6-B3</f>
        <v>13225</v>
      </c>
      <c r="C13" s="1">
        <f t="shared" ref="C13:C18" si="1">IF(ISEVEN(A13),$B$5*PI()*0.75,$B$6*PI()/2)</f>
        <v>1413.7166941154069</v>
      </c>
      <c r="D13" s="1">
        <f t="shared" si="0"/>
        <v>1190</v>
      </c>
    </row>
    <row r="14" spans="1:14" x14ac:dyDescent="0.25">
      <c r="A14" s="1">
        <v>4</v>
      </c>
      <c r="B14" s="1">
        <f>B13-B5-B3</f>
        <v>12315</v>
      </c>
      <c r="C14" s="1">
        <f t="shared" si="1"/>
        <v>1484.4025288211774</v>
      </c>
      <c r="D14" s="1">
        <f>IF(ISEVEN(A14),B3*A14/2+B6,(A14-((A14-1)/2)*$B$7)*$B$3+$B$5)</f>
        <v>1460</v>
      </c>
      <c r="F14" s="4" t="s">
        <v>82</v>
      </c>
      <c r="G14" s="1">
        <v>80</v>
      </c>
    </row>
    <row r="15" spans="1:14" x14ac:dyDescent="0.25">
      <c r="A15" s="1">
        <v>5</v>
      </c>
      <c r="B15" s="1">
        <f>B14+B6</f>
        <v>13215</v>
      </c>
      <c r="C15" s="1">
        <f t="shared" si="1"/>
        <v>1413.7166941154069</v>
      </c>
      <c r="D15" s="1">
        <f t="shared" si="0"/>
        <v>1470</v>
      </c>
      <c r="F15" s="4" t="s">
        <v>83</v>
      </c>
      <c r="G15" s="1">
        <v>2</v>
      </c>
    </row>
    <row r="16" spans="1:14" x14ac:dyDescent="0.25">
      <c r="A16" s="1">
        <v>6</v>
      </c>
      <c r="B16" s="1">
        <f>B15+B5</f>
        <v>13845</v>
      </c>
      <c r="C16" s="1">
        <f t="shared" si="1"/>
        <v>1484.4025288211774</v>
      </c>
      <c r="D16" s="1">
        <f>IF(ISEVEN(A16),(A16-2)/2*$B$6,(A16-((A16-1)/2)*$B$7)*$B$3+$B$5)</f>
        <v>1800</v>
      </c>
      <c r="F16" s="100" t="s">
        <v>84</v>
      </c>
      <c r="G16" s="1">
        <v>302</v>
      </c>
    </row>
    <row r="17" spans="1:7" x14ac:dyDescent="0.25">
      <c r="A17" s="1">
        <v>7</v>
      </c>
      <c r="B17" s="1">
        <f>B16</f>
        <v>13845</v>
      </c>
      <c r="C17" s="1">
        <f t="shared" si="1"/>
        <v>1413.7166941154069</v>
      </c>
      <c r="D17" s="1">
        <f>IF(ISEVEN(A17),(A17-2)/2*$B$6,(A17-((A17-1)/2)*$B$7)*$B$3+$B$5)</f>
        <v>1750</v>
      </c>
      <c r="F17" s="101"/>
      <c r="G17" s="1">
        <v>302</v>
      </c>
    </row>
    <row r="18" spans="1:7" x14ac:dyDescent="0.25">
      <c r="A18" s="1">
        <v>8</v>
      </c>
      <c r="B18" s="1">
        <f>B17+B7</f>
        <v>13846</v>
      </c>
      <c r="C18" s="1">
        <f t="shared" si="1"/>
        <v>1484.4025288211774</v>
      </c>
      <c r="D18" s="1">
        <f>IF(ISEVEN(A18),(A18-2)/2*$B$6,(A18-((A18-1)/2)*$B$7)*$B$3+$B$5)</f>
        <v>2700</v>
      </c>
      <c r="F18" s="101"/>
      <c r="G18" s="1">
        <v>302</v>
      </c>
    </row>
    <row r="19" spans="1:7" x14ac:dyDescent="0.25">
      <c r="A19" s="1">
        <v>9</v>
      </c>
      <c r="B19" s="1"/>
      <c r="C19" s="1"/>
      <c r="D19" s="1"/>
      <c r="F19" s="101"/>
      <c r="G19" s="1">
        <v>302</v>
      </c>
    </row>
    <row r="20" spans="1:7" x14ac:dyDescent="0.25">
      <c r="A20" s="1">
        <v>10</v>
      </c>
      <c r="B20" s="1"/>
      <c r="C20" s="1"/>
      <c r="D20" s="1"/>
      <c r="F20" s="101"/>
      <c r="G20" s="1">
        <v>302</v>
      </c>
    </row>
    <row r="21" spans="1:7" x14ac:dyDescent="0.25">
      <c r="A21" s="1">
        <v>11</v>
      </c>
      <c r="B21" s="1"/>
      <c r="C21" s="1"/>
      <c r="D21" s="1"/>
      <c r="F21" s="101"/>
      <c r="G21" s="1">
        <v>302</v>
      </c>
    </row>
    <row r="22" spans="1:7" x14ac:dyDescent="0.25">
      <c r="A22" s="1">
        <v>12</v>
      </c>
      <c r="B22" s="1"/>
      <c r="C22" s="1"/>
      <c r="D22" s="1"/>
      <c r="F22" s="101"/>
      <c r="G22" s="1">
        <v>302</v>
      </c>
    </row>
    <row r="23" spans="1:7" x14ac:dyDescent="0.25">
      <c r="A23" s="1">
        <v>13</v>
      </c>
      <c r="B23" s="1"/>
      <c r="C23" s="1"/>
      <c r="D23" s="1"/>
      <c r="F23" s="102"/>
      <c r="G23" s="1">
        <v>302</v>
      </c>
    </row>
    <row r="24" spans="1:7" x14ac:dyDescent="0.25">
      <c r="A24" s="1">
        <v>14</v>
      </c>
      <c r="B24" s="1"/>
      <c r="C24" s="1"/>
      <c r="D24" s="1"/>
      <c r="F24" s="4" t="s">
        <v>85</v>
      </c>
      <c r="G24" s="1">
        <v>500</v>
      </c>
    </row>
    <row r="25" spans="1:7" x14ac:dyDescent="0.25">
      <c r="A25" s="1">
        <v>15</v>
      </c>
      <c r="B25" s="1"/>
      <c r="C25" s="1"/>
      <c r="D25" s="1"/>
      <c r="F25" s="54" t="s">
        <v>81</v>
      </c>
      <c r="G25" s="55">
        <f>SUM(G14:G24)</f>
        <v>2998</v>
      </c>
    </row>
    <row r="26" spans="1:7" x14ac:dyDescent="0.25">
      <c r="A26" s="1">
        <v>16</v>
      </c>
      <c r="B26" s="1"/>
      <c r="C26" s="1"/>
      <c r="D26" s="1"/>
    </row>
    <row r="27" spans="1:7" x14ac:dyDescent="0.25">
      <c r="A27" s="1">
        <v>17</v>
      </c>
      <c r="B27" s="1"/>
      <c r="C27" s="1"/>
      <c r="D27" s="1"/>
    </row>
    <row r="28" spans="1:7" x14ac:dyDescent="0.25">
      <c r="A28" s="1">
        <v>18</v>
      </c>
      <c r="B28" s="1"/>
      <c r="C28" s="1"/>
      <c r="D28" s="1"/>
    </row>
    <row r="29" spans="1:7" x14ac:dyDescent="0.25">
      <c r="A29" s="1">
        <v>19</v>
      </c>
      <c r="B29" s="1"/>
      <c r="C29" s="1"/>
      <c r="D29" s="1"/>
    </row>
    <row r="30" spans="1:7" x14ac:dyDescent="0.25">
      <c r="A30" s="1">
        <v>20</v>
      </c>
      <c r="B30" s="1"/>
      <c r="C30" s="1"/>
      <c r="D30" s="1"/>
    </row>
    <row r="31" spans="1:7" x14ac:dyDescent="0.25">
      <c r="A31" s="1">
        <v>21</v>
      </c>
      <c r="B31" s="1"/>
      <c r="C31" s="1"/>
      <c r="D31" s="1"/>
    </row>
    <row r="32" spans="1:7" x14ac:dyDescent="0.25">
      <c r="A32" s="1">
        <v>22</v>
      </c>
      <c r="B32" s="1"/>
      <c r="C32" s="1"/>
      <c r="D32" s="1"/>
    </row>
  </sheetData>
  <mergeCells count="2">
    <mergeCell ref="A9:F9"/>
    <mergeCell ref="F16:F2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645CC-BA1C-4836-B5E1-691204C6C9AE}">
  <dimension ref="A1:N32"/>
  <sheetViews>
    <sheetView workbookViewId="0">
      <selection activeCell="C38" sqref="C38"/>
    </sheetView>
  </sheetViews>
  <sheetFormatPr defaultRowHeight="15" x14ac:dyDescent="0.25"/>
  <cols>
    <col min="1" max="1" width="24.5703125" bestFit="1" customWidth="1"/>
    <col min="2" max="2" width="15.5703125" bestFit="1" customWidth="1"/>
    <col min="3" max="3" width="12.28515625" bestFit="1" customWidth="1"/>
    <col min="4" max="4" width="17.42578125" bestFit="1" customWidth="1"/>
    <col min="5" max="5" width="16" customWidth="1"/>
    <col min="6" max="6" width="16.140625" bestFit="1" customWidth="1"/>
  </cols>
  <sheetData>
    <row r="1" spans="1:14" x14ac:dyDescent="0.25">
      <c r="A1" s="4" t="s">
        <v>64</v>
      </c>
      <c r="B1" s="1"/>
      <c r="C1" s="47"/>
      <c r="D1" s="47"/>
      <c r="E1" s="47"/>
    </row>
    <row r="2" spans="1:14" x14ac:dyDescent="0.25">
      <c r="A2" s="4" t="s">
        <v>65</v>
      </c>
      <c r="B2" s="1">
        <v>9000</v>
      </c>
      <c r="C2" s="47"/>
      <c r="D2" s="47"/>
      <c r="E2" s="47"/>
    </row>
    <row r="3" spans="1:14" x14ac:dyDescent="0.25">
      <c r="A3" s="4" t="s">
        <v>66</v>
      </c>
      <c r="B3" s="1">
        <v>40</v>
      </c>
      <c r="C3" s="47"/>
      <c r="D3" s="47"/>
      <c r="E3" s="47"/>
    </row>
    <row r="4" spans="1:14" x14ac:dyDescent="0.25">
      <c r="A4" s="4" t="s">
        <v>67</v>
      </c>
      <c r="B4" s="1">
        <v>100000</v>
      </c>
      <c r="C4" s="47"/>
      <c r="D4" s="47"/>
      <c r="E4" s="47"/>
    </row>
    <row r="5" spans="1:14" x14ac:dyDescent="0.25">
      <c r="A5" s="4" t="s">
        <v>68</v>
      </c>
      <c r="B5" s="1">
        <v>250</v>
      </c>
      <c r="C5" s="47"/>
      <c r="D5" s="47"/>
      <c r="E5" s="47"/>
    </row>
    <row r="6" spans="1:14" x14ac:dyDescent="0.25">
      <c r="A6" s="4" t="s">
        <v>69</v>
      </c>
      <c r="B6" s="1">
        <v>350</v>
      </c>
      <c r="C6" s="47"/>
      <c r="D6" s="47"/>
      <c r="E6" s="47"/>
    </row>
    <row r="7" spans="1:14" x14ac:dyDescent="0.25">
      <c r="A7" s="9" t="s">
        <v>75</v>
      </c>
      <c r="B7" s="8">
        <v>1</v>
      </c>
    </row>
    <row r="8" spans="1:14" x14ac:dyDescent="0.25">
      <c r="A8" s="48"/>
      <c r="B8" s="49"/>
    </row>
    <row r="9" spans="1:14" x14ac:dyDescent="0.25">
      <c r="A9" s="99" t="s">
        <v>77</v>
      </c>
      <c r="B9" s="99"/>
      <c r="C9" s="99"/>
      <c r="D9" s="99"/>
      <c r="E9" s="99"/>
      <c r="F9" s="99"/>
    </row>
    <row r="10" spans="1:14" x14ac:dyDescent="0.25">
      <c r="A10" s="4" t="s">
        <v>63</v>
      </c>
      <c r="B10" s="4" t="s">
        <v>70</v>
      </c>
      <c r="C10" s="4" t="s">
        <v>73</v>
      </c>
      <c r="D10" s="4" t="s">
        <v>76</v>
      </c>
      <c r="E10" t="s">
        <v>74</v>
      </c>
      <c r="F10" t="s">
        <v>72</v>
      </c>
    </row>
    <row r="11" spans="1:14" x14ac:dyDescent="0.25">
      <c r="A11" s="1">
        <v>1</v>
      </c>
      <c r="B11" s="1">
        <f>B2-B6/2</f>
        <v>8825</v>
      </c>
      <c r="C11" s="1">
        <f>IF(ISEVEN(A11),$B$5*PI()*0.75,$B$6*PI()/2)</f>
        <v>549.77871437821375</v>
      </c>
      <c r="D11" s="1">
        <v>0</v>
      </c>
      <c r="E11">
        <f>MAX(D11:D23)</f>
        <v>2100</v>
      </c>
      <c r="F11">
        <f>SUM(B11:B32) + SUM(C11:C32)</f>
        <v>24867.742735936012</v>
      </c>
      <c r="N11">
        <f>2240/300</f>
        <v>7.4666666666666668</v>
      </c>
    </row>
    <row r="12" spans="1:14" x14ac:dyDescent="0.25">
      <c r="A12" s="1">
        <v>2</v>
      </c>
      <c r="B12" s="1">
        <f>B11-B5*0.5-B3</f>
        <v>8660</v>
      </c>
      <c r="C12" s="1">
        <f>IF(ISEVEN(A12),$B$5*PI()*0.75,$B$6*PI()/2)</f>
        <v>589.0486225480862</v>
      </c>
      <c r="D12" s="1">
        <f t="shared" ref="D12:D26" si="0">IF(ISEVEN(A12),A12/2*$B$6,(A12-((A12-1)/2)*$B$7)*$B$3+$B$5)</f>
        <v>350</v>
      </c>
    </row>
    <row r="13" spans="1:14" x14ac:dyDescent="0.25">
      <c r="A13" s="1">
        <v>3</v>
      </c>
      <c r="B13" s="1"/>
      <c r="C13" s="1">
        <f t="shared" ref="C13:C23" si="1">IF(ISEVEN(A13),$B$5*PI()*0.75,$B$6*PI()/2)</f>
        <v>549.77871437821375</v>
      </c>
      <c r="D13" s="1">
        <f t="shared" si="0"/>
        <v>330</v>
      </c>
    </row>
    <row r="14" spans="1:14" x14ac:dyDescent="0.25">
      <c r="A14" s="1">
        <v>4</v>
      </c>
      <c r="B14" s="1"/>
      <c r="C14" s="1">
        <f t="shared" si="1"/>
        <v>589.0486225480862</v>
      </c>
      <c r="D14" s="1">
        <f t="shared" si="0"/>
        <v>700</v>
      </c>
    </row>
    <row r="15" spans="1:14" x14ac:dyDescent="0.25">
      <c r="A15" s="1">
        <v>5</v>
      </c>
      <c r="B15" s="1"/>
      <c r="C15" s="1">
        <f t="shared" si="1"/>
        <v>549.77871437821375</v>
      </c>
      <c r="D15" s="1">
        <f t="shared" si="0"/>
        <v>370</v>
      </c>
    </row>
    <row r="16" spans="1:14" x14ac:dyDescent="0.25">
      <c r="A16" s="1">
        <v>6</v>
      </c>
      <c r="B16" s="1"/>
      <c r="C16" s="1">
        <f t="shared" si="1"/>
        <v>589.0486225480862</v>
      </c>
      <c r="D16" s="1">
        <f t="shared" si="0"/>
        <v>1050</v>
      </c>
    </row>
    <row r="17" spans="1:4" x14ac:dyDescent="0.25">
      <c r="A17" s="1">
        <v>7</v>
      </c>
      <c r="B17" s="1"/>
      <c r="C17" s="1">
        <f t="shared" si="1"/>
        <v>549.77871437821375</v>
      </c>
      <c r="D17" s="1">
        <f t="shared" si="0"/>
        <v>410</v>
      </c>
    </row>
    <row r="18" spans="1:4" x14ac:dyDescent="0.25">
      <c r="A18" s="1">
        <v>8</v>
      </c>
      <c r="B18" s="1"/>
      <c r="C18" s="1">
        <f t="shared" si="1"/>
        <v>589.0486225480862</v>
      </c>
      <c r="D18" s="1">
        <f t="shared" si="0"/>
        <v>1400</v>
      </c>
    </row>
    <row r="19" spans="1:4" x14ac:dyDescent="0.25">
      <c r="A19" s="1">
        <v>9</v>
      </c>
      <c r="B19" s="1"/>
      <c r="C19" s="1">
        <f t="shared" si="1"/>
        <v>549.77871437821375</v>
      </c>
      <c r="D19" s="1">
        <f t="shared" si="0"/>
        <v>450</v>
      </c>
    </row>
    <row r="20" spans="1:4" x14ac:dyDescent="0.25">
      <c r="A20" s="1">
        <v>10</v>
      </c>
      <c r="B20" s="1"/>
      <c r="C20" s="1">
        <f t="shared" si="1"/>
        <v>589.0486225480862</v>
      </c>
      <c r="D20" s="1">
        <f t="shared" si="0"/>
        <v>1750</v>
      </c>
    </row>
    <row r="21" spans="1:4" x14ac:dyDescent="0.25">
      <c r="A21" s="1">
        <v>11</v>
      </c>
      <c r="B21" s="1"/>
      <c r="C21" s="1">
        <f t="shared" si="1"/>
        <v>549.77871437821375</v>
      </c>
      <c r="D21" s="1">
        <f t="shared" si="0"/>
        <v>490</v>
      </c>
    </row>
    <row r="22" spans="1:4" x14ac:dyDescent="0.25">
      <c r="A22" s="1">
        <v>12</v>
      </c>
      <c r="B22" s="1"/>
      <c r="C22" s="1">
        <f t="shared" si="1"/>
        <v>589.0486225480862</v>
      </c>
      <c r="D22" s="1">
        <f t="shared" si="0"/>
        <v>2100</v>
      </c>
    </row>
    <row r="23" spans="1:4" x14ac:dyDescent="0.25">
      <c r="A23" s="1">
        <v>13</v>
      </c>
      <c r="B23" s="1"/>
      <c r="C23" s="1">
        <f t="shared" si="1"/>
        <v>549.77871437821375</v>
      </c>
      <c r="D23" s="1">
        <f t="shared" si="0"/>
        <v>530</v>
      </c>
    </row>
    <row r="24" spans="1:4" x14ac:dyDescent="0.25">
      <c r="A24" s="1">
        <v>14</v>
      </c>
      <c r="B24" s="1"/>
      <c r="C24" s="1"/>
      <c r="D24" s="1">
        <f t="shared" si="0"/>
        <v>2450</v>
      </c>
    </row>
    <row r="25" spans="1:4" x14ac:dyDescent="0.25">
      <c r="A25" s="1">
        <v>15</v>
      </c>
      <c r="B25" s="1"/>
      <c r="C25" s="1"/>
      <c r="D25" s="1">
        <f t="shared" si="0"/>
        <v>570</v>
      </c>
    </row>
    <row r="26" spans="1:4" x14ac:dyDescent="0.25">
      <c r="A26" s="1">
        <v>16</v>
      </c>
      <c r="B26" s="1"/>
      <c r="C26" s="1"/>
      <c r="D26" s="1">
        <f t="shared" si="0"/>
        <v>2800</v>
      </c>
    </row>
    <row r="27" spans="1:4" x14ac:dyDescent="0.25">
      <c r="A27" s="1">
        <v>17</v>
      </c>
      <c r="B27" s="1"/>
      <c r="C27" s="1"/>
      <c r="D27" s="1"/>
    </row>
    <row r="28" spans="1:4" x14ac:dyDescent="0.25">
      <c r="A28" s="1">
        <v>18</v>
      </c>
      <c r="B28" s="1"/>
      <c r="C28" s="1"/>
      <c r="D28" s="1"/>
    </row>
    <row r="29" spans="1:4" x14ac:dyDescent="0.25">
      <c r="A29" s="1">
        <v>19</v>
      </c>
      <c r="B29" s="1"/>
      <c r="C29" s="1"/>
      <c r="D29" s="1"/>
    </row>
    <row r="30" spans="1:4" x14ac:dyDescent="0.25">
      <c r="A30" s="1">
        <v>20</v>
      </c>
      <c r="B30" s="1"/>
      <c r="C30" s="1"/>
      <c r="D30" s="1"/>
    </row>
    <row r="31" spans="1:4" x14ac:dyDescent="0.25">
      <c r="A31" s="1">
        <v>21</v>
      </c>
      <c r="B31" s="1"/>
      <c r="C31" s="1"/>
      <c r="D31" s="1"/>
    </row>
    <row r="32" spans="1:4" x14ac:dyDescent="0.25">
      <c r="A32" s="1">
        <v>22</v>
      </c>
      <c r="B32" s="1"/>
      <c r="C32" s="1"/>
      <c r="D32" s="1"/>
    </row>
  </sheetData>
  <mergeCells count="1">
    <mergeCell ref="A9:F9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F06D9-22FC-4A67-B491-7C126D95A070}">
  <dimension ref="A1:AG75"/>
  <sheetViews>
    <sheetView tabSelected="1" zoomScale="90" zoomScaleNormal="90" workbookViewId="0">
      <selection activeCell="T27" sqref="T27"/>
    </sheetView>
  </sheetViews>
  <sheetFormatPr defaultRowHeight="15" x14ac:dyDescent="0.25"/>
  <cols>
    <col min="1" max="1" width="17.7109375" bestFit="1" customWidth="1"/>
    <col min="2" max="2" width="11.5703125" bestFit="1" customWidth="1"/>
    <col min="3" max="3" width="14.7109375" bestFit="1" customWidth="1"/>
    <col min="4" max="4" width="14.140625" bestFit="1" customWidth="1"/>
    <col min="5" max="5" width="12" bestFit="1" customWidth="1"/>
    <col min="6" max="6" width="11.7109375" bestFit="1" customWidth="1"/>
    <col min="7" max="8" width="13.7109375" bestFit="1" customWidth="1"/>
    <col min="9" max="9" width="13.140625" bestFit="1" customWidth="1"/>
    <col min="10" max="10" width="12" bestFit="1" customWidth="1"/>
    <col min="11" max="11" width="10.28515625" bestFit="1" customWidth="1"/>
    <col min="12" max="12" width="13.5703125" bestFit="1" customWidth="1"/>
    <col min="13" max="13" width="10.42578125" customWidth="1"/>
    <col min="14" max="14" width="14.7109375" bestFit="1" customWidth="1"/>
    <col min="15" max="15" width="14.140625" bestFit="1" customWidth="1"/>
    <col min="16" max="16" width="12" bestFit="1" customWidth="1"/>
    <col min="17" max="17" width="10.28515625" bestFit="1" customWidth="1"/>
    <col min="18" max="18" width="13.5703125" bestFit="1" customWidth="1"/>
    <col min="19" max="19" width="10.28515625" customWidth="1"/>
    <col min="20" max="20" width="10.5703125" bestFit="1" customWidth="1"/>
    <col min="21" max="21" width="73.5703125" customWidth="1"/>
  </cols>
  <sheetData>
    <row r="1" spans="1:33" ht="15.75" thickBot="1" x14ac:dyDescent="0.3">
      <c r="A1" s="106" t="s">
        <v>101</v>
      </c>
      <c r="B1" s="107"/>
      <c r="C1" s="107"/>
      <c r="D1" s="107"/>
      <c r="E1" s="107"/>
      <c r="F1" s="107"/>
      <c r="G1" s="108"/>
      <c r="H1" s="103" t="s">
        <v>96</v>
      </c>
      <c r="I1" s="104"/>
      <c r="J1" s="104"/>
      <c r="K1" s="104"/>
      <c r="L1" s="104"/>
      <c r="M1" s="105"/>
      <c r="N1" s="103" t="s">
        <v>97</v>
      </c>
      <c r="O1" s="104"/>
      <c r="P1" s="104"/>
      <c r="Q1" s="104"/>
      <c r="R1" s="104"/>
      <c r="S1" s="105"/>
      <c r="T1" s="109" t="s">
        <v>107</v>
      </c>
      <c r="U1" s="109" t="s">
        <v>111</v>
      </c>
    </row>
    <row r="2" spans="1:33" ht="30.75" thickBot="1" x14ac:dyDescent="0.3">
      <c r="A2" s="57" t="s">
        <v>86</v>
      </c>
      <c r="B2" s="58" t="s">
        <v>87</v>
      </c>
      <c r="C2" s="58" t="s">
        <v>88</v>
      </c>
      <c r="D2" s="58" t="s">
        <v>89</v>
      </c>
      <c r="E2" s="58" t="s">
        <v>90</v>
      </c>
      <c r="F2" s="67" t="s">
        <v>104</v>
      </c>
      <c r="G2" s="59" t="s">
        <v>91</v>
      </c>
      <c r="H2" s="57" t="s">
        <v>92</v>
      </c>
      <c r="I2" s="58" t="s">
        <v>93</v>
      </c>
      <c r="J2" s="58" t="s">
        <v>94</v>
      </c>
      <c r="K2" s="58" t="s">
        <v>98</v>
      </c>
      <c r="L2" s="58" t="s">
        <v>99</v>
      </c>
      <c r="M2" s="59" t="s">
        <v>95</v>
      </c>
      <c r="N2" s="57" t="s">
        <v>92</v>
      </c>
      <c r="O2" s="58" t="s">
        <v>93</v>
      </c>
      <c r="P2" s="58" t="s">
        <v>94</v>
      </c>
      <c r="Q2" s="58" t="s">
        <v>98</v>
      </c>
      <c r="R2" s="58" t="s">
        <v>99</v>
      </c>
      <c r="S2" s="59" t="s">
        <v>95</v>
      </c>
      <c r="T2" s="110"/>
      <c r="U2" s="111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</row>
    <row r="3" spans="1:33" x14ac:dyDescent="0.25">
      <c r="A3" s="60">
        <v>20210538</v>
      </c>
      <c r="B3" s="61">
        <v>44566</v>
      </c>
      <c r="C3" s="62">
        <v>10200</v>
      </c>
      <c r="D3" s="62">
        <v>400</v>
      </c>
      <c r="E3" s="62">
        <v>100</v>
      </c>
      <c r="F3" s="68" t="s">
        <v>105</v>
      </c>
      <c r="G3" s="63" t="s">
        <v>100</v>
      </c>
      <c r="H3" s="60">
        <v>1200</v>
      </c>
      <c r="I3" s="70">
        <v>800</v>
      </c>
      <c r="J3" s="62">
        <v>600</v>
      </c>
      <c r="K3" s="62" t="s">
        <v>102</v>
      </c>
      <c r="L3" s="62" t="s">
        <v>103</v>
      </c>
      <c r="M3" s="63" t="s">
        <v>102</v>
      </c>
      <c r="N3" s="60">
        <v>1200</v>
      </c>
      <c r="O3" s="62">
        <v>1200</v>
      </c>
      <c r="P3" s="62">
        <v>600</v>
      </c>
      <c r="Q3" s="62" t="s">
        <v>102</v>
      </c>
      <c r="R3" s="62" t="s">
        <v>103</v>
      </c>
      <c r="S3" s="68" t="s">
        <v>102</v>
      </c>
      <c r="T3" s="72" t="s">
        <v>108</v>
      </c>
      <c r="U3" s="75" t="s">
        <v>135</v>
      </c>
    </row>
    <row r="4" spans="1:33" x14ac:dyDescent="0.25">
      <c r="A4" s="64">
        <v>20210304</v>
      </c>
      <c r="B4" s="69">
        <v>44411</v>
      </c>
      <c r="C4" s="52">
        <v>33000</v>
      </c>
      <c r="D4" s="52">
        <v>1200</v>
      </c>
      <c r="E4" s="62">
        <v>120</v>
      </c>
      <c r="F4" s="68" t="s">
        <v>105</v>
      </c>
      <c r="G4" s="63" t="s">
        <v>100</v>
      </c>
      <c r="H4" s="85">
        <v>2400</v>
      </c>
      <c r="I4" s="86">
        <v>2400</v>
      </c>
      <c r="J4" s="86">
        <v>1400</v>
      </c>
      <c r="K4" s="86" t="s">
        <v>102</v>
      </c>
      <c r="L4" s="86" t="s">
        <v>103</v>
      </c>
      <c r="M4" s="87" t="s">
        <v>102</v>
      </c>
      <c r="N4" s="85">
        <v>3700</v>
      </c>
      <c r="O4" s="86">
        <v>1350</v>
      </c>
      <c r="P4" s="86">
        <v>2200</v>
      </c>
      <c r="Q4" s="62" t="s">
        <v>102</v>
      </c>
      <c r="R4" s="62" t="s">
        <v>106</v>
      </c>
      <c r="S4" s="68">
        <v>1</v>
      </c>
      <c r="T4" s="73" t="s">
        <v>23</v>
      </c>
      <c r="U4" s="76" t="s">
        <v>138</v>
      </c>
    </row>
    <row r="5" spans="1:33" ht="16.5" customHeight="1" x14ac:dyDescent="0.25">
      <c r="A5" s="64">
        <v>20210152</v>
      </c>
      <c r="B5" s="69">
        <v>44445</v>
      </c>
      <c r="C5" s="52">
        <v>50000</v>
      </c>
      <c r="D5" s="52">
        <v>650</v>
      </c>
      <c r="E5" s="62">
        <v>200</v>
      </c>
      <c r="F5" s="68" t="s">
        <v>105</v>
      </c>
      <c r="G5" s="63" t="s">
        <v>100</v>
      </c>
      <c r="H5" s="85">
        <v>7000</v>
      </c>
      <c r="I5" s="86">
        <v>790</v>
      </c>
      <c r="J5" s="86">
        <v>2240</v>
      </c>
      <c r="K5" s="86">
        <v>7</v>
      </c>
      <c r="L5" s="86" t="s">
        <v>106</v>
      </c>
      <c r="M5" s="87">
        <v>1</v>
      </c>
      <c r="N5" s="85">
        <v>5000</v>
      </c>
      <c r="O5" s="86">
        <v>1600</v>
      </c>
      <c r="P5" s="62">
        <v>2240</v>
      </c>
      <c r="Q5" s="62" t="s">
        <v>102</v>
      </c>
      <c r="R5" s="62" t="s">
        <v>106</v>
      </c>
      <c r="S5" s="71">
        <v>2</v>
      </c>
      <c r="T5" s="73" t="s">
        <v>23</v>
      </c>
      <c r="U5" s="76"/>
    </row>
    <row r="6" spans="1:33" x14ac:dyDescent="0.25">
      <c r="A6" s="64">
        <v>20210164</v>
      </c>
      <c r="B6" s="69">
        <v>44407</v>
      </c>
      <c r="C6" s="52">
        <v>120000</v>
      </c>
      <c r="D6" s="52">
        <v>1000</v>
      </c>
      <c r="E6" s="62">
        <v>240</v>
      </c>
      <c r="F6" s="68" t="s">
        <v>105</v>
      </c>
      <c r="G6" s="63" t="s">
        <v>100</v>
      </c>
      <c r="H6" s="85">
        <v>9500</v>
      </c>
      <c r="I6" s="62">
        <v>2230</v>
      </c>
      <c r="J6" s="62">
        <v>2240</v>
      </c>
      <c r="K6" s="62">
        <v>7</v>
      </c>
      <c r="L6" s="62" t="s">
        <v>106</v>
      </c>
      <c r="M6" s="63">
        <v>2</v>
      </c>
      <c r="N6" s="85">
        <v>9500</v>
      </c>
      <c r="O6" s="62">
        <v>2300</v>
      </c>
      <c r="P6" s="62">
        <v>2450</v>
      </c>
      <c r="Q6" s="62" t="s">
        <v>102</v>
      </c>
      <c r="R6" s="62" t="s">
        <v>106</v>
      </c>
      <c r="S6" s="68">
        <v>2</v>
      </c>
      <c r="T6" s="73" t="s">
        <v>23</v>
      </c>
      <c r="U6" s="76" t="s">
        <v>137</v>
      </c>
    </row>
    <row r="7" spans="1:33" x14ac:dyDescent="0.25">
      <c r="A7" s="64">
        <v>20210296</v>
      </c>
      <c r="B7" s="69">
        <v>44414</v>
      </c>
      <c r="C7" s="52">
        <v>22000</v>
      </c>
      <c r="D7" s="52">
        <v>650</v>
      </c>
      <c r="E7" s="62">
        <v>120</v>
      </c>
      <c r="F7" s="68" t="s">
        <v>105</v>
      </c>
      <c r="G7" s="63" t="s">
        <v>100</v>
      </c>
      <c r="H7" s="85">
        <v>2000</v>
      </c>
      <c r="I7" s="86">
        <v>2000</v>
      </c>
      <c r="J7" s="62">
        <v>850</v>
      </c>
      <c r="K7" s="62" t="s">
        <v>102</v>
      </c>
      <c r="L7" s="62" t="s">
        <v>103</v>
      </c>
      <c r="M7" s="63" t="s">
        <v>102</v>
      </c>
      <c r="N7" s="60">
        <v>1800</v>
      </c>
      <c r="O7" s="62">
        <v>1800</v>
      </c>
      <c r="P7" s="62">
        <v>800</v>
      </c>
      <c r="Q7" s="62" t="s">
        <v>102</v>
      </c>
      <c r="R7" s="62" t="s">
        <v>103</v>
      </c>
      <c r="S7" s="68" t="s">
        <v>102</v>
      </c>
      <c r="T7" s="73" t="s">
        <v>23</v>
      </c>
      <c r="U7" s="76"/>
    </row>
    <row r="8" spans="1:33" x14ac:dyDescent="0.25">
      <c r="A8" s="64">
        <v>20210250</v>
      </c>
      <c r="B8" s="69">
        <v>44362</v>
      </c>
      <c r="C8" s="52">
        <v>13200</v>
      </c>
      <c r="D8" s="52">
        <v>800</v>
      </c>
      <c r="E8" s="62">
        <v>50</v>
      </c>
      <c r="F8" s="68" t="s">
        <v>105</v>
      </c>
      <c r="G8" s="63" t="s">
        <v>100</v>
      </c>
      <c r="H8" s="60">
        <v>1200</v>
      </c>
      <c r="I8" s="62">
        <v>800</v>
      </c>
      <c r="J8" s="62">
        <v>1000</v>
      </c>
      <c r="K8" s="62" t="s">
        <v>102</v>
      </c>
      <c r="L8" s="62" t="s">
        <v>103</v>
      </c>
      <c r="M8" s="63" t="s">
        <v>102</v>
      </c>
      <c r="N8" s="60">
        <v>1200</v>
      </c>
      <c r="O8" s="62">
        <v>800</v>
      </c>
      <c r="P8" s="62">
        <v>950</v>
      </c>
      <c r="Q8" s="62" t="s">
        <v>102</v>
      </c>
      <c r="R8" s="62" t="s">
        <v>103</v>
      </c>
      <c r="S8" s="68" t="s">
        <v>102</v>
      </c>
      <c r="T8" s="73" t="s">
        <v>23</v>
      </c>
      <c r="U8" s="76"/>
    </row>
    <row r="9" spans="1:33" x14ac:dyDescent="0.25">
      <c r="A9" s="64">
        <v>20210187</v>
      </c>
      <c r="B9" s="69">
        <v>44326</v>
      </c>
      <c r="C9" s="52">
        <v>17000</v>
      </c>
      <c r="D9" s="52">
        <v>300</v>
      </c>
      <c r="E9" s="62">
        <v>80</v>
      </c>
      <c r="F9" s="68" t="s">
        <v>105</v>
      </c>
      <c r="G9" s="63" t="s">
        <v>100</v>
      </c>
      <c r="H9" s="60">
        <v>1400</v>
      </c>
      <c r="I9" s="62">
        <v>1400</v>
      </c>
      <c r="J9" s="62">
        <v>500</v>
      </c>
      <c r="K9" s="62" t="s">
        <v>102</v>
      </c>
      <c r="L9" s="62" t="s">
        <v>103</v>
      </c>
      <c r="M9" s="63" t="s">
        <v>102</v>
      </c>
      <c r="N9" s="60">
        <v>1350</v>
      </c>
      <c r="O9" s="62">
        <v>1350</v>
      </c>
      <c r="P9" s="62">
        <v>50</v>
      </c>
      <c r="Q9" s="62" t="s">
        <v>102</v>
      </c>
      <c r="R9" s="62" t="s">
        <v>103</v>
      </c>
      <c r="S9" s="68" t="s">
        <v>102</v>
      </c>
      <c r="T9" s="73" t="s">
        <v>23</v>
      </c>
      <c r="U9" s="76"/>
    </row>
    <row r="10" spans="1:33" x14ac:dyDescent="0.25">
      <c r="A10" s="64">
        <v>20210272</v>
      </c>
      <c r="B10" s="69">
        <v>44398</v>
      </c>
      <c r="C10" s="52">
        <v>28440</v>
      </c>
      <c r="D10" s="52">
        <v>650</v>
      </c>
      <c r="E10" s="62">
        <v>80</v>
      </c>
      <c r="F10" s="68" t="s">
        <v>105</v>
      </c>
      <c r="G10" s="63" t="s">
        <v>100</v>
      </c>
      <c r="H10" s="60">
        <v>1800</v>
      </c>
      <c r="I10" s="62">
        <v>1800</v>
      </c>
      <c r="J10" s="62">
        <v>850</v>
      </c>
      <c r="K10" s="62" t="s">
        <v>102</v>
      </c>
      <c r="L10" s="62" t="s">
        <v>103</v>
      </c>
      <c r="M10" s="63" t="s">
        <v>102</v>
      </c>
      <c r="N10" s="60">
        <v>1800</v>
      </c>
      <c r="O10" s="62">
        <v>1800</v>
      </c>
      <c r="P10" s="62">
        <v>900</v>
      </c>
      <c r="Q10" s="62" t="s">
        <v>102</v>
      </c>
      <c r="R10" s="62" t="s">
        <v>103</v>
      </c>
      <c r="S10" s="68" t="s">
        <v>102</v>
      </c>
      <c r="T10" s="73" t="s">
        <v>23</v>
      </c>
      <c r="U10" s="76"/>
    </row>
    <row r="11" spans="1:33" x14ac:dyDescent="0.25">
      <c r="A11" s="64">
        <v>20210264</v>
      </c>
      <c r="B11" s="69">
        <v>44393</v>
      </c>
      <c r="C11" s="52">
        <v>7562</v>
      </c>
      <c r="D11" s="52">
        <v>1000</v>
      </c>
      <c r="E11" s="62">
        <v>100</v>
      </c>
      <c r="F11" s="68" t="s">
        <v>109</v>
      </c>
      <c r="G11" s="63" t="s">
        <v>100</v>
      </c>
      <c r="H11" s="60">
        <v>1400</v>
      </c>
      <c r="I11" s="62">
        <v>1400</v>
      </c>
      <c r="J11" s="62">
        <v>1200</v>
      </c>
      <c r="K11" s="62" t="s">
        <v>102</v>
      </c>
      <c r="L11" s="62" t="s">
        <v>103</v>
      </c>
      <c r="M11" s="63" t="s">
        <v>102</v>
      </c>
      <c r="N11" s="60">
        <v>1300</v>
      </c>
      <c r="O11" s="62">
        <v>1300</v>
      </c>
      <c r="P11" s="62">
        <v>1200</v>
      </c>
      <c r="Q11" s="62" t="s">
        <v>102</v>
      </c>
      <c r="R11" s="62" t="s">
        <v>103</v>
      </c>
      <c r="S11" s="68" t="s">
        <v>102</v>
      </c>
      <c r="T11" s="73" t="s">
        <v>23</v>
      </c>
      <c r="U11" s="76"/>
    </row>
    <row r="12" spans="1:33" x14ac:dyDescent="0.25">
      <c r="A12" s="64">
        <v>20210235</v>
      </c>
      <c r="B12" s="69">
        <v>44382</v>
      </c>
      <c r="C12" s="52">
        <v>10000</v>
      </c>
      <c r="D12" s="52">
        <v>1400</v>
      </c>
      <c r="E12" s="62">
        <v>100</v>
      </c>
      <c r="F12" s="68" t="s">
        <v>109</v>
      </c>
      <c r="G12" s="63" t="s">
        <v>110</v>
      </c>
      <c r="H12" s="60">
        <v>1800</v>
      </c>
      <c r="I12" s="62">
        <v>1800</v>
      </c>
      <c r="J12" s="62">
        <v>1600</v>
      </c>
      <c r="K12" s="62" t="s">
        <v>102</v>
      </c>
      <c r="L12" s="62" t="s">
        <v>103</v>
      </c>
      <c r="M12" s="63" t="s">
        <v>102</v>
      </c>
      <c r="N12" s="60">
        <v>2000</v>
      </c>
      <c r="O12" s="62">
        <v>1800</v>
      </c>
      <c r="P12" s="62">
        <v>1600</v>
      </c>
      <c r="Q12" s="62" t="s">
        <v>102</v>
      </c>
      <c r="R12" s="62" t="s">
        <v>103</v>
      </c>
      <c r="S12" s="68" t="s">
        <v>102</v>
      </c>
      <c r="T12" s="73" t="s">
        <v>23</v>
      </c>
      <c r="U12" s="76"/>
    </row>
    <row r="13" spans="1:33" x14ac:dyDescent="0.25">
      <c r="A13" s="64">
        <v>20210245</v>
      </c>
      <c r="B13" s="69">
        <v>44412</v>
      </c>
      <c r="C13" s="52">
        <v>26000</v>
      </c>
      <c r="D13" s="52">
        <v>1200</v>
      </c>
      <c r="E13" s="62">
        <v>80</v>
      </c>
      <c r="F13" s="68" t="s">
        <v>105</v>
      </c>
      <c r="G13" s="63" t="s">
        <v>100</v>
      </c>
      <c r="H13" s="60">
        <v>1800</v>
      </c>
      <c r="I13" s="62">
        <v>1800</v>
      </c>
      <c r="J13" s="62">
        <v>1400</v>
      </c>
      <c r="K13" s="62" t="s">
        <v>102</v>
      </c>
      <c r="L13" s="62" t="s">
        <v>103</v>
      </c>
      <c r="M13" s="63" t="s">
        <v>102</v>
      </c>
      <c r="N13" s="60">
        <v>1800</v>
      </c>
      <c r="O13" s="62">
        <v>1800</v>
      </c>
      <c r="P13" s="62">
        <v>1400</v>
      </c>
      <c r="Q13" s="62" t="s">
        <v>102</v>
      </c>
      <c r="R13" s="62" t="s">
        <v>103</v>
      </c>
      <c r="S13" s="68" t="s">
        <v>102</v>
      </c>
      <c r="T13" s="73" t="s">
        <v>23</v>
      </c>
      <c r="U13" s="76"/>
    </row>
    <row r="14" spans="1:33" x14ac:dyDescent="0.25">
      <c r="A14" s="64">
        <v>20200269</v>
      </c>
      <c r="B14" s="69">
        <v>44119</v>
      </c>
      <c r="C14" s="52">
        <v>93500</v>
      </c>
      <c r="D14" s="52">
        <v>800</v>
      </c>
      <c r="E14" s="62">
        <v>240</v>
      </c>
      <c r="F14" s="68" t="s">
        <v>105</v>
      </c>
      <c r="G14" s="63" t="s">
        <v>100</v>
      </c>
      <c r="H14" s="60">
        <v>7600</v>
      </c>
      <c r="I14" s="62">
        <v>1830</v>
      </c>
      <c r="J14" s="62">
        <v>2240</v>
      </c>
      <c r="K14" s="62">
        <v>7</v>
      </c>
      <c r="L14" s="62" t="s">
        <v>106</v>
      </c>
      <c r="M14" s="63">
        <v>2</v>
      </c>
      <c r="N14" s="60">
        <v>8000</v>
      </c>
      <c r="O14" s="62">
        <v>1900</v>
      </c>
      <c r="P14" s="62">
        <v>2240</v>
      </c>
      <c r="Q14" s="62">
        <v>7</v>
      </c>
      <c r="R14" s="62" t="s">
        <v>106</v>
      </c>
      <c r="S14" s="68">
        <v>2</v>
      </c>
      <c r="T14" s="73" t="s">
        <v>23</v>
      </c>
      <c r="U14" s="76"/>
    </row>
    <row r="15" spans="1:33" x14ac:dyDescent="0.25">
      <c r="A15" s="64">
        <v>20200368</v>
      </c>
      <c r="B15" s="69">
        <v>44144</v>
      </c>
      <c r="C15" s="52">
        <v>29000</v>
      </c>
      <c r="D15" s="52">
        <v>650</v>
      </c>
      <c r="E15" s="62">
        <v>120</v>
      </c>
      <c r="F15" s="68" t="s">
        <v>109</v>
      </c>
      <c r="G15" s="63" t="s">
        <v>100</v>
      </c>
      <c r="H15" s="60">
        <v>3800</v>
      </c>
      <c r="I15" s="62">
        <v>790</v>
      </c>
      <c r="J15" s="62">
        <v>2240</v>
      </c>
      <c r="K15" s="62">
        <v>1</v>
      </c>
      <c r="L15" s="62" t="s">
        <v>106</v>
      </c>
      <c r="M15" s="63">
        <v>1</v>
      </c>
      <c r="N15" s="60">
        <v>3000</v>
      </c>
      <c r="O15" s="62">
        <v>800</v>
      </c>
      <c r="P15" s="62">
        <v>2240</v>
      </c>
      <c r="Q15" s="62">
        <v>3</v>
      </c>
      <c r="R15" s="62" t="s">
        <v>106</v>
      </c>
      <c r="S15" s="68">
        <v>1</v>
      </c>
      <c r="T15" s="73" t="s">
        <v>23</v>
      </c>
      <c r="U15" s="76"/>
    </row>
    <row r="16" spans="1:33" x14ac:dyDescent="0.25">
      <c r="A16" s="64">
        <v>20200306</v>
      </c>
      <c r="B16" s="69">
        <v>44109</v>
      </c>
      <c r="C16" s="52">
        <v>34500</v>
      </c>
      <c r="D16" s="52">
        <v>800</v>
      </c>
      <c r="E16" s="62">
        <v>80</v>
      </c>
      <c r="F16" s="68" t="s">
        <v>105</v>
      </c>
      <c r="G16" s="63" t="s">
        <v>100</v>
      </c>
      <c r="H16" s="60">
        <v>2000</v>
      </c>
      <c r="I16" s="62">
        <v>2000</v>
      </c>
      <c r="J16" s="62">
        <v>1000</v>
      </c>
      <c r="K16" s="62" t="s">
        <v>102</v>
      </c>
      <c r="L16" s="62" t="s">
        <v>103</v>
      </c>
      <c r="M16" s="63" t="s">
        <v>102</v>
      </c>
      <c r="N16" s="85">
        <v>3000</v>
      </c>
      <c r="O16" s="86">
        <v>1000</v>
      </c>
      <c r="P16" s="86">
        <v>2240</v>
      </c>
      <c r="Q16" s="86" t="s">
        <v>102</v>
      </c>
      <c r="R16" s="86" t="s">
        <v>106</v>
      </c>
      <c r="S16" s="68">
        <v>1</v>
      </c>
      <c r="T16" s="73" t="s">
        <v>23</v>
      </c>
      <c r="U16" s="76"/>
    </row>
    <row r="17" spans="1:21" s="19" customFormat="1" ht="45" x14ac:dyDescent="0.25">
      <c r="A17" s="22">
        <v>20210468</v>
      </c>
      <c r="B17" s="78">
        <v>44592</v>
      </c>
      <c r="C17" s="17">
        <v>48000</v>
      </c>
      <c r="D17" s="17">
        <v>650</v>
      </c>
      <c r="E17" s="79">
        <v>200</v>
      </c>
      <c r="F17" s="80" t="s">
        <v>105</v>
      </c>
      <c r="G17" s="81" t="s">
        <v>100</v>
      </c>
      <c r="H17" s="88">
        <v>6700</v>
      </c>
      <c r="I17" s="89">
        <v>790</v>
      </c>
      <c r="J17" s="89">
        <v>2240</v>
      </c>
      <c r="K17" s="89">
        <v>7</v>
      </c>
      <c r="L17" s="89" t="s">
        <v>106</v>
      </c>
      <c r="M17" s="90">
        <v>1</v>
      </c>
      <c r="N17" s="88">
        <v>6000</v>
      </c>
      <c r="O17" s="89">
        <v>800</v>
      </c>
      <c r="P17" s="89">
        <v>2450</v>
      </c>
      <c r="Q17" s="79">
        <v>7</v>
      </c>
      <c r="R17" s="79" t="s">
        <v>106</v>
      </c>
      <c r="S17" s="80">
        <v>1</v>
      </c>
      <c r="T17" s="82" t="s">
        <v>23</v>
      </c>
      <c r="U17" s="34" t="s">
        <v>112</v>
      </c>
    </row>
    <row r="18" spans="1:21" x14ac:dyDescent="0.25">
      <c r="A18" s="64">
        <v>20210423</v>
      </c>
      <c r="B18" s="52" t="s">
        <v>133</v>
      </c>
      <c r="C18" s="52">
        <v>23700</v>
      </c>
      <c r="D18" s="52">
        <v>650</v>
      </c>
      <c r="E18" s="62">
        <v>120</v>
      </c>
      <c r="F18" s="68" t="s">
        <v>105</v>
      </c>
      <c r="G18" s="63" t="s">
        <v>100</v>
      </c>
      <c r="H18" s="60">
        <v>2000</v>
      </c>
      <c r="I18" s="62">
        <v>2000</v>
      </c>
      <c r="J18" s="62">
        <v>850</v>
      </c>
      <c r="K18" s="62" t="s">
        <v>102</v>
      </c>
      <c r="L18" s="62" t="s">
        <v>103</v>
      </c>
      <c r="M18" s="63" t="s">
        <v>102</v>
      </c>
      <c r="N18" s="60">
        <v>2000</v>
      </c>
      <c r="O18" s="62">
        <v>2000</v>
      </c>
      <c r="P18" s="62">
        <v>850</v>
      </c>
      <c r="Q18" s="62" t="s">
        <v>102</v>
      </c>
      <c r="R18" s="62" t="s">
        <v>103</v>
      </c>
      <c r="S18" s="68" t="s">
        <v>102</v>
      </c>
      <c r="T18" s="73" t="s">
        <v>23</v>
      </c>
      <c r="U18" s="76"/>
    </row>
    <row r="19" spans="1:21" x14ac:dyDescent="0.25">
      <c r="A19" s="64">
        <v>20210312</v>
      </c>
      <c r="B19" s="69">
        <v>44589</v>
      </c>
      <c r="C19" s="52">
        <v>120000</v>
      </c>
      <c r="D19" s="52">
        <v>1400</v>
      </c>
      <c r="E19" s="62">
        <v>400</v>
      </c>
      <c r="F19" s="68" t="s">
        <v>105</v>
      </c>
      <c r="G19" s="63" t="s">
        <v>100</v>
      </c>
      <c r="H19" s="60"/>
      <c r="I19" s="62"/>
      <c r="J19" s="62"/>
      <c r="K19" s="62"/>
      <c r="L19" s="62"/>
      <c r="M19" s="63"/>
      <c r="N19" s="60">
        <v>13600</v>
      </c>
      <c r="O19" s="62">
        <v>2220</v>
      </c>
      <c r="P19" s="62">
        <v>3000</v>
      </c>
      <c r="Q19" s="62">
        <v>7</v>
      </c>
      <c r="R19" s="62"/>
      <c r="S19" s="68">
        <v>1</v>
      </c>
      <c r="T19" s="73" t="s">
        <v>108</v>
      </c>
      <c r="U19" s="76" t="s">
        <v>134</v>
      </c>
    </row>
    <row r="20" spans="1:21" x14ac:dyDescent="0.25">
      <c r="A20" s="64">
        <v>20210133</v>
      </c>
      <c r="B20" s="69">
        <v>44586</v>
      </c>
      <c r="C20" s="52">
        <v>101500</v>
      </c>
      <c r="D20" s="52">
        <v>1000</v>
      </c>
      <c r="E20" s="62">
        <v>180</v>
      </c>
      <c r="F20" s="68" t="s">
        <v>105</v>
      </c>
      <c r="G20" s="63" t="s">
        <v>100</v>
      </c>
      <c r="H20" s="60">
        <v>7100</v>
      </c>
      <c r="I20" s="62">
        <v>2230</v>
      </c>
      <c r="J20" s="70">
        <v>1680</v>
      </c>
      <c r="K20" s="62">
        <v>1</v>
      </c>
      <c r="L20" s="62" t="s">
        <v>106</v>
      </c>
      <c r="M20" s="63">
        <v>2</v>
      </c>
      <c r="N20" s="60">
        <v>11800</v>
      </c>
      <c r="O20" s="62">
        <v>1150</v>
      </c>
      <c r="P20" s="62">
        <v>2240</v>
      </c>
      <c r="Q20" s="62">
        <v>7</v>
      </c>
      <c r="R20" s="62" t="s">
        <v>106</v>
      </c>
      <c r="S20" s="68">
        <v>1</v>
      </c>
      <c r="T20" s="73" t="s">
        <v>108</v>
      </c>
      <c r="U20" s="76" t="s">
        <v>136</v>
      </c>
    </row>
    <row r="21" spans="1:21" x14ac:dyDescent="0.25">
      <c r="A21" s="64">
        <v>20210277</v>
      </c>
      <c r="B21" s="69">
        <v>44592</v>
      </c>
      <c r="C21" s="52">
        <v>48000</v>
      </c>
      <c r="D21" s="52">
        <v>1200</v>
      </c>
      <c r="E21" s="62">
        <v>200</v>
      </c>
      <c r="F21" s="68" t="s">
        <v>105</v>
      </c>
      <c r="G21" s="63" t="s">
        <v>100</v>
      </c>
      <c r="H21" s="60">
        <v>6700</v>
      </c>
      <c r="I21" s="62">
        <v>1340</v>
      </c>
      <c r="J21" s="62">
        <v>2240</v>
      </c>
      <c r="K21" s="62">
        <v>7</v>
      </c>
      <c r="L21" s="62" t="s">
        <v>106</v>
      </c>
      <c r="M21" s="63">
        <v>1</v>
      </c>
      <c r="N21" s="60">
        <v>6500</v>
      </c>
      <c r="O21" s="62">
        <v>1400</v>
      </c>
      <c r="P21" s="62">
        <v>2050</v>
      </c>
      <c r="Q21" s="62">
        <v>7</v>
      </c>
      <c r="R21" s="62" t="s">
        <v>106</v>
      </c>
      <c r="S21" s="68">
        <v>1</v>
      </c>
      <c r="T21" s="73" t="s">
        <v>23</v>
      </c>
      <c r="U21" s="76"/>
    </row>
    <row r="22" spans="1:21" x14ac:dyDescent="0.25">
      <c r="A22" s="64">
        <v>20210528</v>
      </c>
      <c r="B22" s="69">
        <v>44602</v>
      </c>
      <c r="C22" s="52">
        <v>108110</v>
      </c>
      <c r="D22" s="52">
        <v>1000</v>
      </c>
      <c r="E22" s="62">
        <v>200</v>
      </c>
      <c r="F22" s="68" t="s">
        <v>109</v>
      </c>
      <c r="G22" s="63" t="s">
        <v>100</v>
      </c>
      <c r="H22" s="60">
        <v>7600</v>
      </c>
      <c r="I22" s="62">
        <v>2230</v>
      </c>
      <c r="J22" s="62">
        <v>2240</v>
      </c>
      <c r="K22" s="62">
        <v>7</v>
      </c>
      <c r="L22" s="62" t="s">
        <v>106</v>
      </c>
      <c r="M22" s="63">
        <v>2</v>
      </c>
      <c r="N22" s="60">
        <v>11000</v>
      </c>
      <c r="O22" s="62">
        <v>2300</v>
      </c>
      <c r="P22" s="62">
        <v>2240</v>
      </c>
      <c r="Q22" s="62">
        <v>1</v>
      </c>
      <c r="R22" s="62" t="s">
        <v>106</v>
      </c>
      <c r="S22" s="68">
        <v>2</v>
      </c>
      <c r="T22" s="73" t="s">
        <v>23</v>
      </c>
      <c r="U22" s="76"/>
    </row>
    <row r="23" spans="1:21" x14ac:dyDescent="0.25">
      <c r="A23" s="64">
        <v>20200294</v>
      </c>
      <c r="B23" s="69">
        <v>44582</v>
      </c>
      <c r="C23" s="52">
        <v>54500</v>
      </c>
      <c r="D23" s="52">
        <v>1200</v>
      </c>
      <c r="E23" s="62">
        <v>200</v>
      </c>
      <c r="F23" s="68" t="s">
        <v>105</v>
      </c>
      <c r="G23" s="63" t="s">
        <v>100</v>
      </c>
      <c r="H23" s="60">
        <v>7500</v>
      </c>
      <c r="I23" s="62">
        <v>1340</v>
      </c>
      <c r="J23" s="62">
        <v>2240</v>
      </c>
      <c r="K23" s="62">
        <v>7</v>
      </c>
      <c r="L23" s="62" t="s">
        <v>106</v>
      </c>
      <c r="M23" s="63">
        <v>1</v>
      </c>
      <c r="N23" s="60">
        <v>8000</v>
      </c>
      <c r="O23" s="62">
        <v>1350</v>
      </c>
      <c r="P23" s="62">
        <v>2240</v>
      </c>
      <c r="Q23" s="62">
        <v>7</v>
      </c>
      <c r="R23" s="62" t="s">
        <v>106</v>
      </c>
      <c r="S23" s="68">
        <v>1</v>
      </c>
      <c r="T23" s="73" t="s">
        <v>23</v>
      </c>
      <c r="U23" s="76"/>
    </row>
    <row r="24" spans="1:21" x14ac:dyDescent="0.25">
      <c r="A24" s="64">
        <v>211979</v>
      </c>
      <c r="B24" s="69">
        <v>44518</v>
      </c>
      <c r="C24" s="52">
        <v>36000</v>
      </c>
      <c r="D24" s="52">
        <v>1000</v>
      </c>
      <c r="E24" s="62">
        <v>200</v>
      </c>
      <c r="F24" s="68" t="s">
        <v>109</v>
      </c>
      <c r="G24" s="63" t="s">
        <v>100</v>
      </c>
      <c r="H24" s="60">
        <v>5800</v>
      </c>
      <c r="I24" s="62">
        <v>1140</v>
      </c>
      <c r="J24" s="62">
        <v>2240</v>
      </c>
      <c r="K24" s="62">
        <v>7</v>
      </c>
      <c r="L24" s="62" t="s">
        <v>106</v>
      </c>
      <c r="M24" s="63">
        <v>1</v>
      </c>
      <c r="N24" s="60">
        <v>6800</v>
      </c>
      <c r="O24" s="62">
        <v>1200</v>
      </c>
      <c r="P24" s="62">
        <v>2240</v>
      </c>
      <c r="Q24" s="62">
        <v>7</v>
      </c>
      <c r="R24" s="62" t="s">
        <v>106</v>
      </c>
      <c r="S24" s="68">
        <v>1</v>
      </c>
      <c r="T24" s="73" t="s">
        <v>23</v>
      </c>
      <c r="U24" s="76"/>
    </row>
    <row r="25" spans="1:21" x14ac:dyDescent="0.25">
      <c r="A25" s="64">
        <v>20210520</v>
      </c>
      <c r="B25" s="69">
        <v>44621</v>
      </c>
      <c r="C25" s="52">
        <v>61300</v>
      </c>
      <c r="D25" s="52">
        <v>800</v>
      </c>
      <c r="E25" s="62">
        <v>120</v>
      </c>
      <c r="F25" s="68" t="s">
        <v>105</v>
      </c>
      <c r="G25" s="63" t="s">
        <v>100</v>
      </c>
      <c r="H25" s="60">
        <v>6300</v>
      </c>
      <c r="I25" s="62">
        <v>940</v>
      </c>
      <c r="J25" s="62">
        <v>2240</v>
      </c>
      <c r="K25" s="62">
        <v>1</v>
      </c>
      <c r="L25" s="62" t="s">
        <v>106</v>
      </c>
      <c r="M25" s="63">
        <v>1</v>
      </c>
      <c r="N25" s="60">
        <v>6500</v>
      </c>
      <c r="O25" s="62">
        <v>950</v>
      </c>
      <c r="P25" s="62">
        <v>1800</v>
      </c>
      <c r="Q25" s="62">
        <v>7</v>
      </c>
      <c r="R25" s="62" t="s">
        <v>106</v>
      </c>
      <c r="S25" s="68">
        <v>1</v>
      </c>
      <c r="T25" s="73" t="s">
        <v>23</v>
      </c>
      <c r="U25" s="76"/>
    </row>
    <row r="26" spans="1:21" x14ac:dyDescent="0.25">
      <c r="A26" s="64">
        <v>20210210</v>
      </c>
      <c r="B26" s="69">
        <v>44666</v>
      </c>
      <c r="C26" s="52">
        <v>85000</v>
      </c>
      <c r="D26" s="52">
        <v>1600</v>
      </c>
      <c r="E26" s="62">
        <v>300</v>
      </c>
      <c r="F26" s="68" t="s">
        <v>105</v>
      </c>
      <c r="G26" s="63" t="s">
        <v>100</v>
      </c>
      <c r="H26" s="60">
        <v>11800</v>
      </c>
      <c r="I26" s="62">
        <v>1740</v>
      </c>
      <c r="J26" s="62">
        <v>2240</v>
      </c>
      <c r="K26" s="62">
        <v>7</v>
      </c>
      <c r="L26" s="62" t="s">
        <v>106</v>
      </c>
      <c r="M26" s="112">
        <v>1</v>
      </c>
      <c r="N26" s="60">
        <v>11800</v>
      </c>
      <c r="O26" s="62">
        <v>2200</v>
      </c>
      <c r="P26" s="62">
        <v>2030</v>
      </c>
      <c r="Q26" s="62">
        <v>1</v>
      </c>
      <c r="R26" s="62" t="s">
        <v>106</v>
      </c>
      <c r="S26" s="68">
        <v>2</v>
      </c>
      <c r="T26" s="73" t="s">
        <v>108</v>
      </c>
      <c r="U26" s="76" t="s">
        <v>143</v>
      </c>
    </row>
    <row r="27" spans="1:21" x14ac:dyDescent="0.25">
      <c r="A27" s="64">
        <v>2022004</v>
      </c>
      <c r="B27" s="69">
        <v>44666</v>
      </c>
      <c r="C27" s="52">
        <v>46000</v>
      </c>
      <c r="D27" s="52">
        <v>914</v>
      </c>
      <c r="E27" s="62">
        <v>120</v>
      </c>
      <c r="F27" s="68" t="s">
        <v>105</v>
      </c>
      <c r="G27" s="63" t="s">
        <v>100</v>
      </c>
      <c r="H27" s="60">
        <v>5800</v>
      </c>
      <c r="I27" s="62">
        <v>1054</v>
      </c>
      <c r="J27" s="62">
        <v>2240</v>
      </c>
      <c r="K27" s="62">
        <v>1</v>
      </c>
      <c r="L27" s="62" t="s">
        <v>106</v>
      </c>
      <c r="M27" s="63">
        <v>1</v>
      </c>
      <c r="N27" s="60">
        <v>5000</v>
      </c>
      <c r="O27" s="62">
        <v>1060</v>
      </c>
      <c r="P27" s="62">
        <v>2240</v>
      </c>
      <c r="Q27" s="62">
        <v>1</v>
      </c>
      <c r="R27" s="62" t="s">
        <v>106</v>
      </c>
      <c r="S27" s="68">
        <v>1</v>
      </c>
      <c r="T27" s="73" t="s">
        <v>23</v>
      </c>
      <c r="U27" s="76"/>
    </row>
    <row r="28" spans="1:21" x14ac:dyDescent="0.25">
      <c r="A28" s="64">
        <v>20210254</v>
      </c>
      <c r="B28" s="69">
        <v>44617</v>
      </c>
      <c r="C28" s="52">
        <v>71000</v>
      </c>
      <c r="D28" s="52">
        <v>1200</v>
      </c>
      <c r="E28" s="62">
        <v>240</v>
      </c>
      <c r="F28" s="68" t="s">
        <v>105</v>
      </c>
      <c r="G28" s="63" t="s">
        <v>100</v>
      </c>
      <c r="H28" s="60">
        <v>11100</v>
      </c>
      <c r="I28" s="62">
        <v>1340</v>
      </c>
      <c r="J28" s="62">
        <v>2240</v>
      </c>
      <c r="K28" s="62">
        <v>7</v>
      </c>
      <c r="L28" s="62" t="s">
        <v>106</v>
      </c>
      <c r="M28" s="63">
        <v>1</v>
      </c>
      <c r="N28" s="60">
        <v>10500</v>
      </c>
      <c r="O28" s="62">
        <v>1200</v>
      </c>
      <c r="P28" s="62">
        <v>2240</v>
      </c>
      <c r="Q28" s="62">
        <v>1</v>
      </c>
      <c r="R28" s="62" t="s">
        <v>106</v>
      </c>
      <c r="S28" s="68">
        <v>1</v>
      </c>
      <c r="T28" s="73" t="s">
        <v>23</v>
      </c>
      <c r="U28" s="76"/>
    </row>
    <row r="29" spans="1:21" x14ac:dyDescent="0.25">
      <c r="A29" s="64"/>
      <c r="B29" s="52"/>
      <c r="C29" s="52"/>
      <c r="D29" s="52"/>
      <c r="E29" s="62"/>
      <c r="F29" s="68"/>
      <c r="G29" s="63"/>
      <c r="H29" s="60"/>
      <c r="I29" s="62"/>
      <c r="J29" s="62"/>
      <c r="K29" s="62"/>
      <c r="L29" s="62"/>
      <c r="M29" s="63"/>
      <c r="N29" s="60"/>
      <c r="O29" s="62"/>
      <c r="P29" s="62"/>
      <c r="Q29" s="62"/>
      <c r="R29" s="62"/>
      <c r="S29" s="68"/>
      <c r="T29" s="73"/>
      <c r="U29" s="76"/>
    </row>
    <row r="30" spans="1:21" x14ac:dyDescent="0.25">
      <c r="A30" s="64"/>
      <c r="B30" s="52"/>
      <c r="C30" s="52"/>
      <c r="D30" s="52"/>
      <c r="E30" s="62"/>
      <c r="F30" s="68"/>
      <c r="G30" s="63"/>
      <c r="H30" s="60"/>
      <c r="I30" s="62"/>
      <c r="J30" s="62"/>
      <c r="K30" s="62"/>
      <c r="L30" s="62"/>
      <c r="M30" s="63"/>
      <c r="N30" s="60"/>
      <c r="O30" s="62"/>
      <c r="P30" s="62"/>
      <c r="Q30" s="62"/>
      <c r="R30" s="62"/>
      <c r="S30" s="68"/>
      <c r="T30" s="73"/>
      <c r="U30" s="76"/>
    </row>
    <row r="31" spans="1:21" x14ac:dyDescent="0.25">
      <c r="A31" s="64"/>
      <c r="B31" s="52"/>
      <c r="C31" s="52"/>
      <c r="D31" s="52"/>
      <c r="E31" s="62"/>
      <c r="F31" s="68"/>
      <c r="G31" s="63"/>
      <c r="H31" s="60"/>
      <c r="I31" s="62"/>
      <c r="J31" s="62"/>
      <c r="K31" s="62"/>
      <c r="L31" s="62"/>
      <c r="M31" s="63"/>
      <c r="N31" s="60"/>
      <c r="O31" s="62"/>
      <c r="P31" s="62"/>
      <c r="Q31" s="62"/>
      <c r="R31" s="62"/>
      <c r="S31" s="68"/>
      <c r="T31" s="73"/>
      <c r="U31" s="76"/>
    </row>
    <row r="32" spans="1:21" x14ac:dyDescent="0.25">
      <c r="A32" s="64"/>
      <c r="B32" s="52"/>
      <c r="C32" s="52"/>
      <c r="D32" s="52"/>
      <c r="E32" s="62"/>
      <c r="F32" s="68"/>
      <c r="G32" s="63"/>
      <c r="H32" s="60"/>
      <c r="I32" s="62"/>
      <c r="J32" s="62"/>
      <c r="K32" s="62"/>
      <c r="L32" s="62"/>
      <c r="M32" s="63"/>
      <c r="N32" s="60"/>
      <c r="O32" s="62"/>
      <c r="P32" s="62"/>
      <c r="Q32" s="62"/>
      <c r="R32" s="62"/>
      <c r="S32" s="68"/>
      <c r="T32" s="73"/>
      <c r="U32" s="76"/>
    </row>
    <row r="33" spans="1:21" x14ac:dyDescent="0.25">
      <c r="A33" s="64"/>
      <c r="B33" s="52"/>
      <c r="C33" s="52"/>
      <c r="D33" s="52"/>
      <c r="E33" s="62"/>
      <c r="F33" s="68"/>
      <c r="G33" s="63"/>
      <c r="H33" s="60"/>
      <c r="I33" s="62"/>
      <c r="J33" s="62"/>
      <c r="K33" s="62"/>
      <c r="L33" s="62"/>
      <c r="M33" s="63"/>
      <c r="N33" s="60"/>
      <c r="O33" s="62"/>
      <c r="P33" s="62"/>
      <c r="Q33" s="62"/>
      <c r="R33" s="62"/>
      <c r="S33" s="68"/>
      <c r="T33" s="73"/>
      <c r="U33" s="76"/>
    </row>
    <row r="34" spans="1:21" x14ac:dyDescent="0.25">
      <c r="A34" s="64"/>
      <c r="B34" s="52"/>
      <c r="C34" s="52"/>
      <c r="D34" s="52"/>
      <c r="E34" s="62"/>
      <c r="F34" s="68"/>
      <c r="G34" s="63"/>
      <c r="H34" s="60"/>
      <c r="I34" s="62"/>
      <c r="J34" s="62"/>
      <c r="K34" s="62"/>
      <c r="L34" s="62"/>
      <c r="M34" s="63"/>
      <c r="N34" s="60"/>
      <c r="O34" s="62"/>
      <c r="P34" s="62"/>
      <c r="Q34" s="62"/>
      <c r="R34" s="62"/>
      <c r="S34" s="68"/>
      <c r="T34" s="73"/>
      <c r="U34" s="76"/>
    </row>
    <row r="35" spans="1:21" x14ac:dyDescent="0.25">
      <c r="A35" s="64"/>
      <c r="B35" s="52"/>
      <c r="C35" s="52"/>
      <c r="D35" s="52"/>
      <c r="E35" s="62"/>
      <c r="F35" s="68"/>
      <c r="G35" s="63"/>
      <c r="H35" s="60"/>
      <c r="I35" s="62"/>
      <c r="J35" s="62"/>
      <c r="K35" s="62"/>
      <c r="L35" s="62"/>
      <c r="M35" s="63"/>
      <c r="N35" s="60"/>
      <c r="O35" s="62"/>
      <c r="P35" s="62"/>
      <c r="Q35" s="62"/>
      <c r="R35" s="62"/>
      <c r="S35" s="68"/>
      <c r="T35" s="73"/>
      <c r="U35" s="76"/>
    </row>
    <row r="36" spans="1:21" x14ac:dyDescent="0.25">
      <c r="A36" s="64"/>
      <c r="B36" s="52"/>
      <c r="C36" s="52"/>
      <c r="D36" s="52"/>
      <c r="E36" s="62"/>
      <c r="F36" s="68"/>
      <c r="G36" s="63"/>
      <c r="H36" s="60"/>
      <c r="I36" s="62"/>
      <c r="J36" s="62"/>
      <c r="K36" s="62"/>
      <c r="L36" s="62"/>
      <c r="M36" s="63"/>
      <c r="N36" s="60"/>
      <c r="O36" s="62"/>
      <c r="P36" s="62"/>
      <c r="Q36" s="62"/>
      <c r="R36" s="62"/>
      <c r="S36" s="68"/>
      <c r="T36" s="73"/>
      <c r="U36" s="76"/>
    </row>
    <row r="37" spans="1:21" x14ac:dyDescent="0.25">
      <c r="A37" s="64"/>
      <c r="B37" s="52"/>
      <c r="C37" s="52"/>
      <c r="D37" s="52"/>
      <c r="E37" s="62"/>
      <c r="F37" s="68"/>
      <c r="G37" s="63"/>
      <c r="H37" s="60"/>
      <c r="I37" s="62"/>
      <c r="J37" s="62"/>
      <c r="K37" s="62"/>
      <c r="L37" s="62"/>
      <c r="M37" s="63"/>
      <c r="N37" s="60"/>
      <c r="O37" s="62"/>
      <c r="P37" s="62"/>
      <c r="Q37" s="62"/>
      <c r="R37" s="62"/>
      <c r="S37" s="68"/>
      <c r="T37" s="73"/>
      <c r="U37" s="76"/>
    </row>
    <row r="38" spans="1:21" x14ac:dyDescent="0.25">
      <c r="A38" s="64"/>
      <c r="B38" s="52"/>
      <c r="C38" s="52"/>
      <c r="D38" s="52"/>
      <c r="E38" s="62"/>
      <c r="F38" s="68"/>
      <c r="G38" s="63"/>
      <c r="H38" s="60"/>
      <c r="I38" s="62"/>
      <c r="J38" s="62"/>
      <c r="K38" s="62"/>
      <c r="L38" s="62"/>
      <c r="M38" s="63"/>
      <c r="N38" s="60"/>
      <c r="O38" s="62"/>
      <c r="P38" s="62"/>
      <c r="Q38" s="62"/>
      <c r="R38" s="62"/>
      <c r="S38" s="68"/>
      <c r="T38" s="73"/>
      <c r="U38" s="76"/>
    </row>
    <row r="39" spans="1:21" x14ac:dyDescent="0.25">
      <c r="A39" s="64"/>
      <c r="B39" s="52"/>
      <c r="C39" s="52"/>
      <c r="D39" s="52"/>
      <c r="E39" s="62"/>
      <c r="F39" s="68"/>
      <c r="G39" s="63"/>
      <c r="H39" s="60"/>
      <c r="I39" s="62"/>
      <c r="J39" s="62"/>
      <c r="K39" s="62"/>
      <c r="L39" s="62"/>
      <c r="M39" s="63"/>
      <c r="N39" s="60"/>
      <c r="O39" s="62"/>
      <c r="P39" s="62"/>
      <c r="Q39" s="62"/>
      <c r="R39" s="62"/>
      <c r="S39" s="68"/>
      <c r="T39" s="73"/>
      <c r="U39" s="76"/>
    </row>
    <row r="40" spans="1:21" x14ac:dyDescent="0.25">
      <c r="A40" s="64"/>
      <c r="B40" s="52"/>
      <c r="C40" s="52"/>
      <c r="D40" s="52"/>
      <c r="E40" s="62"/>
      <c r="F40" s="68"/>
      <c r="G40" s="63"/>
      <c r="H40" s="60"/>
      <c r="I40" s="62"/>
      <c r="J40" s="62"/>
      <c r="K40" s="62"/>
      <c r="L40" s="62"/>
      <c r="M40" s="63"/>
      <c r="N40" s="60"/>
      <c r="O40" s="62"/>
      <c r="P40" s="62"/>
      <c r="Q40" s="62"/>
      <c r="R40" s="62"/>
      <c r="S40" s="68"/>
      <c r="T40" s="73"/>
      <c r="U40" s="76"/>
    </row>
    <row r="41" spans="1:21" x14ac:dyDescent="0.25">
      <c r="A41" s="64"/>
      <c r="B41" s="52"/>
      <c r="C41" s="52"/>
      <c r="D41" s="52"/>
      <c r="E41" s="62"/>
      <c r="F41" s="68"/>
      <c r="G41" s="63"/>
      <c r="H41" s="60"/>
      <c r="I41" s="62"/>
      <c r="J41" s="62"/>
      <c r="K41" s="62"/>
      <c r="L41" s="62"/>
      <c r="M41" s="63"/>
      <c r="N41" s="60"/>
      <c r="O41" s="62"/>
      <c r="P41" s="62"/>
      <c r="Q41" s="62"/>
      <c r="R41" s="62"/>
      <c r="S41" s="68"/>
      <c r="T41" s="73"/>
      <c r="U41" s="76"/>
    </row>
    <row r="42" spans="1:21" x14ac:dyDescent="0.25">
      <c r="A42" s="64"/>
      <c r="B42" s="52"/>
      <c r="C42" s="52"/>
      <c r="D42" s="52"/>
      <c r="E42" s="62"/>
      <c r="F42" s="68"/>
      <c r="G42" s="63"/>
      <c r="H42" s="60"/>
      <c r="I42" s="62"/>
      <c r="J42" s="62"/>
      <c r="K42" s="62"/>
      <c r="L42" s="62"/>
      <c r="M42" s="63"/>
      <c r="N42" s="60"/>
      <c r="O42" s="62"/>
      <c r="P42" s="62"/>
      <c r="Q42" s="62"/>
      <c r="R42" s="62"/>
      <c r="S42" s="68"/>
      <c r="T42" s="73"/>
      <c r="U42" s="76"/>
    </row>
    <row r="43" spans="1:21" x14ac:dyDescent="0.25">
      <c r="A43" s="64"/>
      <c r="B43" s="52"/>
      <c r="C43" s="52"/>
      <c r="D43" s="52"/>
      <c r="E43" s="62"/>
      <c r="F43" s="68"/>
      <c r="G43" s="63"/>
      <c r="H43" s="60"/>
      <c r="I43" s="62"/>
      <c r="J43" s="62"/>
      <c r="K43" s="62"/>
      <c r="L43" s="62"/>
      <c r="M43" s="63"/>
      <c r="N43" s="60"/>
      <c r="O43" s="62"/>
      <c r="P43" s="62"/>
      <c r="Q43" s="62"/>
      <c r="R43" s="62"/>
      <c r="S43" s="68"/>
      <c r="T43" s="73"/>
      <c r="U43" s="76"/>
    </row>
    <row r="44" spans="1:21" x14ac:dyDescent="0.25">
      <c r="A44" s="64"/>
      <c r="B44" s="52"/>
      <c r="C44" s="52"/>
      <c r="D44" s="52"/>
      <c r="E44" s="62"/>
      <c r="F44" s="68"/>
      <c r="G44" s="63"/>
      <c r="H44" s="60"/>
      <c r="I44" s="62"/>
      <c r="J44" s="62"/>
      <c r="K44" s="62"/>
      <c r="L44" s="62"/>
      <c r="M44" s="63"/>
      <c r="N44" s="60"/>
      <c r="O44" s="62"/>
      <c r="P44" s="62"/>
      <c r="Q44" s="62"/>
      <c r="R44" s="62"/>
      <c r="S44" s="68"/>
      <c r="T44" s="73"/>
      <c r="U44" s="76"/>
    </row>
    <row r="45" spans="1:21" x14ac:dyDescent="0.25">
      <c r="A45" s="64"/>
      <c r="B45" s="52"/>
      <c r="C45" s="52"/>
      <c r="D45" s="52"/>
      <c r="E45" s="62"/>
      <c r="F45" s="68"/>
      <c r="G45" s="63"/>
      <c r="H45" s="60"/>
      <c r="I45" s="62"/>
      <c r="J45" s="62"/>
      <c r="K45" s="62"/>
      <c r="L45" s="62"/>
      <c r="M45" s="63"/>
      <c r="N45" s="60"/>
      <c r="O45" s="62"/>
      <c r="P45" s="62"/>
      <c r="Q45" s="62"/>
      <c r="R45" s="62"/>
      <c r="S45" s="68"/>
      <c r="T45" s="73"/>
      <c r="U45" s="76"/>
    </row>
    <row r="46" spans="1:21" x14ac:dyDescent="0.25">
      <c r="A46" s="64"/>
      <c r="B46" s="52"/>
      <c r="C46" s="52"/>
      <c r="D46" s="52"/>
      <c r="E46" s="62"/>
      <c r="F46" s="68"/>
      <c r="G46" s="63"/>
      <c r="H46" s="60"/>
      <c r="I46" s="62"/>
      <c r="J46" s="62"/>
      <c r="K46" s="62"/>
      <c r="L46" s="62"/>
      <c r="M46" s="63"/>
      <c r="N46" s="60"/>
      <c r="O46" s="62"/>
      <c r="P46" s="62"/>
      <c r="Q46" s="62"/>
      <c r="R46" s="62"/>
      <c r="S46" s="68"/>
      <c r="T46" s="73"/>
      <c r="U46" s="76"/>
    </row>
    <row r="47" spans="1:21" x14ac:dyDescent="0.25">
      <c r="A47" s="64"/>
      <c r="B47" s="52"/>
      <c r="C47" s="52"/>
      <c r="D47" s="52"/>
      <c r="E47" s="62"/>
      <c r="F47" s="68"/>
      <c r="G47" s="63"/>
      <c r="H47" s="60"/>
      <c r="I47" s="62"/>
      <c r="J47" s="62"/>
      <c r="K47" s="62"/>
      <c r="L47" s="62"/>
      <c r="M47" s="63"/>
      <c r="N47" s="60"/>
      <c r="O47" s="62"/>
      <c r="P47" s="62"/>
      <c r="Q47" s="62"/>
      <c r="R47" s="62"/>
      <c r="S47" s="68"/>
      <c r="T47" s="73"/>
      <c r="U47" s="76"/>
    </row>
    <row r="48" spans="1:21" x14ac:dyDescent="0.25">
      <c r="A48" s="64"/>
      <c r="B48" s="52"/>
      <c r="C48" s="52"/>
      <c r="D48" s="52"/>
      <c r="E48" s="62"/>
      <c r="F48" s="68"/>
      <c r="G48" s="63"/>
      <c r="H48" s="60"/>
      <c r="I48" s="62"/>
      <c r="J48" s="62"/>
      <c r="K48" s="62"/>
      <c r="L48" s="62"/>
      <c r="M48" s="63"/>
      <c r="N48" s="60"/>
      <c r="O48" s="62"/>
      <c r="P48" s="62"/>
      <c r="Q48" s="62"/>
      <c r="R48" s="62"/>
      <c r="S48" s="68"/>
      <c r="T48" s="73"/>
      <c r="U48" s="76"/>
    </row>
    <row r="49" spans="1:21" x14ac:dyDescent="0.25">
      <c r="A49" s="64"/>
      <c r="B49" s="52"/>
      <c r="C49" s="52"/>
      <c r="D49" s="52"/>
      <c r="E49" s="62"/>
      <c r="F49" s="68"/>
      <c r="G49" s="63"/>
      <c r="H49" s="60"/>
      <c r="I49" s="62"/>
      <c r="J49" s="62"/>
      <c r="K49" s="62"/>
      <c r="L49" s="62"/>
      <c r="M49" s="63"/>
      <c r="N49" s="60"/>
      <c r="O49" s="62"/>
      <c r="P49" s="62"/>
      <c r="Q49" s="62"/>
      <c r="R49" s="62"/>
      <c r="S49" s="68"/>
      <c r="T49" s="73"/>
      <c r="U49" s="76"/>
    </row>
    <row r="50" spans="1:21" x14ac:dyDescent="0.25">
      <c r="A50" s="64"/>
      <c r="B50" s="52"/>
      <c r="C50" s="52"/>
      <c r="D50" s="52"/>
      <c r="E50" s="62"/>
      <c r="F50" s="68"/>
      <c r="G50" s="63"/>
      <c r="H50" s="60"/>
      <c r="I50" s="62"/>
      <c r="J50" s="62"/>
      <c r="K50" s="62"/>
      <c r="L50" s="62"/>
      <c r="M50" s="63"/>
      <c r="N50" s="60"/>
      <c r="O50" s="62"/>
      <c r="P50" s="62"/>
      <c r="Q50" s="62"/>
      <c r="R50" s="62"/>
      <c r="S50" s="68"/>
      <c r="T50" s="73"/>
      <c r="U50" s="76"/>
    </row>
    <row r="51" spans="1:21" x14ac:dyDescent="0.25">
      <c r="A51" s="64"/>
      <c r="B51" s="52"/>
      <c r="C51" s="52"/>
      <c r="D51" s="52"/>
      <c r="E51" s="62"/>
      <c r="F51" s="68"/>
      <c r="G51" s="63"/>
      <c r="H51" s="60"/>
      <c r="I51" s="62"/>
      <c r="J51" s="62"/>
      <c r="K51" s="62"/>
      <c r="L51" s="62"/>
      <c r="M51" s="63"/>
      <c r="N51" s="60"/>
      <c r="O51" s="62"/>
      <c r="P51" s="62"/>
      <c r="Q51" s="62"/>
      <c r="R51" s="62"/>
      <c r="S51" s="68"/>
      <c r="T51" s="73"/>
      <c r="U51" s="76"/>
    </row>
    <row r="52" spans="1:21" x14ac:dyDescent="0.25">
      <c r="A52" s="64"/>
      <c r="B52" s="52"/>
      <c r="C52" s="52"/>
      <c r="D52" s="52"/>
      <c r="E52" s="62"/>
      <c r="F52" s="68"/>
      <c r="G52" s="63"/>
      <c r="H52" s="60"/>
      <c r="I52" s="62"/>
      <c r="J52" s="62"/>
      <c r="K52" s="62"/>
      <c r="L52" s="62"/>
      <c r="M52" s="63"/>
      <c r="N52" s="60"/>
      <c r="O52" s="62"/>
      <c r="P52" s="62"/>
      <c r="Q52" s="62"/>
      <c r="R52" s="62"/>
      <c r="S52" s="68"/>
      <c r="T52" s="73"/>
      <c r="U52" s="76"/>
    </row>
    <row r="53" spans="1:21" x14ac:dyDescent="0.25">
      <c r="A53" s="64"/>
      <c r="B53" s="52"/>
      <c r="C53" s="52"/>
      <c r="D53" s="52"/>
      <c r="E53" s="62"/>
      <c r="F53" s="68"/>
      <c r="G53" s="63"/>
      <c r="H53" s="60"/>
      <c r="I53" s="62"/>
      <c r="J53" s="62"/>
      <c r="K53" s="62"/>
      <c r="L53" s="62"/>
      <c r="M53" s="63"/>
      <c r="N53" s="60"/>
      <c r="O53" s="62"/>
      <c r="P53" s="62"/>
      <c r="Q53" s="62"/>
      <c r="R53" s="62"/>
      <c r="S53" s="68"/>
      <c r="T53" s="73"/>
      <c r="U53" s="76"/>
    </row>
    <row r="54" spans="1:21" x14ac:dyDescent="0.25">
      <c r="A54" s="64"/>
      <c r="B54" s="52"/>
      <c r="C54" s="52"/>
      <c r="D54" s="52"/>
      <c r="E54" s="62"/>
      <c r="F54" s="68"/>
      <c r="G54" s="63"/>
      <c r="H54" s="60"/>
      <c r="I54" s="62"/>
      <c r="J54" s="62"/>
      <c r="K54" s="62"/>
      <c r="L54" s="62"/>
      <c r="M54" s="63"/>
      <c r="N54" s="60"/>
      <c r="O54" s="62"/>
      <c r="P54" s="62"/>
      <c r="Q54" s="62"/>
      <c r="R54" s="62"/>
      <c r="S54" s="68"/>
      <c r="T54" s="73"/>
      <c r="U54" s="76"/>
    </row>
    <row r="55" spans="1:21" x14ac:dyDescent="0.25">
      <c r="A55" s="64"/>
      <c r="B55" s="52"/>
      <c r="C55" s="52"/>
      <c r="D55" s="52"/>
      <c r="E55" s="62"/>
      <c r="F55" s="68"/>
      <c r="G55" s="63"/>
      <c r="H55" s="60"/>
      <c r="I55" s="62"/>
      <c r="J55" s="62"/>
      <c r="K55" s="62"/>
      <c r="L55" s="62"/>
      <c r="M55" s="63"/>
      <c r="N55" s="60"/>
      <c r="O55" s="62"/>
      <c r="P55" s="62"/>
      <c r="Q55" s="62"/>
      <c r="R55" s="62"/>
      <c r="S55" s="68"/>
      <c r="T55" s="73"/>
      <c r="U55" s="76"/>
    </row>
    <row r="56" spans="1:21" x14ac:dyDescent="0.25">
      <c r="A56" s="64"/>
      <c r="B56" s="52"/>
      <c r="C56" s="52"/>
      <c r="D56" s="52"/>
      <c r="E56" s="62"/>
      <c r="F56" s="68"/>
      <c r="G56" s="63"/>
      <c r="H56" s="60"/>
      <c r="I56" s="62"/>
      <c r="J56" s="62"/>
      <c r="K56" s="62"/>
      <c r="L56" s="62"/>
      <c r="M56" s="63"/>
      <c r="N56" s="60"/>
      <c r="O56" s="62"/>
      <c r="P56" s="62"/>
      <c r="Q56" s="62"/>
      <c r="R56" s="62"/>
      <c r="S56" s="68"/>
      <c r="T56" s="73"/>
      <c r="U56" s="76"/>
    </row>
    <row r="57" spans="1:21" x14ac:dyDescent="0.25">
      <c r="A57" s="64"/>
      <c r="B57" s="52"/>
      <c r="C57" s="52"/>
      <c r="D57" s="52"/>
      <c r="E57" s="62"/>
      <c r="F57" s="68"/>
      <c r="G57" s="63"/>
      <c r="H57" s="60"/>
      <c r="I57" s="62"/>
      <c r="J57" s="62"/>
      <c r="K57" s="62"/>
      <c r="L57" s="62"/>
      <c r="M57" s="63"/>
      <c r="N57" s="60"/>
      <c r="O57" s="62"/>
      <c r="P57" s="62"/>
      <c r="Q57" s="62"/>
      <c r="R57" s="62"/>
      <c r="S57" s="68"/>
      <c r="T57" s="73"/>
      <c r="U57" s="76"/>
    </row>
    <row r="58" spans="1:21" x14ac:dyDescent="0.25">
      <c r="A58" s="64"/>
      <c r="B58" s="52"/>
      <c r="C58" s="52"/>
      <c r="D58" s="52"/>
      <c r="E58" s="62"/>
      <c r="F58" s="68"/>
      <c r="G58" s="63"/>
      <c r="H58" s="60"/>
      <c r="I58" s="62"/>
      <c r="J58" s="62"/>
      <c r="K58" s="62"/>
      <c r="L58" s="62"/>
      <c r="M58" s="63"/>
      <c r="N58" s="60"/>
      <c r="O58" s="62"/>
      <c r="P58" s="62"/>
      <c r="Q58" s="62"/>
      <c r="R58" s="62"/>
      <c r="S58" s="68"/>
      <c r="T58" s="73"/>
      <c r="U58" s="76"/>
    </row>
    <row r="59" spans="1:21" x14ac:dyDescent="0.25">
      <c r="A59" s="64"/>
      <c r="B59" s="52"/>
      <c r="C59" s="52"/>
      <c r="D59" s="52"/>
      <c r="E59" s="62"/>
      <c r="F59" s="68"/>
      <c r="G59" s="63"/>
      <c r="H59" s="60"/>
      <c r="I59" s="62"/>
      <c r="J59" s="62"/>
      <c r="K59" s="62"/>
      <c r="L59" s="62"/>
      <c r="M59" s="63"/>
      <c r="N59" s="60"/>
      <c r="O59" s="62"/>
      <c r="P59" s="62"/>
      <c r="Q59" s="62"/>
      <c r="R59" s="62"/>
      <c r="S59" s="68"/>
      <c r="T59" s="73"/>
      <c r="U59" s="76"/>
    </row>
    <row r="60" spans="1:21" x14ac:dyDescent="0.25">
      <c r="A60" s="64"/>
      <c r="B60" s="52"/>
      <c r="C60" s="52"/>
      <c r="D60" s="52"/>
      <c r="E60" s="62"/>
      <c r="F60" s="68"/>
      <c r="G60" s="63"/>
      <c r="H60" s="60"/>
      <c r="I60" s="62"/>
      <c r="J60" s="62"/>
      <c r="K60" s="62"/>
      <c r="L60" s="62"/>
      <c r="M60" s="63"/>
      <c r="N60" s="60"/>
      <c r="O60" s="62"/>
      <c r="P60" s="62"/>
      <c r="Q60" s="62"/>
      <c r="R60" s="62"/>
      <c r="S60" s="68"/>
      <c r="T60" s="73"/>
      <c r="U60" s="76"/>
    </row>
    <row r="61" spans="1:21" x14ac:dyDescent="0.25">
      <c r="A61" s="64"/>
      <c r="B61" s="52"/>
      <c r="C61" s="52"/>
      <c r="D61" s="52"/>
      <c r="E61" s="62"/>
      <c r="F61" s="68"/>
      <c r="G61" s="63"/>
      <c r="H61" s="60"/>
      <c r="I61" s="62"/>
      <c r="J61" s="62"/>
      <c r="K61" s="62"/>
      <c r="L61" s="62"/>
      <c r="M61" s="63"/>
      <c r="N61" s="60"/>
      <c r="O61" s="62"/>
      <c r="P61" s="62"/>
      <c r="Q61" s="62"/>
      <c r="R61" s="62"/>
      <c r="S61" s="68"/>
      <c r="T61" s="73"/>
      <c r="U61" s="76"/>
    </row>
    <row r="62" spans="1:21" x14ac:dyDescent="0.25">
      <c r="A62" s="64"/>
      <c r="B62" s="52"/>
      <c r="C62" s="52"/>
      <c r="D62" s="52"/>
      <c r="E62" s="62"/>
      <c r="F62" s="68"/>
      <c r="G62" s="63"/>
      <c r="H62" s="60"/>
      <c r="I62" s="62"/>
      <c r="J62" s="62"/>
      <c r="K62" s="62"/>
      <c r="L62" s="62"/>
      <c r="M62" s="63"/>
      <c r="N62" s="60"/>
      <c r="O62" s="62"/>
      <c r="P62" s="62"/>
      <c r="Q62" s="62"/>
      <c r="R62" s="62"/>
      <c r="S62" s="68"/>
      <c r="T62" s="73"/>
      <c r="U62" s="76"/>
    </row>
    <row r="63" spans="1:21" x14ac:dyDescent="0.25">
      <c r="A63" s="64"/>
      <c r="B63" s="52"/>
      <c r="C63" s="52"/>
      <c r="D63" s="52"/>
      <c r="E63" s="62"/>
      <c r="F63" s="68"/>
      <c r="G63" s="63"/>
      <c r="H63" s="60"/>
      <c r="I63" s="62"/>
      <c r="J63" s="62"/>
      <c r="K63" s="62"/>
      <c r="L63" s="62"/>
      <c r="M63" s="63"/>
      <c r="N63" s="60"/>
      <c r="O63" s="62"/>
      <c r="P63" s="62"/>
      <c r="Q63" s="62"/>
      <c r="R63" s="62"/>
      <c r="S63" s="68"/>
      <c r="T63" s="73"/>
      <c r="U63" s="76"/>
    </row>
    <row r="64" spans="1:21" x14ac:dyDescent="0.25">
      <c r="A64" s="64"/>
      <c r="B64" s="52"/>
      <c r="C64" s="52"/>
      <c r="D64" s="52"/>
      <c r="E64" s="62"/>
      <c r="F64" s="68"/>
      <c r="G64" s="63"/>
      <c r="H64" s="60"/>
      <c r="I64" s="62"/>
      <c r="J64" s="62"/>
      <c r="K64" s="62"/>
      <c r="L64" s="62"/>
      <c r="M64" s="63"/>
      <c r="N64" s="60"/>
      <c r="O64" s="62"/>
      <c r="P64" s="62"/>
      <c r="Q64" s="62"/>
      <c r="R64" s="62"/>
      <c r="S64" s="68"/>
      <c r="T64" s="73"/>
      <c r="U64" s="76"/>
    </row>
    <row r="65" spans="1:21" x14ac:dyDescent="0.25">
      <c r="A65" s="64"/>
      <c r="B65" s="52"/>
      <c r="C65" s="52"/>
      <c r="D65" s="52"/>
      <c r="E65" s="62"/>
      <c r="F65" s="68"/>
      <c r="G65" s="63"/>
      <c r="H65" s="60"/>
      <c r="I65" s="62"/>
      <c r="J65" s="62"/>
      <c r="K65" s="62"/>
      <c r="L65" s="62"/>
      <c r="M65" s="63"/>
      <c r="N65" s="60"/>
      <c r="O65" s="62"/>
      <c r="P65" s="62"/>
      <c r="Q65" s="62"/>
      <c r="R65" s="62"/>
      <c r="S65" s="68"/>
      <c r="T65" s="73"/>
      <c r="U65" s="76"/>
    </row>
    <row r="66" spans="1:21" x14ac:dyDescent="0.25">
      <c r="A66" s="64"/>
      <c r="B66" s="52"/>
      <c r="C66" s="52"/>
      <c r="D66" s="52"/>
      <c r="E66" s="62"/>
      <c r="F66" s="68"/>
      <c r="G66" s="63"/>
      <c r="H66" s="60"/>
      <c r="I66" s="62"/>
      <c r="J66" s="62"/>
      <c r="K66" s="62"/>
      <c r="L66" s="62"/>
      <c r="M66" s="63"/>
      <c r="N66" s="60"/>
      <c r="O66" s="62"/>
      <c r="P66" s="62"/>
      <c r="Q66" s="62"/>
      <c r="R66" s="62"/>
      <c r="S66" s="68"/>
      <c r="T66" s="73"/>
      <c r="U66" s="76"/>
    </row>
    <row r="67" spans="1:21" x14ac:dyDescent="0.25">
      <c r="A67" s="64"/>
      <c r="B67" s="52"/>
      <c r="C67" s="52"/>
      <c r="D67" s="52"/>
      <c r="E67" s="62"/>
      <c r="F67" s="68"/>
      <c r="G67" s="63"/>
      <c r="H67" s="60"/>
      <c r="I67" s="62"/>
      <c r="J67" s="62"/>
      <c r="K67" s="62"/>
      <c r="L67" s="62"/>
      <c r="M67" s="63"/>
      <c r="N67" s="60"/>
      <c r="O67" s="62"/>
      <c r="P67" s="62"/>
      <c r="Q67" s="62"/>
      <c r="R67" s="62"/>
      <c r="S67" s="68"/>
      <c r="T67" s="73"/>
      <c r="U67" s="76"/>
    </row>
    <row r="68" spans="1:21" x14ac:dyDescent="0.25">
      <c r="A68" s="64"/>
      <c r="B68" s="52"/>
      <c r="C68" s="52"/>
      <c r="D68" s="52"/>
      <c r="E68" s="62"/>
      <c r="F68" s="68"/>
      <c r="G68" s="63"/>
      <c r="H68" s="60"/>
      <c r="I68" s="62"/>
      <c r="J68" s="62"/>
      <c r="K68" s="62"/>
      <c r="L68" s="62"/>
      <c r="M68" s="63"/>
      <c r="N68" s="60"/>
      <c r="O68" s="62"/>
      <c r="P68" s="62"/>
      <c r="Q68" s="62"/>
      <c r="R68" s="62"/>
      <c r="S68" s="68"/>
      <c r="T68" s="73"/>
      <c r="U68" s="76"/>
    </row>
    <row r="69" spans="1:21" x14ac:dyDescent="0.25">
      <c r="A69" s="64"/>
      <c r="B69" s="52"/>
      <c r="C69" s="52"/>
      <c r="D69" s="52"/>
      <c r="E69" s="62"/>
      <c r="F69" s="68"/>
      <c r="G69" s="63"/>
      <c r="H69" s="60"/>
      <c r="I69" s="62"/>
      <c r="J69" s="62"/>
      <c r="K69" s="62"/>
      <c r="L69" s="62"/>
      <c r="M69" s="63"/>
      <c r="N69" s="60"/>
      <c r="O69" s="62"/>
      <c r="P69" s="62"/>
      <c r="Q69" s="62"/>
      <c r="R69" s="62"/>
      <c r="S69" s="68"/>
      <c r="T69" s="73"/>
      <c r="U69" s="76"/>
    </row>
    <row r="70" spans="1:21" x14ac:dyDescent="0.25">
      <c r="A70" s="64"/>
      <c r="B70" s="52"/>
      <c r="C70" s="52"/>
      <c r="D70" s="52"/>
      <c r="E70" s="62"/>
      <c r="F70" s="68"/>
      <c r="G70" s="63"/>
      <c r="H70" s="60"/>
      <c r="I70" s="62"/>
      <c r="J70" s="62"/>
      <c r="K70" s="62"/>
      <c r="L70" s="62"/>
      <c r="M70" s="63"/>
      <c r="N70" s="60"/>
      <c r="O70" s="62"/>
      <c r="P70" s="62"/>
      <c r="Q70" s="62"/>
      <c r="R70" s="62"/>
      <c r="S70" s="68"/>
      <c r="T70" s="73"/>
      <c r="U70" s="76"/>
    </row>
    <row r="71" spans="1:21" x14ac:dyDescent="0.25">
      <c r="A71" s="64"/>
      <c r="B71" s="52"/>
      <c r="C71" s="52"/>
      <c r="D71" s="52"/>
      <c r="E71" s="62"/>
      <c r="F71" s="68"/>
      <c r="G71" s="63"/>
      <c r="H71" s="60"/>
      <c r="I71" s="62"/>
      <c r="J71" s="62"/>
      <c r="K71" s="62"/>
      <c r="L71" s="62"/>
      <c r="M71" s="63"/>
      <c r="N71" s="60"/>
      <c r="O71" s="62"/>
      <c r="P71" s="62"/>
      <c r="Q71" s="62"/>
      <c r="R71" s="62"/>
      <c r="S71" s="68"/>
      <c r="T71" s="73"/>
      <c r="U71" s="76"/>
    </row>
    <row r="72" spans="1:21" x14ac:dyDescent="0.25">
      <c r="A72" s="64"/>
      <c r="B72" s="52"/>
      <c r="C72" s="52"/>
      <c r="D72" s="52"/>
      <c r="E72" s="62"/>
      <c r="F72" s="68"/>
      <c r="G72" s="63"/>
      <c r="H72" s="60"/>
      <c r="I72" s="62"/>
      <c r="J72" s="62"/>
      <c r="K72" s="62"/>
      <c r="L72" s="62"/>
      <c r="M72" s="63"/>
      <c r="N72" s="60"/>
      <c r="O72" s="62"/>
      <c r="P72" s="62"/>
      <c r="Q72" s="62"/>
      <c r="R72" s="62"/>
      <c r="S72" s="68"/>
      <c r="T72" s="73"/>
      <c r="U72" s="76"/>
    </row>
    <row r="73" spans="1:21" x14ac:dyDescent="0.25">
      <c r="A73" s="64"/>
      <c r="B73" s="52"/>
      <c r="C73" s="52"/>
      <c r="D73" s="52"/>
      <c r="E73" s="62"/>
      <c r="F73" s="68"/>
      <c r="G73" s="63"/>
      <c r="H73" s="60"/>
      <c r="I73" s="62"/>
      <c r="J73" s="62"/>
      <c r="K73" s="62"/>
      <c r="L73" s="62"/>
      <c r="M73" s="63"/>
      <c r="N73" s="60"/>
      <c r="O73" s="62"/>
      <c r="P73" s="62"/>
      <c r="Q73" s="62"/>
      <c r="R73" s="62"/>
      <c r="S73" s="68"/>
      <c r="T73" s="73"/>
      <c r="U73" s="76"/>
    </row>
    <row r="74" spans="1:21" x14ac:dyDescent="0.25">
      <c r="A74" s="64"/>
      <c r="B74" s="52"/>
      <c r="C74" s="52"/>
      <c r="D74" s="52"/>
      <c r="E74" s="62"/>
      <c r="F74" s="68"/>
      <c r="G74" s="63"/>
      <c r="H74" s="60"/>
      <c r="I74" s="62"/>
      <c r="J74" s="62"/>
      <c r="K74" s="62"/>
      <c r="L74" s="62"/>
      <c r="M74" s="63"/>
      <c r="N74" s="60"/>
      <c r="O74" s="62"/>
      <c r="P74" s="62"/>
      <c r="Q74" s="62"/>
      <c r="R74" s="62"/>
      <c r="S74" s="68"/>
      <c r="T74" s="73"/>
      <c r="U74" s="76"/>
    </row>
    <row r="75" spans="1:21" ht="15.75" thickBot="1" x14ac:dyDescent="0.3">
      <c r="A75" s="65"/>
      <c r="B75" s="66"/>
      <c r="C75" s="66"/>
      <c r="D75" s="66"/>
      <c r="E75" s="62"/>
      <c r="F75" s="68"/>
      <c r="G75" s="63"/>
      <c r="H75" s="60"/>
      <c r="I75" s="62"/>
      <c r="J75" s="62"/>
      <c r="K75" s="62"/>
      <c r="L75" s="62"/>
      <c r="M75" s="63"/>
      <c r="N75" s="60"/>
      <c r="O75" s="62"/>
      <c r="P75" s="62"/>
      <c r="Q75" s="62"/>
      <c r="R75" s="62"/>
      <c r="S75" s="68"/>
      <c r="T75" s="74"/>
      <c r="U75" s="77"/>
    </row>
  </sheetData>
  <autoFilter ref="A2:T20" xr:uid="{754F06D9-22FC-4A67-B491-7C126D95A070}"/>
  <mergeCells count="5">
    <mergeCell ref="H1:M1"/>
    <mergeCell ref="N1:S1"/>
    <mergeCell ref="A1:G1"/>
    <mergeCell ref="T1:T2"/>
    <mergeCell ref="U1:U2"/>
  </mergeCells>
  <conditionalFormatting sqref="T3:T75">
    <cfRule type="beginsWith" dxfId="1" priority="1" operator="beginsWith" text="NOK">
      <formula>LEFT(T3,LEN("NOK"))="NOK"</formula>
    </cfRule>
    <cfRule type="beginsWith" dxfId="0" priority="2" operator="beginsWith" text="OK">
      <formula>LEFT(T3,LEN("OK"))="OK"</formula>
    </cfRule>
  </conditionalFormatting>
  <dataValidations count="9">
    <dataValidation type="list" allowBlank="1" showInputMessage="1" showErrorMessage="1" sqref="G3:G75" xr:uid="{4832D533-7A08-40E1-9AA1-2EB7D4098823}">
      <formula1>"Solo tazze, Solo bordi, Bordi e tazze,"</formula1>
    </dataValidation>
    <dataValidation type="list" allowBlank="1" showInputMessage="1" showErrorMessage="1" sqref="K3:K75 Q3:Q75" xr:uid="{1680938F-FEBA-4BD0-AD9E-C379B9D51075}">
      <formula1>"1,2,3,4,5,6,7,-,"</formula1>
    </dataValidation>
    <dataValidation type="list" allowBlank="1" showInputMessage="1" showErrorMessage="1" sqref="L3:L75 R3:R75" xr:uid="{52775BBC-9B41-4CCF-8CE4-E19D926CD49C}">
      <formula1>"Cassa in ferro, Cassa in legno,"</formula1>
    </dataValidation>
    <dataValidation type="list" allowBlank="1" showInputMessage="1" showErrorMessage="1" sqref="M3:M75 S3:S75" xr:uid="{F60DF200-FBE7-451E-8A72-514BC952C463}">
      <formula1>"1,2,-,"</formula1>
    </dataValidation>
    <dataValidation type="list" allowBlank="1" showInputMessage="1" showErrorMessage="1" sqref="F3:F75" xr:uid="{5865F76D-6592-4088-891A-E3BB5A14F46D}">
      <formula1>"Aperto, Chiuso,"</formula1>
    </dataValidation>
    <dataValidation type="list" allowBlank="1" showInputMessage="1" showErrorMessage="1" sqref="E3:E18" xr:uid="{D3B60138-7714-448B-8CA2-3F4C37A74F08}">
      <formula1>"40,50,60,80,100,120,140,160,200,240,280,300,"</formula1>
    </dataValidation>
    <dataValidation type="list" allowBlank="1" showInputMessage="1" showErrorMessage="1" sqref="T3:T75" xr:uid="{ACF13385-C338-4011-A851-2E1C2C226567}">
      <formula1>"OK,NOK,"</formula1>
    </dataValidation>
    <dataValidation type="list" allowBlank="1" showInputMessage="1" showErrorMessage="1" sqref="E19 E21:E75" xr:uid="{F585DE42-5F16-4935-91FB-DA6277F96BA9}">
      <formula1>"40,50,60,80,100,120,140,160,200,240,280,300,400,"</formula1>
    </dataValidation>
    <dataValidation type="list" allowBlank="1" showInputMessage="1" showErrorMessage="1" sqref="E20" xr:uid="{D9599817-B3A8-41B0-8B39-BC65074E54F4}">
      <formula1>"40,50,60,80,100,120,140,160,180,200,240,280,300,400,"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1B73F-CED5-48D1-ADA9-1E1DEE931281}">
  <dimension ref="A1:F8"/>
  <sheetViews>
    <sheetView workbookViewId="0">
      <selection activeCell="G8" sqref="G8"/>
    </sheetView>
  </sheetViews>
  <sheetFormatPr defaultRowHeight="15" x14ac:dyDescent="0.25"/>
  <cols>
    <col min="1" max="1" width="16.28515625" bestFit="1" customWidth="1"/>
    <col min="2" max="2" width="17.7109375" bestFit="1" customWidth="1"/>
    <col min="3" max="3" width="18.140625" bestFit="1" customWidth="1"/>
    <col min="4" max="4" width="20.28515625" bestFit="1" customWidth="1"/>
    <col min="5" max="5" width="14" bestFit="1" customWidth="1"/>
    <col min="6" max="6" width="38.5703125" bestFit="1" customWidth="1"/>
  </cols>
  <sheetData>
    <row r="1" spans="1:6" x14ac:dyDescent="0.25">
      <c r="A1" s="4" t="s">
        <v>99</v>
      </c>
      <c r="B1" s="50" t="s">
        <v>70</v>
      </c>
      <c r="C1" s="50" t="s">
        <v>131</v>
      </c>
      <c r="D1" s="50" t="s">
        <v>132</v>
      </c>
      <c r="E1" s="50" t="s">
        <v>114</v>
      </c>
      <c r="F1" s="50" t="s">
        <v>113</v>
      </c>
    </row>
    <row r="2" spans="1:6" x14ac:dyDescent="0.25">
      <c r="A2" s="83" t="s">
        <v>128</v>
      </c>
      <c r="B2" s="84">
        <v>5898</v>
      </c>
      <c r="C2" s="84">
        <v>2240</v>
      </c>
      <c r="D2" s="84">
        <v>2340</v>
      </c>
      <c r="E2" s="84" t="s">
        <v>115</v>
      </c>
      <c r="F2" s="50"/>
    </row>
    <row r="3" spans="1:6" x14ac:dyDescent="0.25">
      <c r="A3" s="1" t="s">
        <v>129</v>
      </c>
      <c r="B3" s="52">
        <v>11800</v>
      </c>
      <c r="C3" s="52">
        <v>2240</v>
      </c>
      <c r="D3" s="84">
        <v>2340</v>
      </c>
      <c r="E3" s="52" t="s">
        <v>115</v>
      </c>
      <c r="F3" s="52"/>
    </row>
    <row r="4" spans="1:6" x14ac:dyDescent="0.25">
      <c r="A4" s="1" t="s">
        <v>130</v>
      </c>
      <c r="B4" s="52">
        <v>11800</v>
      </c>
      <c r="C4" s="52">
        <v>2580</v>
      </c>
      <c r="D4" s="84">
        <v>2340</v>
      </c>
      <c r="E4" s="52" t="s">
        <v>115</v>
      </c>
      <c r="F4" s="52"/>
    </row>
    <row r="5" spans="1:6" x14ac:dyDescent="0.25">
      <c r="A5" s="1" t="s">
        <v>118</v>
      </c>
      <c r="B5" s="52">
        <v>11800</v>
      </c>
      <c r="C5" s="52">
        <v>2700</v>
      </c>
      <c r="D5" s="52">
        <v>2150</v>
      </c>
      <c r="E5" s="52" t="s">
        <v>115</v>
      </c>
      <c r="F5" s="52"/>
    </row>
    <row r="6" spans="1:6" x14ac:dyDescent="0.25">
      <c r="A6" s="1" t="s">
        <v>119</v>
      </c>
      <c r="B6" s="52" t="s">
        <v>140</v>
      </c>
      <c r="C6" s="91">
        <v>3000</v>
      </c>
      <c r="D6" s="52" t="s">
        <v>141</v>
      </c>
      <c r="E6" s="52" t="s">
        <v>117</v>
      </c>
      <c r="F6" s="52" t="s">
        <v>142</v>
      </c>
    </row>
    <row r="7" spans="1:6" x14ac:dyDescent="0.25">
      <c r="A7" s="1" t="s">
        <v>116</v>
      </c>
      <c r="B7" s="52">
        <v>13600</v>
      </c>
      <c r="C7" s="52">
        <v>2700</v>
      </c>
      <c r="D7" s="52">
        <v>2450</v>
      </c>
      <c r="E7" s="52" t="s">
        <v>117</v>
      </c>
      <c r="F7" s="52"/>
    </row>
    <row r="8" spans="1:6" x14ac:dyDescent="0.25">
      <c r="A8" s="1" t="s">
        <v>139</v>
      </c>
      <c r="B8" s="52">
        <v>13600</v>
      </c>
      <c r="C8" s="52">
        <v>3000</v>
      </c>
      <c r="D8" s="52">
        <v>2450</v>
      </c>
      <c r="E8" s="52" t="s">
        <v>117</v>
      </c>
      <c r="F8" s="5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51992-89CF-4CBB-8C6E-CFE0CD0D8D71}">
  <dimension ref="A1:D6"/>
  <sheetViews>
    <sheetView workbookViewId="0">
      <selection activeCell="I25" sqref="I25"/>
    </sheetView>
  </sheetViews>
  <sheetFormatPr defaultRowHeight="15" x14ac:dyDescent="0.25"/>
  <cols>
    <col min="1" max="1" width="20.28515625" bestFit="1" customWidth="1"/>
  </cols>
  <sheetData>
    <row r="1" spans="1:4" x14ac:dyDescent="0.25">
      <c r="A1" s="4" t="s">
        <v>51</v>
      </c>
      <c r="B1" s="4" t="s">
        <v>123</v>
      </c>
      <c r="C1" s="4" t="s">
        <v>124</v>
      </c>
      <c r="D1" s="4" t="s">
        <v>125</v>
      </c>
    </row>
    <row r="2" spans="1:4" x14ac:dyDescent="0.25">
      <c r="A2" s="1" t="s">
        <v>120</v>
      </c>
      <c r="B2" s="1"/>
      <c r="C2" s="1"/>
      <c r="D2" s="1"/>
    </row>
    <row r="3" spans="1:4" x14ac:dyDescent="0.25">
      <c r="A3" s="1" t="s">
        <v>49</v>
      </c>
      <c r="B3" s="1" t="s">
        <v>126</v>
      </c>
      <c r="C3" s="1"/>
      <c r="D3" s="1"/>
    </row>
    <row r="4" spans="1:4" x14ac:dyDescent="0.25">
      <c r="A4" s="1" t="s">
        <v>121</v>
      </c>
      <c r="B4" s="1"/>
      <c r="C4" s="1"/>
      <c r="D4" s="1"/>
    </row>
    <row r="5" spans="1:4" x14ac:dyDescent="0.25">
      <c r="A5" s="1" t="s">
        <v>122</v>
      </c>
      <c r="B5" s="1" t="s">
        <v>127</v>
      </c>
      <c r="C5" s="1"/>
      <c r="D5" s="1"/>
    </row>
    <row r="6" spans="1:4" x14ac:dyDescent="0.25">
      <c r="A6" s="1" t="s">
        <v>1</v>
      </c>
      <c r="B6" s="1" t="s">
        <v>126</v>
      </c>
      <c r="C6" s="1"/>
      <c r="D6" s="1"/>
    </row>
  </sheetData>
  <phoneticPr fontId="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TestPrezziPesi</vt:lpstr>
      <vt:lpstr>TestCasseFerro</vt:lpstr>
      <vt:lpstr>SimulazioneConf1</vt:lpstr>
      <vt:lpstr>SimulazioneConf7</vt:lpstr>
      <vt:lpstr>SimulazioneConf6</vt:lpstr>
      <vt:lpstr>Database</vt:lpstr>
      <vt:lpstr>Trasporti</vt:lpstr>
      <vt:lpstr>Rinforzi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Allegretti</dc:creator>
  <cp:lastModifiedBy>Alessandro Allegretti</cp:lastModifiedBy>
  <dcterms:created xsi:type="dcterms:W3CDTF">2020-09-08T18:43:29Z</dcterms:created>
  <dcterms:modified xsi:type="dcterms:W3CDTF">2022-04-18T10:31:48Z</dcterms:modified>
</cp:coreProperties>
</file>