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p0\Veda\Veda_models\TEST-VedaOnline\"/>
    </mc:Choice>
  </mc:AlternateContent>
  <xr:revisionPtr revIDLastSave="0" documentId="13_ncr:1_{483BBB0E-BC70-4B7E-A2AE-B3A1F11F22D0}" xr6:coauthVersionLast="47" xr6:coauthVersionMax="47" xr10:uidLastSave="{00000000-0000-0000-0000-000000000000}"/>
  <bookViews>
    <workbookView xWindow="-28920" yWindow="-120" windowWidth="29040" windowHeight="15720" tabRatio="901" activeTab="3" xr2:uid="{00000000-000D-0000-FFFF-FFFF00000000}"/>
  </bookViews>
  <sheets>
    <sheet name="EB1" sheetId="133" r:id="rId1"/>
    <sheet name="RES_ELC" sheetId="152" r:id="rId2"/>
    <sheet name="Sector_Fuels_ELC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43" l="1"/>
  <c r="E11" i="143"/>
  <c r="R17" i="143"/>
  <c r="U6" i="133"/>
  <c r="G5" i="133"/>
  <c r="M5" i="133"/>
  <c r="H7" i="133"/>
  <c r="N8" i="133"/>
  <c r="Y19" i="143"/>
  <c r="Y18" i="143"/>
  <c r="Y17" i="143"/>
  <c r="C2" i="140"/>
  <c r="M10" i="140" s="1"/>
  <c r="M23" i="140" s="1"/>
  <c r="M9" i="140"/>
  <c r="M22" i="140" s="1"/>
  <c r="B2" i="140"/>
  <c r="L12" i="140" s="1"/>
  <c r="L10" i="140"/>
  <c r="L23" i="140" s="1"/>
  <c r="B26" i="140" s="1"/>
  <c r="C23" i="140"/>
  <c r="C22" i="140"/>
  <c r="C21" i="140"/>
  <c r="C20" i="140"/>
  <c r="H11" i="143"/>
  <c r="G11" i="143"/>
  <c r="Y15" i="143"/>
  <c r="X6" i="143"/>
  <c r="G2" i="143"/>
  <c r="L11" i="143" s="1"/>
  <c r="E2" i="143"/>
  <c r="O11" i="143" s="1"/>
  <c r="X13" i="143"/>
  <c r="X16" i="143"/>
  <c r="C2" i="143"/>
  <c r="W6" i="143" s="1"/>
  <c r="B2" i="143"/>
  <c r="W5" i="143"/>
  <c r="V5" i="143"/>
  <c r="D14" i="143" s="1"/>
  <c r="D13" i="143"/>
  <c r="Y16" i="143"/>
  <c r="Y14" i="143"/>
  <c r="Y13" i="143"/>
  <c r="Y12" i="143"/>
  <c r="F2" i="140"/>
  <c r="F17" i="140"/>
  <c r="E2" i="140"/>
  <c r="O19" i="140" s="1"/>
  <c r="P8" i="133"/>
  <c r="J6" i="133"/>
  <c r="U7" i="133"/>
  <c r="M6" i="133"/>
  <c r="L5" i="133"/>
  <c r="L8" i="133"/>
  <c r="P7" i="133"/>
  <c r="U8" i="133"/>
  <c r="O8" i="133"/>
  <c r="D8" i="133"/>
  <c r="F5" i="133"/>
  <c r="K8" i="133"/>
  <c r="I6" i="133"/>
  <c r="E7" i="133"/>
  <c r="H6" i="133"/>
  <c r="I8" i="133"/>
  <c r="R5" i="133"/>
  <c r="J5" i="133"/>
  <c r="I7" i="133"/>
  <c r="K7" i="133"/>
  <c r="F6" i="133"/>
  <c r="J7" i="133"/>
  <c r="P5" i="133"/>
  <c r="H5" i="133"/>
  <c r="R8" i="133"/>
  <c r="R6" i="133"/>
  <c r="G19" i="143" s="1"/>
  <c r="R19" i="143" s="1"/>
  <c r="O7" i="133"/>
  <c r="K5" i="133"/>
  <c r="F8" i="133"/>
  <c r="T6" i="133"/>
  <c r="E6" i="133"/>
  <c r="G13" i="143"/>
  <c r="R13" i="143" s="1"/>
  <c r="S5" i="133"/>
  <c r="D7" i="133"/>
  <c r="F7" i="133"/>
  <c r="D6" i="133"/>
  <c r="G12" i="143" s="1"/>
  <c r="R12" i="143" s="1"/>
  <c r="N7" i="133"/>
  <c r="S7" i="133"/>
  <c r="S6" i="133"/>
  <c r="K6" i="133"/>
  <c r="R7" i="133"/>
  <c r="H8" i="133"/>
  <c r="G6" i="133"/>
  <c r="P6" i="133"/>
  <c r="T5" i="133"/>
  <c r="G7" i="133"/>
  <c r="Q6" i="133"/>
  <c r="G18" i="143" s="1"/>
  <c r="R18" i="143" s="1"/>
  <c r="I5" i="133"/>
  <c r="U5" i="133"/>
  <c r="T7" i="133"/>
  <c r="M7" i="133"/>
  <c r="T8" i="133"/>
  <c r="L6" i="133"/>
  <c r="S8" i="133"/>
  <c r="O5" i="133"/>
  <c r="G8" i="133"/>
  <c r="D5" i="133"/>
  <c r="L7" i="133"/>
  <c r="L9" i="133" s="1"/>
  <c r="O6" i="133"/>
  <c r="G16" i="143"/>
  <c r="R16" i="143" s="1"/>
  <c r="Q5" i="133"/>
  <c r="J8" i="133"/>
  <c r="M8" i="133"/>
  <c r="N5" i="133"/>
  <c r="L5" i="140"/>
  <c r="D18" i="140" s="1"/>
  <c r="C18" i="140" s="1"/>
  <c r="X5" i="143"/>
  <c r="Q8" i="133"/>
  <c r="E5" i="133"/>
  <c r="V8" i="133"/>
  <c r="E8" i="133"/>
  <c r="V5" i="133"/>
  <c r="Q7" i="133"/>
  <c r="Q9" i="133" s="1"/>
  <c r="V7" i="133"/>
  <c r="V6" i="133"/>
  <c r="N6" i="133"/>
  <c r="G15" i="143"/>
  <c r="H15" i="143" s="1"/>
  <c r="N25" i="140"/>
  <c r="O18" i="140"/>
  <c r="X15" i="143"/>
  <c r="L8" i="140"/>
  <c r="D24" i="140" s="1"/>
  <c r="C24" i="140" s="1"/>
  <c r="X12" i="143"/>
  <c r="L11" i="140"/>
  <c r="D27" i="140" s="1"/>
  <c r="C27" i="140" s="1"/>
  <c r="M6" i="140"/>
  <c r="M19" i="140" s="1"/>
  <c r="D12" i="143"/>
  <c r="L9" i="140"/>
  <c r="D25" i="140" s="1"/>
  <c r="C25" i="140" s="1"/>
  <c r="L6" i="140"/>
  <c r="L19" i="140" s="1"/>
  <c r="B19" i="140" s="1"/>
  <c r="V13" i="143"/>
  <c r="B13" i="143" s="1"/>
  <c r="D26" i="140"/>
  <c r="C26" i="140" s="1"/>
  <c r="M5" i="140"/>
  <c r="M18" i="140" s="1"/>
  <c r="X19" i="143"/>
  <c r="M8" i="140"/>
  <c r="M21" i="140"/>
  <c r="L21" i="140"/>
  <c r="B24" i="140" s="1"/>
  <c r="X18" i="143"/>
  <c r="D15" i="143"/>
  <c r="X17" i="143"/>
  <c r="X14" i="143"/>
  <c r="M11" i="143"/>
  <c r="C13" i="143"/>
  <c r="R15" i="143"/>
  <c r="C12" i="143"/>
  <c r="N11" i="140"/>
  <c r="O22" i="140"/>
  <c r="N23" i="140"/>
  <c r="N24" i="140"/>
  <c r="H9" i="133" l="1"/>
  <c r="R9" i="133"/>
  <c r="M9" i="133"/>
  <c r="E21" i="140"/>
  <c r="E23" i="140"/>
  <c r="N9" i="133"/>
  <c r="I9" i="133"/>
  <c r="S9" i="133"/>
  <c r="J9" i="133"/>
  <c r="D28" i="140"/>
  <c r="C28" i="140" s="1"/>
  <c r="L25" i="140"/>
  <c r="B28" i="140" s="1"/>
  <c r="C19" i="143"/>
  <c r="T9" i="133"/>
  <c r="L18" i="140"/>
  <c r="B18" i="140" s="1"/>
  <c r="V9" i="133"/>
  <c r="D9" i="133"/>
  <c r="F9" i="133"/>
  <c r="C18" i="143"/>
  <c r="O9" i="133"/>
  <c r="K9" i="133"/>
  <c r="V18" i="143"/>
  <c r="V16" i="143"/>
  <c r="W16" i="143" s="1"/>
  <c r="L22" i="140"/>
  <c r="B25" i="140" s="1"/>
  <c r="L7" i="140"/>
  <c r="E9" i="133"/>
  <c r="C16" i="143"/>
  <c r="G9" i="133"/>
  <c r="C6" i="149"/>
  <c r="U9" i="133"/>
  <c r="P9" i="133"/>
  <c r="B18" i="143"/>
  <c r="W18" i="143"/>
  <c r="B16" i="143"/>
  <c r="N6" i="140"/>
  <c r="O21" i="140"/>
  <c r="V12" i="143"/>
  <c r="K11" i="143"/>
  <c r="V17" i="143"/>
  <c r="G14" i="143"/>
  <c r="R14" i="143" s="1"/>
  <c r="L24" i="140"/>
  <c r="B27" i="140" s="1"/>
  <c r="M11" i="140"/>
  <c r="M24" i="140" s="1"/>
  <c r="M12" i="140"/>
  <c r="M25" i="140" s="1"/>
  <c r="D19" i="143"/>
  <c r="N12" i="140"/>
  <c r="N20" i="140"/>
  <c r="N7" i="140"/>
  <c r="N8" i="140"/>
  <c r="V19" i="143"/>
  <c r="D6" i="149"/>
  <c r="D17" i="143"/>
  <c r="D19" i="140"/>
  <c r="C19" i="140" s="1"/>
  <c r="N19" i="140"/>
  <c r="O20" i="140"/>
  <c r="O24" i="140"/>
  <c r="O23" i="140"/>
  <c r="N5" i="140"/>
  <c r="C17" i="143"/>
  <c r="C15" i="143"/>
  <c r="O25" i="140"/>
  <c r="E20" i="140"/>
  <c r="V6" i="143"/>
  <c r="B8" i="149" s="1"/>
  <c r="E22" i="140"/>
  <c r="N9" i="140"/>
  <c r="W13" i="143"/>
  <c r="D18" i="143"/>
  <c r="N10" i="140"/>
  <c r="N18" i="140"/>
  <c r="N22" i="140"/>
  <c r="V15" i="143"/>
  <c r="D16" i="143"/>
  <c r="M7" i="140"/>
  <c r="M20" i="140" s="1"/>
  <c r="N21" i="140"/>
  <c r="C14" i="143" l="1"/>
  <c r="L20" i="140"/>
  <c r="B20" i="140" s="1"/>
  <c r="E6" i="149"/>
  <c r="V14" i="143"/>
  <c r="D20" i="140"/>
  <c r="B15" i="143"/>
  <c r="W15" i="143"/>
  <c r="W12" i="143"/>
  <c r="B12" i="143"/>
  <c r="B17" i="143"/>
  <c r="W17" i="143"/>
  <c r="W19" i="143"/>
  <c r="B19" i="143"/>
  <c r="B14" i="143" l="1"/>
  <c r="W14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<sst xmlns="http://schemas.openxmlformats.org/spreadsheetml/2006/main" count="250" uniqueCount="170">
  <si>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</si>
  <si>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</si>
  <si>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</si>
  <si>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</si>
  <si>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</si>
  <si>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</si>
  <si>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</si>
  <si>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</si>
  <si>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</si>
  <si>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</si>
  <si>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</si>
  <si>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</si>
  <si>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</si>
  <si>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</si>
  <si>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</si>
  <si>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</si>
  <si>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</si>
  <si>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</si>
  <si>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</si>
  <si>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</si>
  <si>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</si>
  <si>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</si>
  <si>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</si>
  <si>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</si>
  <si>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</si>
  <si>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</si>
  <si>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</si>
  <si>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</si>
  <si>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</si>
  <si>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</si>
  <si>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</si>
  <si>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</si>
  <si>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</si>
  <si>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</si>
  <si>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</si>
  <si>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</si>
  <si>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</si>
  <si>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</si>
  <si>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</si>
  <si>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</si>
  <si>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</si>
  <si>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</si>
  <si>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</si>
  <si>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</si>
  <si>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</si>
  <si>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</si>
  <si>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</si>
  <si>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</si>
  <si>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</si>
  <si>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</si>
  <si>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</si>
  <si>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</si>
  <si>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</si>
  <si>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</si>
  <si>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</si>
  <si>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</si>
  <si>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</si>
  <si>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</si>
  <si>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</si>
  <si>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</si>
  <si>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</si>
  <si>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</si>
  <si>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</si>
  <si>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</si>
  <si>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</si>
  <si>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</si>
  <si>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</si>
  <si>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</si>
  <si>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</si>
  <si>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</si>
  <si>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</si>
  <si>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</si>
  <si>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</si>
  <si>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</si>
  <si>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</si>
  <si>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</si>
  <si>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</si>
  <si>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</si>
  <si>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</si>
  <si>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</si>
  <si>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</si>
  <si>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</si>
  <si>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</si>
  <si>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</si>
  <si>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</si>
  <si>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</si>
  <si>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</si>
  <si>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</si>
  <si>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</si>
  <si>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</si>
  <si>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</si>
  <si>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</si>
  <si>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</si>
  <si>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</si>
  <si>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</si>
  <si>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</si>
  <si>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</si>
  <si>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</si>
  <si>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</si>
  <si>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</si>
  <si>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</si>
  <si>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</si>
  <si>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</si>
  <si>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</si>
  <si>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</si>
  <si>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</si>
  <si>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</si>
  <si>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</si>
  <si>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</si>
  <si>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</si>
  <si>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</si>
  <si>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</si>
  <si>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</si>
  <si>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</si>
  <si>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</si>
  <si>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</si>
  <si>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</si>
  <si>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</si>
  <si>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</si>
  <si>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</si>
  <si>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</si>
  <si>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</si>
  <si>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</si>
  <si>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</si>
  <si>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</si>
  <si>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</si>
  <si>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</si>
  <si>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</si>
  <si>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</si>
  <si>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</si>
  <si>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</si>
  <si>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</si>
  <si>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</si>
  <si>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</si>
  <si>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</si>
  <si>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</si>
  <si>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</si>
  <si>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</si>
  <si>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</si>
  <si>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</si>
  <si>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</si>
  <si>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</si>
  <si>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</si>
  <si>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</si>
  <si>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</si>
  <si>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</si>
  <si>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</si>
  <si>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Conversion (Power Sector)</t>
  </si>
  <si>
    <t>STOCK~2030</t>
  </si>
  <si>
    <t>ELC template</t>
  </si>
  <si>
    <t>Dynamic coefficients for combustion emissions in power sector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</si>
  <si>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</si>
  <si>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</si>
  <si>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</si>
  <si>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</si>
  <si>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</si>
  <si>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</si>
  <si>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</si>
  <si>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</si>
  <si>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Biomass</t>
  </si>
  <si>
    <t>Lifetime</t>
  </si>
  <si>
    <t>CAP2ACT</t>
  </si>
  <si>
    <t>INVCOST</t>
  </si>
  <si>
    <t>Invesctment Cost</t>
  </si>
  <si>
    <t>PASTI~1960</t>
  </si>
  <si>
    <t>PASTI~1980</t>
  </si>
  <si>
    <t>Past Investment Capacity</t>
  </si>
  <si>
    <t>AFA</t>
  </si>
  <si>
    <t>User input</t>
  </si>
  <si>
    <t>ciao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</si>
</sst>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0.0000"/>
    <numFmt numFmtId="168" formatCode="\Te\x\t"/>
  </numFmts>
  <fonts count="3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6" applyNumberFormat="0" applyAlignment="0" applyProtection="0"/>
    <xf numFmtId="43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16" applyNumberFormat="0" applyAlignment="0" applyProtection="0"/>
    <xf numFmtId="0" fontId="19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04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11" applyAlignment="1">
      <alignment horizontal="right"/>
    </xf>
    <xf numFmtId="0" fontId="5" fillId="0" borderId="0" xfId="11" applyFont="1" applyAlignment="1">
      <alignment horizontal="left"/>
    </xf>
    <xf numFmtId="0" fontId="4" fillId="0" borderId="0" xfId="11" applyAlignment="1">
      <alignment horizontal="left"/>
    </xf>
    <xf numFmtId="0" fontId="0" fillId="0" borderId="1" xfId="0" applyBorder="1"/>
    <xf numFmtId="1" fontId="0" fillId="0" borderId="0" xfId="0" applyNumberFormat="1"/>
    <xf numFmtId="0" fontId="15" fillId="6" borderId="0" xfId="3"/>
    <xf numFmtId="0" fontId="20" fillId="0" borderId="0" xfId="6" applyFont="1" applyFill="1"/>
    <xf numFmtId="0" fontId="20" fillId="11" borderId="0" xfId="6" applyFont="1" applyFill="1"/>
    <xf numFmtId="0" fontId="4" fillId="0" borderId="0" xfId="8" applyFont="1" applyFill="1"/>
    <xf numFmtId="1" fontId="4" fillId="0" borderId="0" xfId="0" applyNumberFormat="1" applyFont="1"/>
    <xf numFmtId="0" fontId="21" fillId="4" borderId="2" xfId="1" applyFont="1" applyBorder="1" applyAlignment="1">
      <alignment horizontal="center" wrapText="1"/>
    </xf>
    <xf numFmtId="0" fontId="21" fillId="4" borderId="2" xfId="1" applyFont="1" applyBorder="1" applyAlignment="1">
      <alignment horizontal="left" wrapText="1"/>
    </xf>
    <xf numFmtId="0" fontId="21" fillId="4" borderId="3" xfId="1" applyFont="1" applyBorder="1" applyAlignment="1">
      <alignment horizontal="left" wrapText="1"/>
    </xf>
    <xf numFmtId="0" fontId="3" fillId="2" borderId="3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 wrapText="1"/>
    </xf>
    <xf numFmtId="0" fontId="20" fillId="11" borderId="0" xfId="6" applyFont="1" applyFill="1" applyAlignment="1">
      <alignment wrapText="1"/>
    </xf>
    <xf numFmtId="0" fontId="22" fillId="0" borderId="0" xfId="0" applyFont="1"/>
    <xf numFmtId="0" fontId="15" fillId="6" borderId="0" xfId="3" applyAlignment="1">
      <alignment wrapText="1"/>
    </xf>
    <xf numFmtId="0" fontId="4" fillId="0" borderId="0" xfId="9"/>
    <xf numFmtId="0" fontId="4" fillId="0" borderId="0" xfId="9" applyAlignment="1">
      <alignment wrapText="1"/>
    </xf>
    <xf numFmtId="0" fontId="3" fillId="0" borderId="0" xfId="11" applyFont="1" applyAlignment="1">
      <alignment horizontal="right" vertical="center" wrapText="1"/>
    </xf>
    <xf numFmtId="0" fontId="23" fillId="0" borderId="0" xfId="6" applyFont="1" applyFill="1"/>
    <xf numFmtId="0" fontId="24" fillId="0" borderId="0" xfId="3" applyFont="1" applyFill="1" applyAlignment="1">
      <alignment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21" fillId="5" borderId="4" xfId="2" applyFont="1" applyBorder="1" applyAlignment="1">
      <alignment wrapText="1"/>
    </xf>
    <xf numFmtId="0" fontId="15" fillId="0" borderId="0" xfId="3" applyFill="1"/>
    <xf numFmtId="0" fontId="5" fillId="0" borderId="0" xfId="0" applyFont="1" applyAlignment="1">
      <alignment horizontal="left"/>
    </xf>
    <xf numFmtId="0" fontId="10" fillId="0" borderId="0" xfId="0" applyFont="1"/>
    <xf numFmtId="0" fontId="10" fillId="3" borderId="0" xfId="0" quotePrefix="1" applyFont="1" applyFill="1"/>
    <xf numFmtId="0" fontId="10" fillId="0" borderId="0" xfId="0" quotePrefix="1" applyFont="1"/>
    <xf numFmtId="0" fontId="3" fillId="0" borderId="0" xfId="11" applyFont="1" applyAlignment="1">
      <alignment horizontal="left" vertical="center"/>
    </xf>
    <xf numFmtId="0" fontId="3" fillId="2" borderId="2" xfId="11" applyFont="1" applyFill="1" applyBorder="1" applyAlignment="1">
      <alignment horizontal="left" vertical="center"/>
    </xf>
    <xf numFmtId="0" fontId="27" fillId="0" borderId="0" xfId="0" applyFont="1"/>
    <xf numFmtId="0" fontId="20" fillId="11" borderId="0" xfId="6" applyFont="1" applyFill="1" applyAlignment="1">
      <alignment horizontal="left"/>
    </xf>
    <xf numFmtId="0" fontId="27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27" fillId="13" borderId="0" xfId="0" applyFont="1" applyFill="1"/>
    <xf numFmtId="1" fontId="0" fillId="14" borderId="0" xfId="0" applyNumberFormat="1" applyFill="1"/>
    <xf numFmtId="0" fontId="0" fillId="14" borderId="0" xfId="0" applyFill="1"/>
    <xf numFmtId="1" fontId="18" fillId="9" borderId="0" xfId="7" applyNumberFormat="1" applyBorder="1" applyAlignment="1"/>
    <xf numFmtId="1" fontId="18" fillId="9" borderId="5" xfId="7" applyNumberFormat="1" applyBorder="1" applyAlignment="1"/>
    <xf numFmtId="165" fontId="16" fillId="7" borderId="6" xfId="4" applyNumberFormat="1" applyBorder="1" applyAlignment="1">
      <alignment horizontal="right" vertical="center"/>
    </xf>
    <xf numFmtId="1" fontId="16" fillId="7" borderId="17" xfId="4" applyNumberFormat="1" applyBorder="1" applyAlignment="1">
      <alignment horizontal="right"/>
    </xf>
    <xf numFmtId="1" fontId="16" fillId="7" borderId="18" xfId="4" applyNumberFormat="1" applyBorder="1" applyAlignment="1">
      <alignment horizontal="right"/>
    </xf>
    <xf numFmtId="1" fontId="16" fillId="7" borderId="19" xfId="4" applyNumberFormat="1" applyBorder="1" applyAlignment="1">
      <alignment horizontal="right"/>
    </xf>
    <xf numFmtId="165" fontId="9" fillId="14" borderId="7" xfId="0" applyNumberFormat="1" applyFont="1" applyFill="1" applyBorder="1" applyAlignment="1">
      <alignment horizontal="left" vertical="center"/>
    </xf>
    <xf numFmtId="165" fontId="9" fillId="14" borderId="8" xfId="0" applyNumberFormat="1" applyFont="1" applyFill="1" applyBorder="1" applyAlignment="1">
      <alignment horizontal="left" vertical="center"/>
    </xf>
    <xf numFmtId="0" fontId="3" fillId="13" borderId="9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165" fontId="9" fillId="15" borderId="10" xfId="0" applyNumberFormat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wrapText="1"/>
    </xf>
    <xf numFmtId="0" fontId="27" fillId="13" borderId="11" xfId="0" applyFont="1" applyFill="1" applyBorder="1" applyAlignment="1">
      <alignment wrapText="1"/>
    </xf>
    <xf numFmtId="0" fontId="27" fillId="13" borderId="6" xfId="0" applyFont="1" applyFill="1" applyBorder="1" applyAlignment="1">
      <alignment wrapText="1"/>
    </xf>
    <xf numFmtId="0" fontId="28" fillId="6" borderId="1" xfId="3" applyFont="1" applyBorder="1" applyAlignment="1">
      <alignment horizontal="left" vertical="center"/>
    </xf>
    <xf numFmtId="0" fontId="0" fillId="16" borderId="0" xfId="0" applyFill="1"/>
    <xf numFmtId="166" fontId="0" fillId="16" borderId="0" xfId="0" applyNumberFormat="1" applyFill="1"/>
    <xf numFmtId="9" fontId="4" fillId="16" borderId="0" xfId="16" applyFont="1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/>
    <xf numFmtId="0" fontId="4" fillId="14" borderId="0" xfId="9" applyFill="1"/>
    <xf numFmtId="2" fontId="4" fillId="14" borderId="0" xfId="9" applyNumberFormat="1" applyFill="1"/>
    <xf numFmtId="2" fontId="4" fillId="0" borderId="0" xfId="8" applyNumberFormat="1" applyFont="1" applyFill="1"/>
    <xf numFmtId="0" fontId="29" fillId="0" borderId="0" xfId="0" applyFont="1"/>
    <xf numFmtId="0" fontId="3" fillId="17" borderId="0" xfId="0" applyFont="1" applyFill="1"/>
    <xf numFmtId="0" fontId="3" fillId="2" borderId="3" xfId="11" applyFont="1" applyFill="1" applyBorder="1" applyAlignment="1">
      <alignment horizontal="center" vertical="center" wrapText="1"/>
    </xf>
    <xf numFmtId="0" fontId="21" fillId="4" borderId="12" xfId="1" applyFont="1" applyBorder="1" applyAlignment="1">
      <alignment horizontal="center" wrapText="1"/>
    </xf>
    <xf numFmtId="0" fontId="3" fillId="2" borderId="3" xfId="12" applyFont="1" applyFill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left" vertical="center"/>
    </xf>
    <xf numFmtId="0" fontId="3" fillId="0" borderId="14" xfId="0" applyFont="1" applyBorder="1"/>
    <xf numFmtId="1" fontId="3" fillId="14" borderId="15" xfId="0" applyNumberFormat="1" applyFont="1" applyFill="1" applyBorder="1"/>
    <xf numFmtId="0" fontId="21" fillId="4" borderId="4" xfId="1" applyFont="1" applyBorder="1" applyAlignment="1">
      <alignment horizontal="left" wrapText="1"/>
    </xf>
    <xf numFmtId="0" fontId="0" fillId="17" borderId="0" xfId="0" applyFill="1"/>
    <xf numFmtId="0" fontId="21" fillId="0" borderId="0" xfId="1" applyFont="1" applyFill="1" applyBorder="1" applyAlignment="1">
      <alignment horizontal="left" wrapText="1"/>
    </xf>
    <xf numFmtId="2" fontId="0" fillId="0" borderId="0" xfId="0" applyNumberFormat="1"/>
    <xf numFmtId="165" fontId="9" fillId="15" borderId="13" xfId="0" applyNumberFormat="1" applyFont="1" applyFill="1" applyBorder="1" applyAlignment="1">
      <alignment horizontal="center" vertical="center"/>
    </xf>
    <xf numFmtId="165" fontId="9" fillId="15" borderId="14" xfId="0" applyNumberFormat="1" applyFont="1" applyFill="1" applyBorder="1" applyAlignment="1">
      <alignment horizontal="center" vertical="center"/>
    </xf>
    <xf numFmtId="1" fontId="18" fillId="0" borderId="0" xfId="7" applyNumberFormat="1" applyFill="1" applyBorder="1" applyAlignment="1"/>
    <xf numFmtId="164" fontId="0" fillId="0" borderId="0" xfId="0" applyNumberFormat="1"/>
    <xf numFmtId="1" fontId="4" fillId="0" borderId="0" xfId="9" applyNumberFormat="1"/>
    <xf numFmtId="1" fontId="0" fillId="16" borderId="0" xfId="0" applyNumberFormat="1" applyFill="1"/>
    <xf numFmtId="1" fontId="21" fillId="0" borderId="0" xfId="2" applyNumberFormat="1" applyFont="1" applyFill="1" applyBorder="1" applyAlignment="1">
      <alignment horizontal="right" wrapText="1"/>
    </xf>
    <xf numFmtId="0" fontId="26" fillId="5" borderId="4" xfId="2" applyFont="1" applyBorder="1" applyAlignment="1">
      <alignment horizontal="center" wrapText="1"/>
    </xf>
    <xf numFmtId="0" fontId="21" fillId="12" borderId="2" xfId="2" applyFont="1" applyFill="1" applyBorder="1" applyAlignment="1">
      <alignment horizontal="center" wrapText="1"/>
    </xf>
    <xf numFmtId="167" fontId="0" fillId="0" borderId="0" xfId="0" applyNumberFormat="1"/>
    <xf numFmtId="166" fontId="0" fillId="0" borderId="0" xfId="0" applyNumberFormat="1"/>
    <xf numFmtId="168" fontId="5" fillId="0" borderId="0" xfId="0" applyNumberFormat="1" applyFont="1"/>
    <xf numFmtId="168" fontId="4" fillId="0" borderId="0" xfId="0" applyNumberFormat="1" applyFont="1"/>
    <xf numFmtId="168" fontId="3" fillId="2" borderId="3" xfId="0" applyNumberFormat="1" applyFont="1" applyFill="1" applyBorder="1" applyAlignment="1">
      <alignment horizontal="left"/>
    </xf>
    <xf numFmtId="168" fontId="3" fillId="2" borderId="4" xfId="0" applyNumberFormat="1" applyFont="1" applyFill="1" applyBorder="1" applyAlignment="1">
      <alignment horizontal="left"/>
    </xf>
    <xf numFmtId="168" fontId="21" fillId="4" borderId="2" xfId="1" applyNumberFormat="1" applyFont="1" applyBorder="1" applyAlignment="1">
      <alignment horizontal="left" wrapText="1"/>
    </xf>
    <xf numFmtId="168" fontId="0" fillId="0" borderId="0" xfId="0" applyNumberFormat="1"/>
    <xf numFmtId="168" fontId="0" fillId="0" borderId="0" xfId="0" applyNumberFormat="1" applyAlignment="1">
      <alignment wrapText="1"/>
    </xf>
    <xf numFmtId="168" fontId="21" fillId="4" borderId="2" xfId="1" applyNumberFormat="1" applyFont="1" applyBorder="1" applyAlignment="1">
      <alignment horizontal="center" wrapText="1"/>
    </xf>
    <xf numFmtId="168" fontId="4" fillId="0" borderId="0" xfId="9" applyNumberFormat="1"/>
    <xf numFmtId="0" fontId="12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</cellXfs>
  <cellStyles count="30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19" xr:uid="{00000000-0005-0000-0000-000013000000}"/>
    <cellStyle name="Percent 3 3" xfId="20" xr:uid="{00000000-0005-0000-0000-000014000000}"/>
    <cellStyle name="Percent 3 4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4 4" xfId="25" xr:uid="{00000000-0005-0000-0000-000019000000}"/>
    <cellStyle name="Percent 5" xfId="26" xr:uid="{00000000-0005-0000-0000-00001A000000}"/>
    <cellStyle name="Percent 6" xfId="27" xr:uid="{00000000-0005-0000-0000-00001B000000}"/>
    <cellStyle name="Percent 7" xfId="28" xr:uid="{00000000-0005-0000-0000-00001C000000}"/>
    <cellStyle name="Standard_Sce_D_Extraction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75" name="Picture 6">
          <a:extLst>
            <a:ext uri="{FF2B5EF4-FFF2-40B4-BE49-F238E27FC236}">
              <a16:creationId xmlns:a16="http://schemas.microsoft.com/office/drawing/2014/main" id="{07B54768-2264-459D-AAAF-4E7CAD468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76" name="Picture 8">
          <a:extLst>
            <a:ext uri="{FF2B5EF4-FFF2-40B4-BE49-F238E27FC236}">
              <a16:creationId xmlns:a16="http://schemas.microsoft.com/office/drawing/2014/main" id="{092998F4-DAF5-4AB5-A34B-DFA9CC7FF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77" name="Picture 4">
          <a:extLst>
            <a:ext uri="{FF2B5EF4-FFF2-40B4-BE49-F238E27FC236}">
              <a16:creationId xmlns:a16="http://schemas.microsoft.com/office/drawing/2014/main" id="{AD288841-D70D-4C2E-9A6A-06C46B032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78" name="Picture 5">
          <a:extLst>
            <a:ext uri="{FF2B5EF4-FFF2-40B4-BE49-F238E27FC236}">
              <a16:creationId xmlns:a16="http://schemas.microsoft.com/office/drawing/2014/main" id="{F7EDBE9C-2FFC-4928-AE9B-DF9BBBDE5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27</xdr:row>
      <xdr:rowOff>9524</xdr:rowOff>
    </xdr:from>
    <xdr:to>
      <xdr:col>14</xdr:col>
      <xdr:colOff>407670</xdr:colOff>
      <xdr:row>33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B2F145-8850-4388-9ADE-B2C38CEC5F7B}"/>
            </a:ext>
          </a:extLst>
        </xdr:cNvPr>
        <xdr:cNvSpPr txBox="1"/>
      </xdr:nvSpPr>
      <xdr:spPr>
        <a:xfrm>
          <a:off x="6537960" y="4933949"/>
          <a:ext cx="63760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24974</xdr:colOff>
      <xdr:row>21</xdr:row>
      <xdr:rowOff>8678</xdr:rowOff>
    </xdr:from>
    <xdr:to>
      <xdr:col>25</xdr:col>
      <xdr:colOff>137563</xdr:colOff>
      <xdr:row>29</xdr:row>
      <xdr:rowOff>1090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D1CAE3-AB1F-44E7-83A8-8CFE9F3A6676}"/>
            </a:ext>
          </a:extLst>
        </xdr:cNvPr>
        <xdr:cNvSpPr txBox="1"/>
      </xdr:nvSpPr>
      <xdr:spPr>
        <a:xfrm>
          <a:off x="10692974" y="4231428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1A3727-B21E-4010-995E-8645C474E6C5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  <cell r="V10">
            <v>-1274.6994499999998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  <cell r="V11">
            <v>-8279.3107875000023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  <cell r="V12">
            <v>-26.820549999999912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-200.86150000000021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1:AA17"/>
  <sheetViews>
    <sheetView zoomScale="80" zoomScaleNormal="80" workbookViewId="0">
      <selection activeCell="U7" sqref="U7"/>
    </sheetView>
  </sheetViews>
  <sheetFormatPr defaultRowHeight="12.75" x14ac:dyDescent="0.2"/>
  <cols>
    <col min="1" max="1" width="3" bestFit="1" customWidth="1"/>
    <col min="2" max="2" width="20.5703125" bestFit="1" customWidth="1"/>
    <col min="3" max="3" width="41.140625" bestFit="1" customWidth="1"/>
    <col min="4" max="7" width="10.85546875" customWidth="1"/>
    <col min="8" max="8" width="12.140625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</cols>
  <sheetData>
    <row r="1" spans="2:27" x14ac:dyDescent="0.2">
      <c r="X1" s="19" t="s">
        <v>78</v>
      </c>
      <c r="Y1" s="1" t="s">
        <v>79</v>
      </c>
      <c r="Z1" s="1" t="s">
        <v>80</v>
      </c>
      <c r="AA1" s="1" t="s">
        <v>86</v>
      </c>
    </row>
    <row r="2" spans="2:27" ht="15.75" x14ac:dyDescent="0.25">
      <c r="D2" s="40" t="s">
        <v>42</v>
      </c>
      <c r="E2" s="40" t="s">
        <v>43</v>
      </c>
      <c r="F2" s="40" t="s">
        <v>44</v>
      </c>
      <c r="G2" s="40" t="s">
        <v>125</v>
      </c>
      <c r="H2" s="40" t="s">
        <v>126</v>
      </c>
      <c r="I2" s="40" t="s">
        <v>127</v>
      </c>
      <c r="J2" s="40" t="s">
        <v>128</v>
      </c>
      <c r="K2" s="40" t="s">
        <v>129</v>
      </c>
      <c r="L2" s="40" t="s">
        <v>130</v>
      </c>
      <c r="M2" s="40" t="s">
        <v>131</v>
      </c>
      <c r="N2" s="40" t="s">
        <v>45</v>
      </c>
      <c r="O2" s="40" t="s">
        <v>156</v>
      </c>
      <c r="P2" s="40" t="s">
        <v>152</v>
      </c>
      <c r="Q2" s="40" t="s">
        <v>157</v>
      </c>
      <c r="R2" s="40" t="s">
        <v>158</v>
      </c>
      <c r="S2" s="40" t="s">
        <v>46</v>
      </c>
      <c r="T2" s="40" t="s">
        <v>47</v>
      </c>
      <c r="U2" s="40" t="s">
        <v>48</v>
      </c>
      <c r="V2" s="40" t="s">
        <v>151</v>
      </c>
      <c r="Y2" s="39" t="s">
        <v>141</v>
      </c>
      <c r="Z2" s="10" t="s">
        <v>68</v>
      </c>
      <c r="AA2" s="10" t="s">
        <v>87</v>
      </c>
    </row>
    <row r="3" spans="2:27" ht="25.5" x14ac:dyDescent="0.2">
      <c r="C3" s="59" t="s">
        <v>121</v>
      </c>
      <c r="D3" s="41" t="s">
        <v>49</v>
      </c>
      <c r="E3" s="41" t="s">
        <v>50</v>
      </c>
      <c r="F3" s="41" t="s">
        <v>124</v>
      </c>
      <c r="G3" s="41" t="s">
        <v>137</v>
      </c>
      <c r="H3" s="41" t="s">
        <v>134</v>
      </c>
      <c r="I3" s="41" t="s">
        <v>127</v>
      </c>
      <c r="J3" s="41" t="s">
        <v>135</v>
      </c>
      <c r="K3" s="41" t="s">
        <v>136</v>
      </c>
      <c r="L3" s="41" t="s">
        <v>132</v>
      </c>
      <c r="M3" s="41" t="s">
        <v>133</v>
      </c>
      <c r="N3" s="41" t="s">
        <v>51</v>
      </c>
      <c r="O3" s="41" t="s">
        <v>159</v>
      </c>
      <c r="P3" s="41" t="s">
        <v>153</v>
      </c>
      <c r="Q3" s="41" t="s">
        <v>154</v>
      </c>
      <c r="R3" s="41" t="s">
        <v>155</v>
      </c>
      <c r="S3" s="41" t="s">
        <v>52</v>
      </c>
      <c r="T3" s="41" t="s">
        <v>53</v>
      </c>
      <c r="U3" s="41" t="s">
        <v>74</v>
      </c>
      <c r="V3" s="41" t="s">
        <v>54</v>
      </c>
    </row>
    <row r="4" spans="2:27" x14ac:dyDescent="0.2">
      <c r="B4" s="38"/>
      <c r="C4" s="74" t="s">
        <v>55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75"/>
    </row>
    <row r="5" spans="2:27" x14ac:dyDescent="0.2">
      <c r="B5" s="42" t="s">
        <v>56</v>
      </c>
      <c r="C5" s="51" t="s">
        <v>57</v>
      </c>
      <c r="D5" s="43">
        <f>[2]EB1!D10</f>
        <v>-37.464700000000001</v>
      </c>
      <c r="E5" s="43">
        <f>[2]EB1!E10</f>
        <v>-317.19200000000001</v>
      </c>
      <c r="F5" s="43">
        <f>[2]EB1!F10</f>
        <v>0</v>
      </c>
      <c r="G5" s="43">
        <f>[2]EB1!G10</f>
        <v>-16.283999999999999</v>
      </c>
      <c r="H5" s="43">
        <f>[2]EB1!H10</f>
        <v>-2.1499999999999998E-2</v>
      </c>
      <c r="I5" s="43">
        <f>[2]EB1!I10</f>
        <v>-528.76099999999997</v>
      </c>
      <c r="J5" s="43">
        <f>[2]EB1!J10</f>
        <v>-164.50800000000001</v>
      </c>
      <c r="K5" s="43">
        <f>[2]EB1!K10</f>
        <v>-0.61599999999999999</v>
      </c>
      <c r="L5" s="43">
        <f>[2]EB1!L10</f>
        <v>-205.88</v>
      </c>
      <c r="M5" s="43">
        <f>[2]EB1!M10</f>
        <v>0</v>
      </c>
      <c r="N5" s="43">
        <f>[2]EB1!N10</f>
        <v>0</v>
      </c>
      <c r="O5" s="43">
        <f>[2]EB1!O10</f>
        <v>-3.21225</v>
      </c>
      <c r="P5" s="43">
        <f>[2]EB1!P10</f>
        <v>0</v>
      </c>
      <c r="Q5" s="43">
        <f>[2]EB1!Q10</f>
        <v>0</v>
      </c>
      <c r="R5" s="43">
        <f>[2]EB1!R10</f>
        <v>0</v>
      </c>
      <c r="S5" s="43">
        <f>[2]EB1!S10</f>
        <v>-0.76</v>
      </c>
      <c r="T5" s="43">
        <f>[2]EB1!T10</f>
        <v>0</v>
      </c>
      <c r="U5" s="43">
        <f>[2]EB1!U10</f>
        <v>0</v>
      </c>
      <c r="V5" s="76">
        <f>[2]EB1!V10</f>
        <v>-1274.6994499999998</v>
      </c>
    </row>
    <row r="6" spans="2:27" ht="15" x14ac:dyDescent="0.25">
      <c r="B6" s="42" t="s">
        <v>48</v>
      </c>
      <c r="C6" s="52" t="s">
        <v>58</v>
      </c>
      <c r="D6" s="46">
        <f>[2]EB1!D11</f>
        <v>-6238.7780000000012</v>
      </c>
      <c r="E6" s="45">
        <f>[2]EB1!E11</f>
        <v>-2254.2175999999999</v>
      </c>
      <c r="F6" s="45">
        <f>[2]EB1!F11</f>
        <v>0</v>
      </c>
      <c r="G6" s="45">
        <f>[2]EB1!G11</f>
        <v>-30.160499999999999</v>
      </c>
      <c r="H6" s="45">
        <f>[2]EB1!H11</f>
        <v>0</v>
      </c>
      <c r="I6" s="45">
        <f>[2]EB1!I11</f>
        <v>-23.835000000000001</v>
      </c>
      <c r="J6" s="45">
        <f>[2]EB1!J11</f>
        <v>0</v>
      </c>
      <c r="K6" s="45">
        <f>[2]EB1!K11</f>
        <v>0</v>
      </c>
      <c r="L6" s="45">
        <f>[2]EB1!L11</f>
        <v>-524.78</v>
      </c>
      <c r="M6" s="45">
        <f>[2]EB1!M11</f>
        <v>-33.529000000000003</v>
      </c>
      <c r="N6" s="45">
        <f>[2]EB1!N11</f>
        <v>-4455</v>
      </c>
      <c r="O6" s="45">
        <f>[2]EB1!O11</f>
        <v>-527.25918750000005</v>
      </c>
      <c r="P6" s="45">
        <f>[2]EB1!P11</f>
        <v>-502.66000000000008</v>
      </c>
      <c r="Q6" s="45">
        <f>[2]EB1!Q11</f>
        <v>-263.8965</v>
      </c>
      <c r="R6" s="45">
        <f>[2]EB1!R11</f>
        <v>-68</v>
      </c>
      <c r="S6" s="43">
        <f>[2]EB1!S11</f>
        <v>-16.474499999999999</v>
      </c>
      <c r="T6" s="43">
        <f>[2]EB1!T11</f>
        <v>868.77949999999998</v>
      </c>
      <c r="U6" s="45">
        <f>[2]EB1!U11</f>
        <v>5790.5</v>
      </c>
      <c r="V6" s="76">
        <f>[2]EB1!V11</f>
        <v>-8279.3107875000023</v>
      </c>
      <c r="X6" s="83"/>
    </row>
    <row r="7" spans="2:27" x14ac:dyDescent="0.2">
      <c r="B7" s="42" t="s">
        <v>59</v>
      </c>
      <c r="C7" s="52" t="s">
        <v>60</v>
      </c>
      <c r="D7" s="43">
        <f>[2]EB1!D12</f>
        <v>-104.9074</v>
      </c>
      <c r="E7" s="43">
        <f>[2]EB1!E12</f>
        <v>-120.5204</v>
      </c>
      <c r="F7" s="43">
        <f>[2]EB1!F12</f>
        <v>0</v>
      </c>
      <c r="G7" s="43">
        <f>[2]EB1!G12</f>
        <v>-7.6189999999999998</v>
      </c>
      <c r="H7" s="43">
        <f>[2]EB1!H12</f>
        <v>0</v>
      </c>
      <c r="I7" s="43">
        <f>[2]EB1!I12</f>
        <v>-0.23350000000000001</v>
      </c>
      <c r="J7" s="43">
        <f>[2]EB1!J12</f>
        <v>0</v>
      </c>
      <c r="K7" s="43">
        <f>[2]EB1!K12</f>
        <v>0</v>
      </c>
      <c r="L7" s="43">
        <f>[2]EB1!L12</f>
        <v>-15.2</v>
      </c>
      <c r="M7" s="43">
        <f>[2]EB1!M12</f>
        <v>-1.772</v>
      </c>
      <c r="N7" s="43">
        <f>[2]EB1!N12</f>
        <v>0</v>
      </c>
      <c r="O7" s="43">
        <f>[2]EB1!O12</f>
        <v>-105.15525</v>
      </c>
      <c r="P7" s="43">
        <f>[2]EB1!P12</f>
        <v>0</v>
      </c>
      <c r="Q7" s="43">
        <f>[2]EB1!Q12</f>
        <v>0</v>
      </c>
      <c r="R7" s="43">
        <f>[2]EB1!R12</f>
        <v>0</v>
      </c>
      <c r="S7" s="43">
        <f>[2]EB1!S12</f>
        <v>-0.78449999999999998</v>
      </c>
      <c r="T7" s="43">
        <f>[2]EB1!T12</f>
        <v>329.37150000000003</v>
      </c>
      <c r="U7" s="43">
        <f>[2]EB1!U12</f>
        <v>0</v>
      </c>
      <c r="V7" s="76">
        <f>[2]EB1!V12</f>
        <v>-26.820549999999912</v>
      </c>
    </row>
    <row r="8" spans="2:27" x14ac:dyDescent="0.2">
      <c r="B8" s="42" t="s">
        <v>61</v>
      </c>
      <c r="C8" s="52" t="s">
        <v>62</v>
      </c>
      <c r="D8" s="43">
        <f>[2]EB1!D13</f>
        <v>0</v>
      </c>
      <c r="E8" s="43">
        <f>[2]EB1!E13</f>
        <v>0</v>
      </c>
      <c r="F8" s="43">
        <f>[2]EB1!F13</f>
        <v>-15868.2305</v>
      </c>
      <c r="G8" s="43">
        <f>[2]EB1!G13</f>
        <v>5701.34</v>
      </c>
      <c r="H8" s="43">
        <f>[2]EB1!H13</f>
        <v>969.47799999999995</v>
      </c>
      <c r="I8" s="43">
        <f>[2]EB1!I13</f>
        <v>1086.3040000000001</v>
      </c>
      <c r="J8" s="43">
        <f>[2]EB1!J13</f>
        <v>3354.9119999999998</v>
      </c>
      <c r="K8" s="43">
        <f>[2]EB1!K13</f>
        <v>970.28800000000001</v>
      </c>
      <c r="L8" s="43">
        <f>[2]EB1!L13</f>
        <v>2285.1019999999999</v>
      </c>
      <c r="M8" s="43">
        <f>[2]EB1!M13</f>
        <v>1299.9449999999999</v>
      </c>
      <c r="N8" s="43">
        <f>[2]EB1!N13</f>
        <v>0</v>
      </c>
      <c r="O8" s="43">
        <f>[2]EB1!O13</f>
        <v>0</v>
      </c>
      <c r="P8" s="43">
        <f>[2]EB1!P13</f>
        <v>0</v>
      </c>
      <c r="Q8" s="43">
        <f>[2]EB1!Q13</f>
        <v>0</v>
      </c>
      <c r="R8" s="43">
        <f>[2]EB1!R13</f>
        <v>0</v>
      </c>
      <c r="S8" s="43">
        <f>[2]EB1!S13</f>
        <v>0</v>
      </c>
      <c r="T8" s="43">
        <f>[2]EB1!T13</f>
        <v>0</v>
      </c>
      <c r="U8" s="43">
        <f>[2]EB1!U13</f>
        <v>0</v>
      </c>
      <c r="V8" s="76">
        <f>[2]EB1!V13</f>
        <v>-200.86150000000021</v>
      </c>
    </row>
    <row r="9" spans="2:27" ht="15" x14ac:dyDescent="0.25">
      <c r="B9" s="38"/>
      <c r="C9" s="47" t="s">
        <v>63</v>
      </c>
      <c r="D9" s="50">
        <f>SUM(D5:D8)</f>
        <v>-6381.1501000000017</v>
      </c>
      <c r="E9" s="48">
        <f t="shared" ref="E9:U9" si="0">SUM(E5:E8)</f>
        <v>-2691.93</v>
      </c>
      <c r="F9" s="48">
        <f t="shared" si="0"/>
        <v>-15868.2305</v>
      </c>
      <c r="G9" s="48">
        <f t="shared" si="0"/>
        <v>5647.2764999999999</v>
      </c>
      <c r="H9" s="48">
        <f t="shared" si="0"/>
        <v>969.45650000000001</v>
      </c>
      <c r="I9" s="48">
        <f t="shared" si="0"/>
        <v>533.47450000000003</v>
      </c>
      <c r="J9" s="48">
        <f t="shared" si="0"/>
        <v>3190.404</v>
      </c>
      <c r="K9" s="48">
        <f t="shared" si="0"/>
        <v>969.67200000000003</v>
      </c>
      <c r="L9" s="48">
        <f t="shared" si="0"/>
        <v>1539.2419999999997</v>
      </c>
      <c r="M9" s="48">
        <f t="shared" si="0"/>
        <v>1264.644</v>
      </c>
      <c r="N9" s="48">
        <f t="shared" si="0"/>
        <v>-4455</v>
      </c>
      <c r="O9" s="48">
        <f t="shared" si="0"/>
        <v>-635.62668750000012</v>
      </c>
      <c r="P9" s="48">
        <f t="shared" si="0"/>
        <v>-502.66000000000008</v>
      </c>
      <c r="Q9" s="48">
        <f t="shared" si="0"/>
        <v>-263.8965</v>
      </c>
      <c r="R9" s="48">
        <f t="shared" si="0"/>
        <v>-68</v>
      </c>
      <c r="S9" s="48">
        <f t="shared" si="0"/>
        <v>-18.019000000000002</v>
      </c>
      <c r="T9" s="48">
        <f t="shared" si="0"/>
        <v>1198.1510000000001</v>
      </c>
      <c r="U9" s="48">
        <f t="shared" si="0"/>
        <v>5790.5</v>
      </c>
      <c r="V9" s="49">
        <f>SUM(V5:V8)</f>
        <v>-9781.6922875000037</v>
      </c>
    </row>
    <row r="10" spans="2:27" x14ac:dyDescent="0.2">
      <c r="D10" s="7"/>
      <c r="F10" s="7"/>
      <c r="G10" s="7"/>
      <c r="H10" s="7"/>
      <c r="I10" s="7"/>
      <c r="J10" s="7"/>
      <c r="K10" s="7"/>
      <c r="L10" s="7"/>
      <c r="M10" s="7"/>
    </row>
    <row r="11" spans="2:27" x14ac:dyDescent="0.2">
      <c r="D11" s="7"/>
      <c r="E11" s="7"/>
      <c r="F11" s="7"/>
      <c r="G11" s="7"/>
      <c r="H11" s="7"/>
      <c r="I11" s="7"/>
      <c r="J11" s="7"/>
      <c r="K11" s="7"/>
      <c r="L11" s="7"/>
      <c r="M11" s="7"/>
      <c r="O11" s="7"/>
      <c r="P11" s="84"/>
      <c r="Q11" s="84"/>
      <c r="R11" s="84"/>
    </row>
    <row r="12" spans="2:27" ht="15" x14ac:dyDescent="0.25">
      <c r="C12" s="45" t="s">
        <v>142</v>
      </c>
      <c r="D12" s="45"/>
      <c r="E12" s="45"/>
      <c r="F12" s="7"/>
      <c r="G12" s="7"/>
      <c r="H12" s="7"/>
      <c r="I12" s="7"/>
      <c r="J12" s="7"/>
      <c r="K12" s="7"/>
      <c r="L12" s="7"/>
      <c r="M12" s="7"/>
    </row>
    <row r="15" spans="2:27" x14ac:dyDescent="0.2">
      <c r="C15" s="56" t="s">
        <v>89</v>
      </c>
      <c r="D15" s="58" t="s">
        <v>90</v>
      </c>
      <c r="E15" s="57" t="s">
        <v>91</v>
      </c>
    </row>
    <row r="16" spans="2:27" x14ac:dyDescent="0.2">
      <c r="B16" s="19" t="s">
        <v>98</v>
      </c>
      <c r="C16" s="53" t="s">
        <v>92</v>
      </c>
      <c r="D16" s="53" t="s">
        <v>93</v>
      </c>
      <c r="E16" s="54" t="s">
        <v>91</v>
      </c>
    </row>
    <row r="17" spans="2:5" x14ac:dyDescent="0.2">
      <c r="B17" s="42" t="s">
        <v>48</v>
      </c>
      <c r="C17" s="81">
        <v>1</v>
      </c>
      <c r="D17" s="55"/>
      <c r="E17" s="8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"/>
  <sheetViews>
    <sheetView zoomScale="80" zoomScaleNormal="8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  <col min="14" max="14" width="5.42578125" customWidth="1"/>
  </cols>
  <sheetData>
    <row r="1" spans="2:13" x14ac:dyDescent="0.2">
      <c r="E1" s="1"/>
    </row>
    <row r="2" spans="2:13" ht="18" x14ac:dyDescent="0.25">
      <c r="B2" s="69" t="s">
        <v>146</v>
      </c>
    </row>
    <row r="4" spans="2:13" ht="18" x14ac:dyDescent="0.25">
      <c r="E4" s="101" t="s">
        <v>149</v>
      </c>
      <c r="F4" s="102"/>
      <c r="G4" s="102"/>
      <c r="H4" s="102"/>
      <c r="I4" s="102"/>
      <c r="J4" s="102"/>
      <c r="K4" s="102"/>
      <c r="L4" s="102"/>
      <c r="M4" s="103"/>
    </row>
    <row r="5" spans="2:13" ht="12.75" customHeight="1" x14ac:dyDescent="0.2">
      <c r="E5" s="70" t="s">
        <v>147</v>
      </c>
      <c r="F5" s="70"/>
      <c r="G5" s="70"/>
      <c r="H5" s="70"/>
      <c r="I5" s="78"/>
      <c r="J5" s="78"/>
      <c r="K5" s="78"/>
      <c r="L5" s="78"/>
      <c r="M5" s="78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3"/>
  <sheetViews>
    <sheetView zoomScaleNormal="100" workbookViewId="0">
      <selection activeCell="H29" sqref="H29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8" t="s">
        <v>65</v>
      </c>
      <c r="C1" s="8" t="s">
        <v>66</v>
      </c>
      <c r="D1" s="8" t="s">
        <v>67</v>
      </c>
      <c r="E1" s="8" t="s">
        <v>96</v>
      </c>
      <c r="F1" s="8" t="s">
        <v>79</v>
      </c>
      <c r="G1" s="8" t="s">
        <v>83</v>
      </c>
      <c r="H1" s="31"/>
    </row>
    <row r="2" spans="2:18" ht="31.5" x14ac:dyDescent="0.25">
      <c r="B2" s="10" t="str">
        <f>'EB1'!B6</f>
        <v>ELC</v>
      </c>
      <c r="C2" s="18" t="str">
        <f>'EB1'!C6</f>
        <v>Electricity Plants</v>
      </c>
      <c r="D2" s="10" t="s">
        <v>94</v>
      </c>
      <c r="E2" s="10" t="str">
        <f>'EB1'!Z2</f>
        <v>PJ</v>
      </c>
      <c r="F2" s="10" t="str">
        <f>'EB1'!Y2</f>
        <v>M€2005</v>
      </c>
      <c r="G2" s="10" t="s">
        <v>84</v>
      </c>
      <c r="H2" s="9"/>
      <c r="J2" s="92" t="s">
        <v>14</v>
      </c>
      <c r="K2" s="92"/>
      <c r="L2" s="93"/>
      <c r="M2" s="93"/>
      <c r="N2" s="93"/>
      <c r="O2" s="93"/>
      <c r="P2" s="93"/>
      <c r="Q2" s="93"/>
      <c r="R2" s="93"/>
    </row>
    <row r="3" spans="2:18" x14ac:dyDescent="0.2">
      <c r="J3" s="94" t="s">
        <v>7</v>
      </c>
      <c r="K3" s="95" t="s">
        <v>30</v>
      </c>
      <c r="L3" s="94" t="s">
        <v>0</v>
      </c>
      <c r="M3" s="94" t="s">
        <v>3</v>
      </c>
      <c r="N3" s="94" t="s">
        <v>4</v>
      </c>
      <c r="O3" s="94" t="s">
        <v>8</v>
      </c>
      <c r="P3" s="94" t="s">
        <v>9</v>
      </c>
      <c r="Q3" s="94" t="s">
        <v>10</v>
      </c>
      <c r="R3" s="94" t="s">
        <v>12</v>
      </c>
    </row>
    <row r="4" spans="2:18" ht="24" thickBot="1" x14ac:dyDescent="0.3">
      <c r="B4" s="9"/>
      <c r="C4" s="9"/>
      <c r="D4" s="9"/>
      <c r="E4" s="9"/>
      <c r="G4" s="9"/>
      <c r="J4" s="96" t="s">
        <v>35</v>
      </c>
      <c r="K4" s="96" t="s">
        <v>31</v>
      </c>
      <c r="L4" s="96" t="s">
        <v>26</v>
      </c>
      <c r="M4" s="96" t="s">
        <v>27</v>
      </c>
      <c r="N4" s="96" t="s">
        <v>4</v>
      </c>
      <c r="O4" s="96" t="s">
        <v>38</v>
      </c>
      <c r="P4" s="96" t="s">
        <v>39</v>
      </c>
      <c r="Q4" s="96" t="s">
        <v>28</v>
      </c>
      <c r="R4" s="96" t="s">
        <v>29</v>
      </c>
    </row>
    <row r="5" spans="2:18" x14ac:dyDescent="0.2">
      <c r="E5" s="12"/>
      <c r="F5" s="12"/>
      <c r="G5" s="68"/>
      <c r="H5" s="11"/>
      <c r="J5" s="97" t="s">
        <v>64</v>
      </c>
      <c r="K5" s="97"/>
      <c r="L5" s="97" t="str">
        <f>$B$2&amp;'EB1'!$D$2</f>
        <v>ELCCOA</v>
      </c>
      <c r="M5" s="98" t="str">
        <f>$C$2&amp;" "&amp;'EB1'!$D$3</f>
        <v>Electricity Plants Solid Fuels</v>
      </c>
      <c r="N5" s="97" t="str">
        <f t="shared" ref="N5:N12" si="0">$E$2</f>
        <v>PJ</v>
      </c>
      <c r="O5" s="97"/>
      <c r="P5" s="97"/>
      <c r="Q5" s="97"/>
      <c r="R5" s="97"/>
    </row>
    <row r="6" spans="2:18" x14ac:dyDescent="0.2">
      <c r="E6" s="12"/>
      <c r="F6" s="12"/>
      <c r="G6" s="68"/>
      <c r="H6" s="11"/>
      <c r="J6" s="97"/>
      <c r="K6" s="97"/>
      <c r="L6" s="97" t="str">
        <f>$B$2&amp;'EB1'!$E$2</f>
        <v>ELCGAS</v>
      </c>
      <c r="M6" s="98" t="str">
        <f>$C$2&amp;" "&amp;'EB1'!$E$3</f>
        <v>Electricity Plants Natural Gas</v>
      </c>
      <c r="N6" s="97" t="str">
        <f t="shared" si="0"/>
        <v>PJ</v>
      </c>
      <c r="O6" s="97"/>
      <c r="P6" s="97"/>
      <c r="Q6" s="97"/>
      <c r="R6" s="97"/>
    </row>
    <row r="7" spans="2:18" x14ac:dyDescent="0.2">
      <c r="E7" s="12"/>
      <c r="F7" s="12"/>
      <c r="G7" s="68"/>
      <c r="H7" s="11"/>
      <c r="J7" s="97"/>
      <c r="K7" s="97"/>
      <c r="L7" s="97" t="str">
        <f>$B$2&amp;'EB1'!$F$2</f>
        <v>ELCOIL</v>
      </c>
      <c r="M7" s="98" t="str">
        <f>$C$2&amp;" "&amp;RIGHT('EB1'!$F$3,3)</f>
        <v>Electricity Plants oil</v>
      </c>
      <c r="N7" s="97" t="str">
        <f t="shared" si="0"/>
        <v>PJ</v>
      </c>
      <c r="O7" s="97"/>
      <c r="P7" s="97"/>
      <c r="Q7" s="97"/>
      <c r="R7" s="97"/>
    </row>
    <row r="8" spans="2:18" x14ac:dyDescent="0.2">
      <c r="E8" s="12"/>
      <c r="F8" s="12"/>
      <c r="G8" s="68"/>
      <c r="H8" s="11"/>
      <c r="J8" s="97"/>
      <c r="K8" s="97"/>
      <c r="L8" s="97" t="str">
        <f>$B$2&amp;'EB1'!$N$2</f>
        <v>ELCNUC</v>
      </c>
      <c r="M8" s="98" t="str">
        <f>$C$2&amp;" "&amp;'EB1'!$N$3</f>
        <v>Electricity Plants Nuclear Energy</v>
      </c>
      <c r="N8" s="97" t="str">
        <f t="shared" si="0"/>
        <v>PJ</v>
      </c>
      <c r="O8" s="97"/>
      <c r="P8" s="97"/>
      <c r="Q8" s="97"/>
      <c r="R8" s="97"/>
    </row>
    <row r="9" spans="2:18" x14ac:dyDescent="0.2">
      <c r="E9" s="12"/>
      <c r="F9" s="12"/>
      <c r="G9" s="68"/>
      <c r="H9" s="11"/>
      <c r="J9" s="97"/>
      <c r="K9" s="97"/>
      <c r="L9" s="97" t="str">
        <f>$B$2&amp;'EB1'!$O$2</f>
        <v>ELCBIO</v>
      </c>
      <c r="M9" s="98" t="str">
        <f>$C$2&amp;" "&amp;'EB1'!$O$3</f>
        <v>Electricity Plants Biomass</v>
      </c>
      <c r="N9" s="97" t="str">
        <f t="shared" si="0"/>
        <v>PJ</v>
      </c>
      <c r="O9" s="97"/>
      <c r="P9" s="97"/>
      <c r="Q9" s="97"/>
      <c r="R9" s="97"/>
    </row>
    <row r="10" spans="2:18" x14ac:dyDescent="0.2">
      <c r="E10" s="12"/>
      <c r="F10" s="12"/>
      <c r="G10" s="68"/>
      <c r="H10" s="11"/>
      <c r="J10" s="97"/>
      <c r="K10" s="97"/>
      <c r="L10" s="97" t="str">
        <f>$B$2&amp;'EB1'!$P$2</f>
        <v>ELCHYD</v>
      </c>
      <c r="M10" s="98" t="str">
        <f>$C$2&amp;" "&amp;'EB1'!$P$3</f>
        <v>Electricity Plants Hydro power</v>
      </c>
      <c r="N10" s="97" t="str">
        <f t="shared" si="0"/>
        <v>PJ</v>
      </c>
      <c r="O10" s="97"/>
      <c r="P10" s="97"/>
      <c r="Q10" s="97"/>
      <c r="R10" s="97"/>
    </row>
    <row r="11" spans="2:18" x14ac:dyDescent="0.2">
      <c r="E11" s="12"/>
      <c r="F11" s="12"/>
      <c r="G11" s="68"/>
      <c r="H11" s="11"/>
      <c r="J11" s="97"/>
      <c r="K11" s="97"/>
      <c r="L11" s="97" t="str">
        <f>$B$2&amp;'EB1'!$Q$2</f>
        <v>ELCWIN</v>
      </c>
      <c r="M11" s="98" t="str">
        <f>$C$2&amp;" "&amp;'EB1'!$Q$3</f>
        <v>Electricity Plants Wind energy</v>
      </c>
      <c r="N11" s="97" t="str">
        <f t="shared" si="0"/>
        <v>PJ</v>
      </c>
      <c r="O11" s="97"/>
      <c r="P11" s="97"/>
      <c r="Q11" s="97"/>
      <c r="R11" s="97"/>
    </row>
    <row r="12" spans="2:18" x14ac:dyDescent="0.2">
      <c r="E12" s="12"/>
      <c r="F12" s="12"/>
      <c r="G12" s="68"/>
      <c r="H12" s="11"/>
      <c r="J12" s="97"/>
      <c r="K12" s="97"/>
      <c r="L12" s="97" t="str">
        <f>$B$2&amp;'EB1'!$R$2</f>
        <v>ELCSOL</v>
      </c>
      <c r="M12" s="98" t="str">
        <f>$C$2&amp;" "&amp;'EB1'!$R$3</f>
        <v>Electricity Plants Solar energy</v>
      </c>
      <c r="N12" s="97" t="str">
        <f t="shared" si="0"/>
        <v>PJ</v>
      </c>
      <c r="O12" s="97"/>
      <c r="P12" s="97"/>
      <c r="Q12" s="97"/>
      <c r="R12" s="97"/>
    </row>
    <row r="13" spans="2:18" x14ac:dyDescent="0.2">
      <c r="L13" s="21"/>
      <c r="M13" s="22"/>
    </row>
    <row r="14" spans="2:18" x14ac:dyDescent="0.2">
      <c r="D14" s="4" t="s">
        <v>13</v>
      </c>
      <c r="E14" s="4"/>
      <c r="F14" s="4"/>
      <c r="J14" s="92" t="s">
        <v>15</v>
      </c>
      <c r="K14" s="92"/>
      <c r="L14" s="97"/>
      <c r="M14" s="97"/>
      <c r="N14" s="97"/>
      <c r="O14" s="97"/>
      <c r="P14" s="97"/>
      <c r="Q14" s="97"/>
      <c r="R14" s="97"/>
    </row>
    <row r="15" spans="2:18" x14ac:dyDescent="0.2">
      <c r="B15" s="16" t="s">
        <v>1</v>
      </c>
      <c r="C15" s="16" t="s">
        <v>5</v>
      </c>
      <c r="D15" s="16" t="s">
        <v>6</v>
      </c>
      <c r="E15" s="73" t="s">
        <v>140</v>
      </c>
      <c r="F15" s="71" t="s">
        <v>123</v>
      </c>
      <c r="G15" s="71" t="s">
        <v>73</v>
      </c>
      <c r="H15" s="71" t="s">
        <v>70</v>
      </c>
      <c r="J15" s="94" t="s">
        <v>11</v>
      </c>
      <c r="K15" s="95" t="s">
        <v>30</v>
      </c>
      <c r="L15" s="94" t="s">
        <v>1</v>
      </c>
      <c r="M15" s="94" t="s">
        <v>2</v>
      </c>
      <c r="N15" s="94" t="s">
        <v>16</v>
      </c>
      <c r="O15" s="94" t="s">
        <v>17</v>
      </c>
      <c r="P15" s="94" t="s">
        <v>18</v>
      </c>
      <c r="Q15" s="94" t="s">
        <v>19</v>
      </c>
      <c r="R15" s="94" t="s">
        <v>20</v>
      </c>
    </row>
    <row r="16" spans="2:18" ht="23.25" thickBot="1" x14ac:dyDescent="0.25">
      <c r="B16" s="15" t="s">
        <v>37</v>
      </c>
      <c r="C16" s="15" t="s">
        <v>32</v>
      </c>
      <c r="D16" s="15" t="s">
        <v>33</v>
      </c>
      <c r="E16" s="15" t="s">
        <v>139</v>
      </c>
      <c r="F16" s="15" t="s">
        <v>34</v>
      </c>
      <c r="G16" s="15" t="s">
        <v>75</v>
      </c>
      <c r="H16" s="15" t="s">
        <v>160</v>
      </c>
      <c r="J16" s="96" t="s">
        <v>36</v>
      </c>
      <c r="K16" s="96" t="s">
        <v>31</v>
      </c>
      <c r="L16" s="96" t="s">
        <v>21</v>
      </c>
      <c r="M16" s="96" t="s">
        <v>22</v>
      </c>
      <c r="N16" s="96" t="s">
        <v>23</v>
      </c>
      <c r="O16" s="96" t="s">
        <v>24</v>
      </c>
      <c r="P16" s="96" t="s">
        <v>41</v>
      </c>
      <c r="Q16" s="96" t="s">
        <v>40</v>
      </c>
      <c r="R16" s="96" t="s">
        <v>25</v>
      </c>
    </row>
    <row r="17" spans="2:18" ht="13.5" thickBot="1" x14ac:dyDescent="0.25">
      <c r="B17" s="14" t="s">
        <v>76</v>
      </c>
      <c r="C17" s="14"/>
      <c r="D17" s="14"/>
      <c r="E17" s="13"/>
      <c r="F17" s="13" t="str">
        <f>F2&amp;"a"</f>
        <v>M€2005a</v>
      </c>
      <c r="G17" s="13"/>
      <c r="H17" s="13" t="s">
        <v>77</v>
      </c>
      <c r="J17" s="96" t="s">
        <v>71</v>
      </c>
      <c r="K17" s="99"/>
      <c r="L17" s="99"/>
      <c r="M17" s="99"/>
      <c r="N17" s="99"/>
      <c r="O17" s="99"/>
      <c r="P17" s="99"/>
      <c r="Q17" s="99"/>
      <c r="R17" s="99"/>
    </row>
    <row r="18" spans="2:18" x14ac:dyDescent="0.2">
      <c r="B18" s="21" t="str">
        <f>Sector_Fuels_ELC!L18</f>
        <v>FTE-ELCCOA</v>
      </c>
      <c r="C18" t="str">
        <f>RIGHT(D18,3)</f>
        <v>COA</v>
      </c>
      <c r="D18" s="21" t="str">
        <f>L5</f>
        <v>ELCCOA</v>
      </c>
      <c r="E18" s="12"/>
      <c r="F18" s="12"/>
      <c r="G18" s="63">
        <v>1</v>
      </c>
      <c r="H18" s="64">
        <v>30</v>
      </c>
      <c r="J18" s="93" t="s">
        <v>95</v>
      </c>
      <c r="K18" s="100"/>
      <c r="L18" s="97" t="str">
        <f t="shared" ref="L18:L25" si="1">"FT"&amp;$G$2&amp;"-"&amp;L5</f>
        <v>FTE-ELCCOA</v>
      </c>
      <c r="M18" s="98" t="str">
        <f t="shared" ref="M18:M25" si="2">$D$2&amp;" Technology"&amp;" "&amp;$G$1&amp;" "&amp;M5</f>
        <v>Sector Fuel Technology Existing Electricity Plants Solid Fuels</v>
      </c>
      <c r="N18" s="97" t="str">
        <f t="shared" ref="N18:N25" si="3">$E$2</f>
        <v>PJ</v>
      </c>
      <c r="O18" s="97" t="str">
        <f t="shared" ref="O18:O25" si="4">$E$2&amp;"a"</f>
        <v>PJa</v>
      </c>
      <c r="P18" s="97"/>
      <c r="Q18" s="97"/>
      <c r="R18" s="97"/>
    </row>
    <row r="19" spans="2:18" x14ac:dyDescent="0.2">
      <c r="B19" s="21" t="str">
        <f>Sector_Fuels_ELC!L19</f>
        <v>FTE-ELCGAS</v>
      </c>
      <c r="C19" t="str">
        <f>RIGHT(D19,3)</f>
        <v>GAS</v>
      </c>
      <c r="D19" s="21" t="str">
        <f>L6</f>
        <v>ELCGAS</v>
      </c>
      <c r="E19" s="12"/>
      <c r="F19" s="12"/>
      <c r="G19" s="63">
        <v>1</v>
      </c>
      <c r="H19" s="64">
        <v>30</v>
      </c>
      <c r="J19" s="97"/>
      <c r="K19" s="100"/>
      <c r="L19" s="97" t="str">
        <f t="shared" si="1"/>
        <v>FTE-ELCGAS</v>
      </c>
      <c r="M19" s="98" t="str">
        <f t="shared" si="2"/>
        <v>Sector Fuel Technology Existing Electricity Plants Natural Gas</v>
      </c>
      <c r="N19" s="97" t="str">
        <f t="shared" si="3"/>
        <v>PJ</v>
      </c>
      <c r="O19" s="97" t="str">
        <f t="shared" si="4"/>
        <v>PJa</v>
      </c>
      <c r="P19" s="97"/>
      <c r="Q19" s="97"/>
      <c r="R19" s="97"/>
    </row>
    <row r="20" spans="2:18" x14ac:dyDescent="0.2">
      <c r="B20" s="21" t="str">
        <f>Sector_Fuels_ELC!L20</f>
        <v>FTE-ELCOIL</v>
      </c>
      <c r="C20" t="str">
        <f>'EB1'!G$2</f>
        <v>DSL</v>
      </c>
      <c r="D20" s="21" t="str">
        <f>L7</f>
        <v>ELCOIL</v>
      </c>
      <c r="E20" s="62">
        <f>-'EB1'!G$6/-SUM('EB1'!$G$6:$M$6)</f>
        <v>4.9257354796510562E-2</v>
      </c>
      <c r="F20" s="12"/>
      <c r="G20" s="63">
        <v>1</v>
      </c>
      <c r="H20" s="64">
        <v>30</v>
      </c>
      <c r="J20" s="100"/>
      <c r="K20" s="100"/>
      <c r="L20" s="97" t="str">
        <f t="shared" si="1"/>
        <v>FTE-ELCOIL</v>
      </c>
      <c r="M20" s="98" t="str">
        <f t="shared" si="2"/>
        <v>Sector Fuel Technology Existing Electricity Plants oil</v>
      </c>
      <c r="N20" s="97" t="str">
        <f t="shared" si="3"/>
        <v>PJ</v>
      </c>
      <c r="O20" s="97" t="str">
        <f t="shared" si="4"/>
        <v>PJa</v>
      </c>
      <c r="P20" s="97"/>
      <c r="Q20" s="97"/>
      <c r="R20" s="97"/>
    </row>
    <row r="21" spans="2:18" x14ac:dyDescent="0.2">
      <c r="B21" s="21"/>
      <c r="C21" t="str">
        <f>'EB1'!I$2</f>
        <v>LPG</v>
      </c>
      <c r="D21" s="21"/>
      <c r="E21" s="62">
        <f>-'EB1'!I$6/-SUM('EB1'!$G$6:$M$6)</f>
        <v>3.8926710484734312E-2</v>
      </c>
      <c r="F21" s="12"/>
      <c r="G21" s="63"/>
      <c r="H21" s="64"/>
      <c r="J21" s="97"/>
      <c r="K21" s="97"/>
      <c r="L21" s="97" t="str">
        <f t="shared" si="1"/>
        <v>FTE-ELCNUC</v>
      </c>
      <c r="M21" s="98" t="str">
        <f t="shared" si="2"/>
        <v>Sector Fuel Technology Existing Electricity Plants Nuclear Energy</v>
      </c>
      <c r="N21" s="97" t="str">
        <f t="shared" si="3"/>
        <v>PJ</v>
      </c>
      <c r="O21" s="97" t="str">
        <f t="shared" si="4"/>
        <v>PJa</v>
      </c>
      <c r="P21" s="97"/>
      <c r="Q21" s="97"/>
      <c r="R21" s="97"/>
    </row>
    <row r="22" spans="2:18" x14ac:dyDescent="0.2">
      <c r="B22" s="21"/>
      <c r="C22" t="str">
        <f>'EB1'!L$2</f>
        <v>HFO</v>
      </c>
      <c r="D22" s="21"/>
      <c r="E22" s="62">
        <f>-'EB1'!L$6/-SUM('EB1'!$G$6:$M$6)</f>
        <v>0.85705723214511731</v>
      </c>
      <c r="F22" s="12"/>
      <c r="G22" s="63"/>
      <c r="H22" s="64"/>
      <c r="J22" s="97"/>
      <c r="K22" s="97"/>
      <c r="L22" s="97" t="str">
        <f t="shared" si="1"/>
        <v>FTE-ELCBIO</v>
      </c>
      <c r="M22" s="98" t="str">
        <f t="shared" si="2"/>
        <v>Sector Fuel Technology Existing Electricity Plants Biomass</v>
      </c>
      <c r="N22" s="97" t="str">
        <f t="shared" si="3"/>
        <v>PJ</v>
      </c>
      <c r="O22" s="97" t="str">
        <f t="shared" si="4"/>
        <v>PJa</v>
      </c>
      <c r="P22" s="97"/>
      <c r="Q22" s="97"/>
      <c r="R22" s="97"/>
    </row>
    <row r="23" spans="2:18" x14ac:dyDescent="0.2">
      <c r="B23" s="21"/>
      <c r="C23" t="str">
        <f>'EB1'!M$2</f>
        <v>OPP</v>
      </c>
      <c r="D23" s="21"/>
      <c r="E23" s="62">
        <f>-'EB1'!M$6/-SUM('EB1'!$G$6:$M$6)</f>
        <v>5.4758702573637796E-2</v>
      </c>
      <c r="F23" s="12"/>
      <c r="G23" s="63"/>
      <c r="H23" s="64"/>
      <c r="J23" s="97"/>
      <c r="K23" s="97"/>
      <c r="L23" s="97" t="str">
        <f t="shared" si="1"/>
        <v>FTE-ELCHYD</v>
      </c>
      <c r="M23" s="98" t="str">
        <f t="shared" si="2"/>
        <v>Sector Fuel Technology Existing Electricity Plants Hydro power</v>
      </c>
      <c r="N23" s="97" t="str">
        <f t="shared" si="3"/>
        <v>PJ</v>
      </c>
      <c r="O23" s="97" t="str">
        <f t="shared" si="4"/>
        <v>PJa</v>
      </c>
      <c r="P23" s="97"/>
      <c r="Q23" s="97"/>
      <c r="R23" s="97"/>
    </row>
    <row r="24" spans="2:18" x14ac:dyDescent="0.2">
      <c r="B24" s="21" t="str">
        <f>Sector_Fuels_ELC!L21</f>
        <v>FTE-ELCNUC</v>
      </c>
      <c r="C24" t="str">
        <f>RIGHT(D24,3)</f>
        <v>NUC</v>
      </c>
      <c r="D24" s="21" t="str">
        <f>L8</f>
        <v>ELCNUC</v>
      </c>
      <c r="E24" s="12"/>
      <c r="F24" s="12"/>
      <c r="G24" s="63">
        <v>1</v>
      </c>
      <c r="H24" s="64">
        <v>30</v>
      </c>
      <c r="J24" s="97"/>
      <c r="K24" s="97"/>
      <c r="L24" s="97" t="str">
        <f t="shared" si="1"/>
        <v>FTE-ELCWIN</v>
      </c>
      <c r="M24" s="98" t="str">
        <f t="shared" si="2"/>
        <v>Sector Fuel Technology Existing Electricity Plants Wind energy</v>
      </c>
      <c r="N24" s="97" t="str">
        <f t="shared" si="3"/>
        <v>PJ</v>
      </c>
      <c r="O24" s="97" t="str">
        <f t="shared" si="4"/>
        <v>PJa</v>
      </c>
      <c r="P24" s="97"/>
      <c r="Q24" s="97"/>
      <c r="R24" s="97"/>
    </row>
    <row r="25" spans="2:18" x14ac:dyDescent="0.2">
      <c r="B25" s="21" t="str">
        <f>Sector_Fuels_ELC!L22</f>
        <v>FTE-ELCBIO</v>
      </c>
      <c r="C25" t="str">
        <f>RIGHT(D25,3)</f>
        <v>BIO</v>
      </c>
      <c r="D25" s="21" t="str">
        <f>L9</f>
        <v>ELCBIO</v>
      </c>
      <c r="E25" s="12"/>
      <c r="F25" s="12"/>
      <c r="G25" s="63">
        <v>1</v>
      </c>
      <c r="H25" s="64">
        <v>30</v>
      </c>
      <c r="J25" s="97"/>
      <c r="K25" s="97"/>
      <c r="L25" s="97" t="str">
        <f t="shared" si="1"/>
        <v>FTE-ELCSOL</v>
      </c>
      <c r="M25" s="98" t="str">
        <f t="shared" si="2"/>
        <v>Sector Fuel Technology Existing Electricity Plants Solar energy</v>
      </c>
      <c r="N25" s="97" t="str">
        <f t="shared" si="3"/>
        <v>PJ</v>
      </c>
      <c r="O25" s="97" t="str">
        <f t="shared" si="4"/>
        <v>PJa</v>
      </c>
      <c r="P25" s="97"/>
      <c r="Q25" s="97"/>
      <c r="R25" s="97"/>
    </row>
    <row r="26" spans="2:18" x14ac:dyDescent="0.2">
      <c r="B26" s="21" t="str">
        <f>Sector_Fuels_ELC!L23</f>
        <v>FTE-ELCHYD</v>
      </c>
      <c r="C26" t="str">
        <f>RIGHT(D26,3)</f>
        <v>HYD</v>
      </c>
      <c r="D26" s="21" t="str">
        <f>L10</f>
        <v>ELCHYD</v>
      </c>
      <c r="E26" s="12"/>
      <c r="F26" s="12"/>
      <c r="G26" s="63">
        <v>1</v>
      </c>
      <c r="H26" s="64">
        <v>30</v>
      </c>
    </row>
    <row r="27" spans="2:18" x14ac:dyDescent="0.2">
      <c r="B27" s="21" t="str">
        <f>Sector_Fuels_ELC!L24</f>
        <v>FTE-ELCWIN</v>
      </c>
      <c r="C27" t="str">
        <f>RIGHT(D27,3)</f>
        <v>WIN</v>
      </c>
      <c r="D27" s="21" t="str">
        <f>L11</f>
        <v>ELCWIN</v>
      </c>
      <c r="E27" s="12"/>
      <c r="F27" s="12"/>
      <c r="G27" s="63">
        <v>1</v>
      </c>
      <c r="H27" s="64">
        <v>30</v>
      </c>
    </row>
    <row r="28" spans="2:18" x14ac:dyDescent="0.2">
      <c r="B28" s="21" t="str">
        <f>Sector_Fuels_ELC!L25</f>
        <v>FTE-ELCSOL</v>
      </c>
      <c r="C28" t="str">
        <f>RIGHT(D28,3)</f>
        <v>SOL</v>
      </c>
      <c r="D28" s="21" t="str">
        <f>L12</f>
        <v>ELCSOL</v>
      </c>
      <c r="E28" s="12"/>
      <c r="F28" s="12"/>
      <c r="G28" s="63">
        <v>1</v>
      </c>
      <c r="H28" s="64">
        <v>30</v>
      </c>
    </row>
    <row r="32" spans="2:18" x14ac:dyDescent="0.2">
      <c r="B32" s="44"/>
      <c r="C32" s="1" t="s">
        <v>144</v>
      </c>
    </row>
    <row r="33" spans="2:3" x14ac:dyDescent="0.2">
      <c r="B33" s="60"/>
      <c r="C33" s="1" t="s">
        <v>145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65536"/>
  <sheetViews>
    <sheetView tabSelected="1" zoomScale="90" zoomScaleNormal="90" workbookViewId="0">
      <selection activeCell="D31" sqref="D31"/>
    </sheetView>
  </sheetViews>
  <sheetFormatPr defaultColWidth="8.85546875" defaultRowHeight="12.75" x14ac:dyDescent="0.2"/>
  <cols>
    <col min="1" max="1" width="3" style="21" customWidth="1"/>
    <col min="2" max="2" width="16.42578125" style="21" customWidth="1"/>
    <col min="3" max="3" width="12.140625" style="21" bestFit="1" customWidth="1"/>
    <col min="4" max="4" width="11.28515625" style="21" bestFit="1" customWidth="1"/>
    <col min="5" max="6" width="12" style="21" bestFit="1" customWidth="1"/>
    <col min="7" max="8" width="13" style="21" bestFit="1" customWidth="1"/>
    <col min="9" max="9" width="8.85546875" style="21" bestFit="1" customWidth="1"/>
    <col min="10" max="10" width="8.140625" style="21" bestFit="1" customWidth="1"/>
    <col min="11" max="11" width="10" style="21" bestFit="1" customWidth="1"/>
    <col min="12" max="12" width="9.85546875" style="21" bestFit="1" customWidth="1"/>
    <col min="13" max="14" width="8.85546875" style="21" bestFit="1" customWidth="1"/>
    <col min="15" max="15" width="15" style="21" bestFit="1" customWidth="1"/>
    <col min="16" max="16" width="13.28515625" style="21" bestFit="1" customWidth="1"/>
    <col min="17" max="17" width="2" style="21" bestFit="1" customWidth="1"/>
    <col min="18" max="18" width="13.5703125" style="21" bestFit="1" customWidth="1"/>
    <col min="19" max="19" width="2.140625" style="21" bestFit="1" customWidth="1"/>
    <col min="20" max="20" width="12.42578125" bestFit="1" customWidth="1"/>
    <col min="21" max="21" width="7.42578125" bestFit="1" customWidth="1"/>
    <col min="22" max="22" width="14.5703125" bestFit="1" customWidth="1"/>
    <col min="23" max="23" width="43.28515625" bestFit="1" customWidth="1"/>
    <col min="24" max="24" width="6.28515625" customWidth="1"/>
    <col min="25" max="25" width="11.42578125" bestFit="1" customWidth="1"/>
    <col min="26" max="26" width="13.5703125" bestFit="1" customWidth="1"/>
    <col min="27" max="27" width="15" bestFit="1" customWidth="1"/>
    <col min="28" max="28" width="8.140625" bestFit="1" customWidth="1"/>
    <col min="29" max="16384" width="8.85546875" style="21"/>
  </cols>
  <sheetData>
    <row r="1" spans="2:28" ht="30" x14ac:dyDescent="0.25">
      <c r="B1" s="20" t="s">
        <v>65</v>
      </c>
      <c r="C1" s="8" t="s">
        <v>67</v>
      </c>
      <c r="D1" s="8" t="s">
        <v>97</v>
      </c>
      <c r="E1" s="20" t="s">
        <v>23</v>
      </c>
      <c r="F1" s="20" t="s">
        <v>99</v>
      </c>
      <c r="G1" s="20" t="s">
        <v>69</v>
      </c>
      <c r="H1" s="20" t="s">
        <v>83</v>
      </c>
    </row>
    <row r="2" spans="2:28" ht="31.5" x14ac:dyDescent="0.25">
      <c r="B2" s="10" t="str">
        <f>'EB1'!B6</f>
        <v>ELC</v>
      </c>
      <c r="C2" s="18" t="str">
        <f>'EB1'!C6</f>
        <v>Electricity Plants</v>
      </c>
      <c r="D2" s="18" t="s">
        <v>100</v>
      </c>
      <c r="E2" s="10" t="str">
        <f>'EB1'!Z2</f>
        <v>PJ</v>
      </c>
      <c r="F2" s="10" t="s">
        <v>101</v>
      </c>
      <c r="G2" s="10" t="str">
        <f>'EB1'!Y2</f>
        <v>M€2005</v>
      </c>
      <c r="H2" s="10" t="s">
        <v>84</v>
      </c>
      <c r="T2" s="92" t="s">
        <v>14</v>
      </c>
      <c r="U2" s="92"/>
      <c r="V2" s="93"/>
      <c r="W2" s="93"/>
      <c r="X2" s="93"/>
      <c r="Y2" s="93"/>
      <c r="Z2" s="93"/>
      <c r="AA2" s="93"/>
      <c r="AB2" s="93"/>
    </row>
    <row r="3" spans="2:28" x14ac:dyDescent="0.2">
      <c r="T3" s="94" t="s">
        <v>7</v>
      </c>
      <c r="U3" s="95" t="s">
        <v>30</v>
      </c>
      <c r="V3" s="94" t="s">
        <v>0</v>
      </c>
      <c r="W3" s="94" t="s">
        <v>3</v>
      </c>
      <c r="X3" s="94" t="s">
        <v>4</v>
      </c>
      <c r="Y3" s="94" t="s">
        <v>8</v>
      </c>
      <c r="Z3" s="94" t="s">
        <v>9</v>
      </c>
      <c r="AA3" s="94" t="s">
        <v>10</v>
      </c>
      <c r="AB3" s="94" t="s">
        <v>12</v>
      </c>
    </row>
    <row r="4" spans="2:28" ht="30.75" thickBot="1" x14ac:dyDescent="0.3">
      <c r="B4" s="25" t="s">
        <v>107</v>
      </c>
      <c r="C4" s="8" t="s">
        <v>114</v>
      </c>
      <c r="D4" s="8" t="s">
        <v>108</v>
      </c>
      <c r="E4" s="8" t="s">
        <v>109</v>
      </c>
      <c r="F4" s="8" t="s">
        <v>122</v>
      </c>
      <c r="H4" s="9"/>
      <c r="K4" s="9"/>
      <c r="T4" s="96" t="s">
        <v>35</v>
      </c>
      <c r="U4" s="96" t="s">
        <v>31</v>
      </c>
      <c r="V4" s="96" t="s">
        <v>26</v>
      </c>
      <c r="W4" s="96" t="s">
        <v>27</v>
      </c>
      <c r="X4" s="96" t="s">
        <v>4</v>
      </c>
      <c r="Y4" s="96" t="s">
        <v>38</v>
      </c>
      <c r="Z4" s="96" t="s">
        <v>39</v>
      </c>
      <c r="AA4" s="96" t="s">
        <v>28</v>
      </c>
      <c r="AB4" s="96" t="s">
        <v>29</v>
      </c>
    </row>
    <row r="5" spans="2:28" ht="15.75" x14ac:dyDescent="0.25">
      <c r="B5" s="24" t="s">
        <v>113</v>
      </c>
      <c r="C5" s="10" t="s">
        <v>112</v>
      </c>
      <c r="D5" s="10" t="s">
        <v>111</v>
      </c>
      <c r="E5" s="10" t="s">
        <v>110</v>
      </c>
      <c r="F5" s="10" t="s">
        <v>85</v>
      </c>
      <c r="H5" s="9"/>
      <c r="K5" s="9"/>
      <c r="T5" s="93" t="s">
        <v>64</v>
      </c>
      <c r="U5" s="97"/>
      <c r="V5" s="93" t="str">
        <f>'EB1'!$U$2</f>
        <v>ELC</v>
      </c>
      <c r="W5" s="93" t="str">
        <f>'EB1'!$U$3</f>
        <v>Electricity</v>
      </c>
      <c r="X5" s="93" t="str">
        <f>$E$2</f>
        <v>PJ</v>
      </c>
      <c r="Y5" s="93"/>
      <c r="Z5" s="93" t="s">
        <v>116</v>
      </c>
      <c r="AA5" s="93"/>
      <c r="AB5" s="93" t="s">
        <v>48</v>
      </c>
    </row>
    <row r="6" spans="2:28" x14ac:dyDescent="0.2">
      <c r="T6" s="97" t="s">
        <v>88</v>
      </c>
      <c r="U6" s="97"/>
      <c r="V6" s="97" t="str">
        <f>$B$2&amp;'EB1'!$C$15</f>
        <v>ELCCO2</v>
      </c>
      <c r="W6" s="97" t="str">
        <f>$C$2&amp;" "&amp;'EB1'!$C$16</f>
        <v>Electricity Plants Carbon dioxide</v>
      </c>
      <c r="X6" s="97" t="str">
        <f>'EB1'!$AA$2</f>
        <v>kt</v>
      </c>
      <c r="Y6" s="97"/>
      <c r="Z6" s="97"/>
      <c r="AA6" s="97"/>
      <c r="AB6" s="97"/>
    </row>
    <row r="7" spans="2:28" x14ac:dyDescent="0.2">
      <c r="T7" s="2"/>
      <c r="U7" s="2"/>
    </row>
    <row r="8" spans="2:28" x14ac:dyDescent="0.2">
      <c r="D8" s="4" t="s">
        <v>13</v>
      </c>
      <c r="E8" s="4"/>
      <c r="F8" s="4"/>
      <c r="G8" s="4"/>
      <c r="H8" s="4"/>
      <c r="I8" s="4"/>
      <c r="L8" s="5"/>
      <c r="M8" s="5"/>
      <c r="N8" s="3"/>
      <c r="T8" s="92" t="s">
        <v>15</v>
      </c>
      <c r="U8" s="92"/>
      <c r="V8" s="93"/>
      <c r="W8" s="93"/>
      <c r="X8" s="93"/>
      <c r="Y8" s="93"/>
      <c r="Z8" s="93"/>
      <c r="AA8" s="93"/>
      <c r="AB8" s="93"/>
    </row>
    <row r="9" spans="2:28" ht="12.75" customHeight="1" x14ac:dyDescent="0.2">
      <c r="B9" s="17" t="s">
        <v>1</v>
      </c>
      <c r="C9" s="17" t="s">
        <v>5</v>
      </c>
      <c r="D9" s="17" t="s">
        <v>6</v>
      </c>
      <c r="E9" s="17" t="s">
        <v>164</v>
      </c>
      <c r="F9" s="17" t="s">
        <v>165</v>
      </c>
      <c r="G9" s="71" t="s">
        <v>123</v>
      </c>
      <c r="H9" s="71" t="s">
        <v>148</v>
      </c>
      <c r="I9" s="71" t="s">
        <v>73</v>
      </c>
      <c r="J9" s="71" t="s">
        <v>167</v>
      </c>
      <c r="K9" s="71" t="s">
        <v>162</v>
      </c>
      <c r="L9" s="71" t="s">
        <v>72</v>
      </c>
      <c r="M9" s="71" t="s">
        <v>103</v>
      </c>
      <c r="N9" s="71" t="s">
        <v>70</v>
      </c>
      <c r="O9" s="71" t="s">
        <v>161</v>
      </c>
      <c r="P9" s="71" t="s">
        <v>118</v>
      </c>
      <c r="Q9" s="23"/>
      <c r="R9" s="88" t="s">
        <v>115</v>
      </c>
      <c r="S9" s="27"/>
      <c r="T9" s="94" t="s">
        <v>11</v>
      </c>
      <c r="U9" s="95" t="s">
        <v>30</v>
      </c>
      <c r="V9" s="94" t="s">
        <v>1</v>
      </c>
      <c r="W9" s="94" t="s">
        <v>2</v>
      </c>
      <c r="X9" s="94" t="s">
        <v>16</v>
      </c>
      <c r="Y9" s="94" t="s">
        <v>17</v>
      </c>
      <c r="Z9" s="94" t="s">
        <v>18</v>
      </c>
      <c r="AA9" s="94" t="s">
        <v>19</v>
      </c>
      <c r="AB9" s="94" t="s">
        <v>20</v>
      </c>
    </row>
    <row r="10" spans="2:28" ht="23.25" thickBot="1" x14ac:dyDescent="0.25">
      <c r="B10" s="15" t="s">
        <v>37</v>
      </c>
      <c r="C10" s="15" t="s">
        <v>32</v>
      </c>
      <c r="D10" s="15" t="s">
        <v>33</v>
      </c>
      <c r="E10" s="15" t="s">
        <v>166</v>
      </c>
      <c r="F10" s="15" t="s">
        <v>166</v>
      </c>
      <c r="G10" s="15" t="s">
        <v>34</v>
      </c>
      <c r="H10" s="77" t="s">
        <v>120</v>
      </c>
      <c r="I10" s="15" t="s">
        <v>75</v>
      </c>
      <c r="J10" s="77" t="s">
        <v>82</v>
      </c>
      <c r="K10" s="15" t="s">
        <v>163</v>
      </c>
      <c r="L10" s="15" t="s">
        <v>81</v>
      </c>
      <c r="M10" s="15" t="s">
        <v>105</v>
      </c>
      <c r="N10" s="15" t="s">
        <v>160</v>
      </c>
      <c r="O10" s="15" t="s">
        <v>106</v>
      </c>
      <c r="P10" s="15" t="s">
        <v>119</v>
      </c>
      <c r="R10" s="30" t="s">
        <v>104</v>
      </c>
      <c r="S10" s="28"/>
      <c r="T10" s="96" t="s">
        <v>36</v>
      </c>
      <c r="U10" s="96" t="s">
        <v>31</v>
      </c>
      <c r="V10" s="96" t="s">
        <v>21</v>
      </c>
      <c r="W10" s="96" t="s">
        <v>22</v>
      </c>
      <c r="X10" s="96" t="s">
        <v>23</v>
      </c>
      <c r="Y10" s="96" t="s">
        <v>24</v>
      </c>
      <c r="Z10" s="96" t="s">
        <v>41</v>
      </c>
      <c r="AA10" s="96" t="s">
        <v>40</v>
      </c>
      <c r="AB10" s="96" t="s">
        <v>25</v>
      </c>
    </row>
    <row r="11" spans="2:28" ht="13.5" thickBot="1" x14ac:dyDescent="0.25">
      <c r="B11" s="14" t="s">
        <v>76</v>
      </c>
      <c r="C11" s="14"/>
      <c r="D11" s="14"/>
      <c r="E11" s="13" t="str">
        <f>$F$2</f>
        <v>GW</v>
      </c>
      <c r="F11" s="13" t="str">
        <f>$F$2</f>
        <v>GW</v>
      </c>
      <c r="G11" s="13" t="str">
        <f>$F$2</f>
        <v>GW</v>
      </c>
      <c r="H11" s="72" t="str">
        <f>$F$2</f>
        <v>GW</v>
      </c>
      <c r="I11" s="13"/>
      <c r="J11" s="72"/>
      <c r="K11" s="13" t="str">
        <f>$G$2&amp;"/"&amp;$F$2</f>
        <v>M€2005/GW</v>
      </c>
      <c r="L11" s="13" t="str">
        <f>$G$2&amp;"/"&amp;$F$2</f>
        <v>M€2005/GW</v>
      </c>
      <c r="M11" s="13" t="str">
        <f>$G$2&amp;"/"&amp;$E$2</f>
        <v>M€2005/PJ</v>
      </c>
      <c r="N11" s="13" t="s">
        <v>77</v>
      </c>
      <c r="O11" s="13" t="str">
        <f>$E$2&amp;"/"&amp;$F$2</f>
        <v>PJ/GW</v>
      </c>
      <c r="P11" s="13"/>
      <c r="R11" s="89" t="s">
        <v>121</v>
      </c>
      <c r="S11" s="28"/>
      <c r="T11" s="96" t="s">
        <v>71</v>
      </c>
      <c r="U11" s="96"/>
      <c r="V11" s="96"/>
      <c r="W11" s="96"/>
      <c r="X11" s="96"/>
      <c r="Y11" s="96"/>
      <c r="Z11" s="96"/>
      <c r="AA11" s="96"/>
      <c r="AB11" s="96"/>
    </row>
    <row r="12" spans="2:28" x14ac:dyDescent="0.2">
      <c r="B12" s="21" t="str">
        <f t="shared" ref="B12:B19" si="0">V12</f>
        <v>ELCTECOA00</v>
      </c>
      <c r="C12" s="21" t="str">
        <f>$B$2&amp;RIGHT(Sector_Fuels_ELC!L5,3)</f>
        <v>ELCCOA</v>
      </c>
      <c r="D12" s="21" t="str">
        <f t="shared" ref="D12:D19" si="1">$V$5</f>
        <v>ELC</v>
      </c>
      <c r="G12" s="86">
        <f>(-'EB1'!$D$6*$I$12)/($J$12*$O$12)</f>
        <v>89.372771062763022</v>
      </c>
      <c r="H12" s="61"/>
      <c r="I12" s="67">
        <v>0.38400000000000001</v>
      </c>
      <c r="J12" s="67">
        <v>0.85</v>
      </c>
      <c r="K12" s="66"/>
      <c r="L12" s="67">
        <v>40</v>
      </c>
      <c r="M12" s="67">
        <v>0.5</v>
      </c>
      <c r="N12" s="66">
        <v>30</v>
      </c>
      <c r="O12" s="66">
        <v>31.536000000000001</v>
      </c>
      <c r="P12" s="67">
        <v>1</v>
      </c>
      <c r="R12" s="26">
        <f t="shared" ref="R12:R19" si="2">G12*$J12*$O12</f>
        <v>2395.6907520000004</v>
      </c>
      <c r="S12" s="87"/>
      <c r="T12" s="97" t="s">
        <v>102</v>
      </c>
      <c r="U12" s="97"/>
      <c r="V12" s="97" t="str">
        <f>$B$2&amp;$C$5&amp;$H$2&amp;RIGHT(Sector_Fuels_ELC!$L$5,3)&amp;"00"</f>
        <v>ELCTECOA00</v>
      </c>
      <c r="W12" s="98" t="str">
        <f>$D$2&amp;" "&amp;$H$1&amp;RIGHT(V12,2)&amp;" - "&amp;'EB1'!D3</f>
        <v>Power Plants Existing00 - Solid Fuels</v>
      </c>
      <c r="X12" s="97" t="str">
        <f t="shared" ref="X12:X19" si="3">$E$2</f>
        <v>PJ</v>
      </c>
      <c r="Y12" s="97" t="str">
        <f t="shared" ref="Y12:Y19" si="4">$F$2</f>
        <v>GW</v>
      </c>
      <c r="Z12" s="93" t="s">
        <v>117</v>
      </c>
      <c r="AA12" s="97"/>
      <c r="AB12" s="97"/>
    </row>
    <row r="13" spans="2:28" x14ac:dyDescent="0.2">
      <c r="B13" s="21" t="str">
        <f t="shared" si="0"/>
        <v>ELCTEGAS00</v>
      </c>
      <c r="C13" s="21" t="str">
        <f>$B$2&amp;RIGHT(Sector_Fuels_ELC!L6,3)</f>
        <v>ELCGAS</v>
      </c>
      <c r="D13" s="21" t="str">
        <f t="shared" si="1"/>
        <v>ELC</v>
      </c>
      <c r="G13" s="86">
        <f>(-'EB1'!$E$6*$I$13)/($J$13*$O$13)</f>
        <v>41.450437783149788</v>
      </c>
      <c r="H13" s="61"/>
      <c r="I13" s="67">
        <v>0.4929</v>
      </c>
      <c r="J13" s="67">
        <v>0.85</v>
      </c>
      <c r="K13" s="66"/>
      <c r="L13" s="67">
        <v>35</v>
      </c>
      <c r="M13" s="67">
        <v>0.4</v>
      </c>
      <c r="N13" s="66">
        <v>20</v>
      </c>
      <c r="O13" s="66">
        <v>31.536000000000001</v>
      </c>
      <c r="P13" s="67">
        <v>1</v>
      </c>
      <c r="R13" s="26">
        <f t="shared" si="2"/>
        <v>1111.1038550399999</v>
      </c>
      <c r="S13" s="29"/>
      <c r="T13" s="97"/>
      <c r="U13" s="97"/>
      <c r="V13" s="97" t="str">
        <f>$B$2&amp;$C$5&amp;$H$2&amp;RIGHT(Sector_Fuels_ELC!$L$6,3)&amp;"00"</f>
        <v>ELCTEGAS00</v>
      </c>
      <c r="W13" s="98" t="str">
        <f>$D$2&amp;" "&amp;$H$1&amp;RIGHT(V13,2)&amp;" - "&amp;'EB1'!E3</f>
        <v>Power Plants Existing00 - Natural Gas</v>
      </c>
      <c r="X13" s="97" t="str">
        <f t="shared" si="3"/>
        <v>PJ</v>
      </c>
      <c r="Y13" s="97" t="str">
        <f t="shared" si="4"/>
        <v>GW</v>
      </c>
      <c r="Z13" s="97"/>
      <c r="AA13" s="97"/>
      <c r="AB13" s="97"/>
    </row>
    <row r="14" spans="2:28" x14ac:dyDescent="0.2">
      <c r="B14" s="21" t="str">
        <f t="shared" si="0"/>
        <v>ELCTEOIL00</v>
      </c>
      <c r="C14" s="21" t="str">
        <f>$B$2&amp;RIGHT(Sector_Fuels_ELC!L7,3)</f>
        <v>ELCOIL</v>
      </c>
      <c r="D14" s="21" t="str">
        <f t="shared" si="1"/>
        <v>ELC</v>
      </c>
      <c r="G14" s="86">
        <f>((-SUM('EB1'!G6:M6)*$I$14)/($J$14*$O$14))</f>
        <v>5.710602448742053</v>
      </c>
      <c r="H14" s="61"/>
      <c r="I14" s="67">
        <v>0.25</v>
      </c>
      <c r="J14" s="67">
        <v>0.85</v>
      </c>
      <c r="K14" s="66"/>
      <c r="L14" s="67">
        <v>20</v>
      </c>
      <c r="M14" s="67">
        <v>0.2</v>
      </c>
      <c r="N14" s="66">
        <v>30</v>
      </c>
      <c r="O14" s="66">
        <v>31.536000000000001</v>
      </c>
      <c r="P14" s="67">
        <v>1</v>
      </c>
      <c r="R14" s="26">
        <f t="shared" si="2"/>
        <v>153.07612499999996</v>
      </c>
      <c r="S14" s="29"/>
      <c r="T14" s="97"/>
      <c r="U14" s="97"/>
      <c r="V14" s="97" t="str">
        <f>$B$2&amp;$C$5&amp;$H$2&amp;RIGHT(Sector_Fuels_ELC!$L$7,3)&amp;"00"</f>
        <v>ELCTEOIL00</v>
      </c>
      <c r="W14" s="98" t="str">
        <f>$D$2&amp;" "&amp;$H$1&amp;RIGHT(V14,2)&amp;" - "&amp;'EB1'!F3</f>
        <v>Power Plants Existing00 - Crude oil</v>
      </c>
      <c r="X14" s="97" t="str">
        <f t="shared" si="3"/>
        <v>PJ</v>
      </c>
      <c r="Y14" s="97" t="str">
        <f t="shared" si="4"/>
        <v>GW</v>
      </c>
      <c r="Z14" s="97"/>
      <c r="AA14" s="97"/>
      <c r="AB14" s="97"/>
    </row>
    <row r="15" spans="2:28" x14ac:dyDescent="0.2">
      <c r="B15" s="21" t="str">
        <f t="shared" si="0"/>
        <v>ELCNENUC00</v>
      </c>
      <c r="C15" s="21" t="str">
        <f>$B$2&amp;RIGHT(Sector_Fuels_ELC!L8,3)</f>
        <v>ELCNUC</v>
      </c>
      <c r="D15" s="21" t="str">
        <f t="shared" si="1"/>
        <v>ELC</v>
      </c>
      <c r="G15" s="86">
        <f>(-'EB1'!$N$6*$I$15)/($J$15*$O$15)</f>
        <v>51.797945205479458</v>
      </c>
      <c r="H15" s="86">
        <f>G15</f>
        <v>51.797945205479458</v>
      </c>
      <c r="I15" s="66">
        <v>0.33</v>
      </c>
      <c r="J15" s="67">
        <v>0.9</v>
      </c>
      <c r="K15" s="66"/>
      <c r="L15" s="67">
        <v>38</v>
      </c>
      <c r="M15" s="66">
        <v>0.27</v>
      </c>
      <c r="N15" s="43"/>
      <c r="O15" s="66">
        <v>31.536000000000001</v>
      </c>
      <c r="P15" s="67">
        <v>1</v>
      </c>
      <c r="R15" s="26">
        <f t="shared" si="2"/>
        <v>1470.1500000000003</v>
      </c>
      <c r="S15" s="29"/>
      <c r="T15" s="97"/>
      <c r="U15" s="97"/>
      <c r="V15" s="97" t="str">
        <f>$B$2&amp;$F$5&amp;$H$2&amp;RIGHT(Sector_Fuels_ELC!$L$8,3)&amp;"00"</f>
        <v>ELCNENUC00</v>
      </c>
      <c r="W15" s="97" t="str">
        <f>$D$2&amp;" "&amp;$H$1&amp;RIGHT(V15,2)&amp;" - "&amp;'EB1'!N3</f>
        <v>Power Plants Existing00 - Nuclear Energy</v>
      </c>
      <c r="X15" s="97" t="str">
        <f t="shared" si="3"/>
        <v>PJ</v>
      </c>
      <c r="Y15" s="97" t="str">
        <f t="shared" si="4"/>
        <v>GW</v>
      </c>
      <c r="Z15" s="93" t="s">
        <v>117</v>
      </c>
      <c r="AA15" s="97"/>
      <c r="AB15" s="97"/>
    </row>
    <row r="16" spans="2:28" x14ac:dyDescent="0.2">
      <c r="B16" s="21" t="str">
        <f t="shared" si="0"/>
        <v>ELCREBIO00</v>
      </c>
      <c r="C16" s="21" t="str">
        <f>$B$2&amp;RIGHT(Sector_Fuels_ELC!L9,3)</f>
        <v>ELCBIO</v>
      </c>
      <c r="D16" s="21" t="str">
        <f t="shared" si="1"/>
        <v>ELC</v>
      </c>
      <c r="G16" s="86">
        <f>(-'EB1'!$O$6*$I$16)/($J$16*$O$16)</f>
        <v>7.8023302733384083</v>
      </c>
      <c r="H16" s="61"/>
      <c r="I16" s="65">
        <v>0.28000000000000003</v>
      </c>
      <c r="J16" s="65">
        <v>0.6</v>
      </c>
      <c r="K16" s="65"/>
      <c r="L16" s="43">
        <v>25</v>
      </c>
      <c r="M16" s="65">
        <v>0.35</v>
      </c>
      <c r="N16" s="43">
        <v>25</v>
      </c>
      <c r="O16" s="66">
        <v>31.536000000000001</v>
      </c>
      <c r="P16" s="67">
        <v>1</v>
      </c>
      <c r="R16" s="26">
        <f t="shared" si="2"/>
        <v>147.63257250000001</v>
      </c>
      <c r="S16" s="29"/>
      <c r="T16" s="97"/>
      <c r="U16" s="97"/>
      <c r="V16" s="97" t="str">
        <f>$B$2&amp;$E$5&amp;$H$2&amp;RIGHT(Sector_Fuels_ELC!$L$9,3)&amp;"00"</f>
        <v>ELCREBIO00</v>
      </c>
      <c r="W16" s="97" t="str">
        <f>$D$2&amp;" "&amp;$H$1&amp;RIGHT(V16,2)&amp;" - "&amp;'EB1'!O3</f>
        <v>Power Plants Existing00 - Biomass</v>
      </c>
      <c r="X16" s="97" t="str">
        <f t="shared" si="3"/>
        <v>PJ</v>
      </c>
      <c r="Y16" s="97" t="str">
        <f t="shared" si="4"/>
        <v>GW</v>
      </c>
      <c r="Z16" s="93"/>
      <c r="AA16" s="97"/>
      <c r="AB16" s="97"/>
    </row>
    <row r="17" spans="2:28" x14ac:dyDescent="0.2">
      <c r="B17" s="21" t="str">
        <f t="shared" si="0"/>
        <v>ELCREHYD00</v>
      </c>
      <c r="C17" s="21" t="str">
        <f>$B$2&amp;RIGHT(Sector_Fuels_ELC!L10,3)</f>
        <v>ELCHYD</v>
      </c>
      <c r="D17" s="21" t="str">
        <f t="shared" si="1"/>
        <v>ELC</v>
      </c>
      <c r="E17" s="43">
        <v>15</v>
      </c>
      <c r="F17" s="43">
        <v>16</v>
      </c>
      <c r="G17" s="90"/>
      <c r="H17" s="91"/>
      <c r="I17" s="65">
        <v>1</v>
      </c>
      <c r="J17" s="65">
        <v>0.5</v>
      </c>
      <c r="K17" s="65"/>
      <c r="L17" s="43">
        <v>50</v>
      </c>
      <c r="M17" s="65">
        <v>2</v>
      </c>
      <c r="N17" s="43">
        <v>50</v>
      </c>
      <c r="O17" s="66">
        <v>31.536000000000001</v>
      </c>
      <c r="P17" s="67">
        <v>0.5</v>
      </c>
      <c r="R17" s="26">
        <f>(E17+F17)*$J17*$O17</f>
        <v>488.80799999999999</v>
      </c>
      <c r="S17" s="29"/>
      <c r="T17" s="97"/>
      <c r="U17" s="97"/>
      <c r="V17" s="97" t="str">
        <f>$B$2&amp;$E$5&amp;$H$2&amp;RIGHT(Sector_Fuels_ELC!$L$10,3)&amp;"00"</f>
        <v>ELCREHYD00</v>
      </c>
      <c r="W17" s="97" t="str">
        <f>$D$2&amp;" "&amp;$H$1&amp;RIGHT(V17,2)&amp;" - "&amp;'EB1'!P3</f>
        <v>Power Plants Existing00 - Hydro power</v>
      </c>
      <c r="X17" s="97" t="str">
        <f t="shared" si="3"/>
        <v>PJ</v>
      </c>
      <c r="Y17" s="97" t="str">
        <f t="shared" si="4"/>
        <v>GW</v>
      </c>
      <c r="Z17" s="97"/>
      <c r="AA17" s="97"/>
      <c r="AB17" s="97"/>
    </row>
    <row r="18" spans="2:28" x14ac:dyDescent="0.2">
      <c r="B18" s="21" t="str">
        <f t="shared" si="0"/>
        <v>ELCREWIN00</v>
      </c>
      <c r="C18" s="21" t="str">
        <f>$B$2&amp;RIGHT(Sector_Fuels_ELC!L11,3)</f>
        <v>ELCWIN</v>
      </c>
      <c r="D18" s="21" t="str">
        <f t="shared" si="1"/>
        <v>ELC</v>
      </c>
      <c r="G18" s="86">
        <f>(-'EB1'!$Q$6*$I$18)/($J$18*$O$18)</f>
        <v>23.908866057838662</v>
      </c>
      <c r="H18" s="61"/>
      <c r="I18" s="65">
        <v>1</v>
      </c>
      <c r="J18" s="65">
        <v>0.35</v>
      </c>
      <c r="K18" s="65"/>
      <c r="L18" s="43">
        <v>35</v>
      </c>
      <c r="M18" s="65">
        <v>0.5</v>
      </c>
      <c r="N18" s="43">
        <v>20</v>
      </c>
      <c r="O18" s="66">
        <v>31.536000000000001</v>
      </c>
      <c r="P18" s="67">
        <v>0.3</v>
      </c>
      <c r="R18" s="26">
        <f t="shared" si="2"/>
        <v>263.8965</v>
      </c>
      <c r="S18" s="29"/>
      <c r="T18" s="97"/>
      <c r="U18" s="97"/>
      <c r="V18" s="97" t="str">
        <f>$B$2&amp;$E$5&amp;$H$2&amp;RIGHT(Sector_Fuels_ELC!$L$11,3)&amp;"00"</f>
        <v>ELCREWIN00</v>
      </c>
      <c r="W18" s="97" t="str">
        <f>$D$2&amp;" "&amp;$H$1&amp;RIGHT(V18,2)&amp;" - "&amp;'EB1'!Q3</f>
        <v>Power Plants Existing00 - Wind energy</v>
      </c>
      <c r="X18" s="97" t="str">
        <f t="shared" si="3"/>
        <v>PJ</v>
      </c>
      <c r="Y18" s="97" t="str">
        <f t="shared" si="4"/>
        <v>GW</v>
      </c>
      <c r="Z18" s="97"/>
      <c r="AA18" s="97"/>
      <c r="AB18" s="97"/>
    </row>
    <row r="19" spans="2:28" x14ac:dyDescent="0.2">
      <c r="B19" s="21" t="str">
        <f t="shared" si="0"/>
        <v>ELCRESOL00</v>
      </c>
      <c r="C19" s="21" t="str">
        <f>$B$2&amp;RIGHT(Sector_Fuels_ELC!L12,3)</f>
        <v>ELCSOL</v>
      </c>
      <c r="D19" s="21" t="str">
        <f t="shared" si="1"/>
        <v>ELC</v>
      </c>
      <c r="G19" s="86">
        <f>(-'EB1'!$R$6*$I$19)/($J$19*$O$19)</f>
        <v>7.1875528496533061</v>
      </c>
      <c r="H19" s="61"/>
      <c r="I19" s="65">
        <v>1</v>
      </c>
      <c r="J19" s="65">
        <v>0.3</v>
      </c>
      <c r="K19" s="65"/>
      <c r="L19" s="43">
        <v>60</v>
      </c>
      <c r="M19" s="65"/>
      <c r="N19" s="43">
        <v>15</v>
      </c>
      <c r="O19" s="66">
        <v>31.536000000000001</v>
      </c>
      <c r="P19" s="67">
        <v>0.2</v>
      </c>
      <c r="R19" s="26">
        <f t="shared" si="2"/>
        <v>68</v>
      </c>
      <c r="S19" s="29"/>
      <c r="T19" s="97"/>
      <c r="U19" s="97"/>
      <c r="V19" s="97" t="str">
        <f>$B$2&amp;$E$5&amp;$H$2&amp;RIGHT(Sector_Fuels_ELC!$L$12,3)&amp;"00"</f>
        <v>ELCRESOL00</v>
      </c>
      <c r="W19" s="97" t="str">
        <f>$D$2&amp;" "&amp;$H$1&amp;RIGHT(V19,2)&amp;" - "&amp;'EB1'!R3</f>
        <v>Power Plants Existing00 - Solar energy</v>
      </c>
      <c r="X19" s="97" t="str">
        <f t="shared" si="3"/>
        <v>PJ</v>
      </c>
      <c r="Y19" s="97" t="str">
        <f t="shared" si="4"/>
        <v>GW</v>
      </c>
      <c r="Z19" s="97"/>
      <c r="AA19" s="97"/>
      <c r="AB19" s="97"/>
    </row>
    <row r="21" spans="2:28" x14ac:dyDescent="0.2">
      <c r="R21" s="85"/>
    </row>
    <row r="22" spans="2:28" x14ac:dyDescent="0.2">
      <c r="R22" s="85"/>
    </row>
    <row r="23" spans="2:28" x14ac:dyDescent="0.2">
      <c r="B23" s="44"/>
      <c r="C23" s="1" t="s">
        <v>168</v>
      </c>
      <c r="R23" s="85"/>
    </row>
    <row r="24" spans="2:28" x14ac:dyDescent="0.2">
      <c r="B24" s="60"/>
      <c r="C24" s="1" t="s">
        <v>145</v>
      </c>
      <c r="R24" s="85"/>
    </row>
    <row r="25" spans="2:28" x14ac:dyDescent="0.2">
      <c r="R25" s="85"/>
    </row>
    <row r="27" spans="2:28" x14ac:dyDescent="0.2">
      <c r="C27" s="21" t="s">
        <v>169</v>
      </c>
    </row>
    <row r="65536" spans="19:19" x14ac:dyDescent="0.2">
      <c r="S65536" s="2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24"/>
  <sheetViews>
    <sheetView workbookViewId="0">
      <selection activeCell="E35" sqref="E35"/>
    </sheetView>
  </sheetViews>
  <sheetFormatPr defaultRowHeight="12.75" x14ac:dyDescent="0.2"/>
  <cols>
    <col min="2" max="2" width="14.42578125" customWidth="1"/>
  </cols>
  <sheetData>
    <row r="3" spans="2:10" ht="17.45" customHeight="1" x14ac:dyDescent="0.25">
      <c r="B3" s="34" t="s">
        <v>150</v>
      </c>
      <c r="C3" s="34"/>
      <c r="D3" s="34"/>
      <c r="E3" s="34"/>
      <c r="F3" s="34"/>
      <c r="G3" s="34"/>
      <c r="H3" s="34"/>
      <c r="I3" s="34"/>
      <c r="J3" s="34"/>
    </row>
    <row r="4" spans="2:10" ht="17.45" customHeight="1" x14ac:dyDescent="0.25">
      <c r="B4" s="35"/>
      <c r="C4" s="35"/>
      <c r="D4" s="35"/>
      <c r="E4" s="35"/>
      <c r="F4" s="35"/>
      <c r="G4" s="35"/>
    </row>
    <row r="5" spans="2:10" ht="18" x14ac:dyDescent="0.25">
      <c r="B5" s="32" t="s">
        <v>138</v>
      </c>
      <c r="C5" s="33"/>
    </row>
    <row r="6" spans="2:10" ht="13.5" thickBot="1" x14ac:dyDescent="0.25">
      <c r="B6" s="37" t="s">
        <v>0</v>
      </c>
      <c r="C6" s="37" t="str">
        <f>Sector_Fuels_ELC!$L$5</f>
        <v>ELCCOA</v>
      </c>
      <c r="D6" s="37" t="str">
        <f>Sector_Fuels_ELC!$L$6</f>
        <v>ELCGAS</v>
      </c>
      <c r="E6" s="37" t="str">
        <f>Sector_Fuels_ELC!$L$7</f>
        <v>ELCOIL</v>
      </c>
      <c r="F6" s="36"/>
      <c r="G6" s="36"/>
      <c r="H6" s="1"/>
    </row>
    <row r="7" spans="2:10" ht="13.5" thickBot="1" x14ac:dyDescent="0.25">
      <c r="B7" s="14" t="s">
        <v>76</v>
      </c>
      <c r="C7" s="14" t="s">
        <v>143</v>
      </c>
      <c r="D7" s="14" t="s">
        <v>143</v>
      </c>
      <c r="E7" s="14" t="s">
        <v>143</v>
      </c>
      <c r="F7" s="79"/>
      <c r="G7" s="79"/>
      <c r="H7" s="1"/>
    </row>
    <row r="8" spans="2:10" x14ac:dyDescent="0.2">
      <c r="B8" s="21" t="str">
        <f>Con_ELC!$V$6</f>
        <v>ELCCO2</v>
      </c>
      <c r="C8" s="65">
        <v>95</v>
      </c>
      <c r="D8" s="65">
        <v>56.1</v>
      </c>
      <c r="E8" s="65">
        <v>76.400000000000006</v>
      </c>
      <c r="F8" s="80"/>
      <c r="G8" s="80"/>
      <c r="H8" s="1"/>
    </row>
    <row r="23" spans="2:3" x14ac:dyDescent="0.2">
      <c r="B23" s="44"/>
      <c r="C23" s="1" t="s">
        <v>144</v>
      </c>
    </row>
    <row r="24" spans="2:3" x14ac:dyDescent="0.2">
      <c r="B24" s="60"/>
      <c r="C24" s="1" t="s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EB1</vt:lpstr>
      <vt:lpstr>RES_ELC</vt:lpstr>
      <vt:lpstr>Sector_Fuels_ELC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Alessia Elia</cp:lastModifiedBy>
  <cp:lastPrinted>2004-11-16T14:57:57Z</cp:lastPrinted>
  <dcterms:created xsi:type="dcterms:W3CDTF">2000-12-13T15:53:11Z</dcterms:created>
  <dcterms:modified xsi:type="dcterms:W3CDTF">2025-04-16T12:24:12Z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937297999858856</vt:r8>
  </property>
</Properties>
</file>