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nsights&amp;Resultados" sheetId="2" r:id="rId6"/>
    <sheet state="visible" name="Análisis Descriptivo" sheetId="3" r:id="rId7"/>
    <sheet state="visible" name="Dashboard de rentabilidad" sheetId="4" r:id="rId8"/>
    <sheet state="visible" name="Base de datos transacciones" sheetId="5" r:id="rId9"/>
    <sheet state="visible" name="Lista" sheetId="6" r:id="rId10"/>
    <sheet state="visible" name="Maestro de productos 2025" sheetId="7" r:id="rId11"/>
    <sheet state="visible" name="Maestro de productos 2024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<sst xmlns="http://schemas.openxmlformats.org/spreadsheetml/2006/main" count="1234" uniqueCount="263">
  <si>
    <t>ID</t>
  </si>
  <si>
    <t>Producto</t>
  </si>
  <si>
    <t>PV</t>
  </si>
  <si>
    <t>CV</t>
  </si>
  <si>
    <t>MU</t>
  </si>
  <si>
    <t>TotalCV</t>
  </si>
  <si>
    <t>Selector de año:</t>
  </si>
  <si>
    <t>IT</t>
  </si>
  <si>
    <t>UB</t>
  </si>
  <si>
    <t>IT(semanal)</t>
  </si>
  <si>
    <t>VariacionWoW(I)</t>
  </si>
  <si>
    <t>MGB(semanal)</t>
  </si>
  <si>
    <t>UB(semanal)</t>
  </si>
  <si>
    <t>VariacionWoW(UB)</t>
  </si>
  <si>
    <t>IT(mensual)</t>
  </si>
  <si>
    <t>VariacionMoM(I)</t>
  </si>
  <si>
    <t>MGB(mensual)</t>
  </si>
  <si>
    <t>UB(mensual)</t>
  </si>
  <si>
    <t>VariacionMoM(UB)</t>
  </si>
  <si>
    <t>IT(anual)</t>
  </si>
  <si>
    <t>VariacionYoY(I)</t>
  </si>
  <si>
    <t>MGB(anual)</t>
  </si>
  <si>
    <t>UB(anual)</t>
  </si>
  <si>
    <t>MGB</t>
  </si>
  <si>
    <t>VariacionYoY(UB)</t>
  </si>
  <si>
    <t>GO</t>
  </si>
  <si>
    <t>UO</t>
  </si>
  <si>
    <t>Impuestos (1%RESICO)</t>
  </si>
  <si>
    <t>UN</t>
  </si>
  <si>
    <t>CantidadVendida</t>
  </si>
  <si>
    <t xml:space="preserve">Desperdicio(tasa) </t>
  </si>
  <si>
    <t>MixVtasQ</t>
  </si>
  <si>
    <t>MixVtas$</t>
  </si>
  <si>
    <t>SMV</t>
  </si>
  <si>
    <t>Galletas chocochips</t>
  </si>
  <si>
    <t>Brownie triple chocolate</t>
  </si>
  <si>
    <t>Galletas danesas</t>
  </si>
  <si>
    <t>Mini cheesecake</t>
  </si>
  <si>
    <t>Muffins de yogurt</t>
  </si>
  <si>
    <t>¿Qué productos mantuvieron la RENTABILIDAD del negocio?</t>
  </si>
  <si>
    <r>
      <rPr>
        <rFont val="Quicksand"/>
        <color theme="1"/>
        <sz val="12.0"/>
      </rPr>
      <t xml:space="preserve">El </t>
    </r>
    <r>
      <rPr>
        <rFont val="Quicksand"/>
        <b/>
        <color theme="1"/>
        <sz val="12.0"/>
      </rPr>
      <t>62.5%</t>
    </r>
    <r>
      <rPr>
        <rFont val="Quicksand"/>
        <color theme="1"/>
        <sz val="12.0"/>
      </rPr>
      <t xml:space="preserve"> de los productos ofertados generan poco más del </t>
    </r>
    <r>
      <rPr>
        <rFont val="Quicksand"/>
        <b/>
        <color theme="1"/>
        <sz val="12.0"/>
      </rPr>
      <t>80%</t>
    </r>
    <r>
      <rPr>
        <rFont val="Quicksand"/>
        <color theme="1"/>
        <sz val="12.0"/>
      </rPr>
      <t xml:space="preserve"> de </t>
    </r>
    <r>
      <rPr>
        <rFont val="Quicksand"/>
        <b/>
        <color theme="1"/>
        <sz val="12.0"/>
      </rPr>
      <t>Utilidad Bruta</t>
    </r>
    <r>
      <rPr>
        <rFont val="Quicksand"/>
        <color theme="1"/>
        <sz val="12.0"/>
      </rPr>
      <t>.</t>
    </r>
  </si>
  <si>
    <r>
      <rPr>
        <rFont val="Quicksand"/>
        <b/>
        <color theme="1"/>
        <sz val="12.0"/>
      </rPr>
      <t xml:space="preserve">Negocio estable </t>
    </r>
    <r>
      <rPr>
        <rFont val="Quicksand"/>
        <color theme="1"/>
        <sz val="12.0"/>
      </rPr>
      <t xml:space="preserve">por la </t>
    </r>
    <r>
      <rPr>
        <rFont val="Quicksand"/>
        <b/>
        <color theme="1"/>
        <sz val="12.0"/>
      </rPr>
      <t>alta rentabilidad</t>
    </r>
    <r>
      <rPr>
        <rFont val="Quicksand"/>
        <color theme="1"/>
        <sz val="12.0"/>
      </rPr>
      <t xml:space="preserve"> de los </t>
    </r>
    <r>
      <rPr>
        <rFont val="Quicksand"/>
        <b/>
        <color theme="1"/>
        <sz val="12.0"/>
      </rPr>
      <t>productos estrella</t>
    </r>
    <r>
      <rPr>
        <rFont val="Quicksand"/>
        <color theme="1"/>
        <sz val="12.0"/>
      </rPr>
      <t>, utilidades diversificadas, esto reduce el riesgo operativo pero se pueden optimizar los productos que</t>
    </r>
  </si>
  <si>
    <t>aportan menos valor. Requiere atender ciertas áreas para que así siga en el futuro, estas son:</t>
  </si>
  <si>
    <r>
      <rPr>
        <rFont val="Quicksand"/>
        <color theme="1"/>
        <sz val="12.0"/>
      </rPr>
      <t xml:space="preserve">       - La </t>
    </r>
    <r>
      <rPr>
        <rFont val="Quicksand"/>
        <b/>
        <color theme="1"/>
        <sz val="12.0"/>
      </rPr>
      <t>merma</t>
    </r>
    <r>
      <rPr>
        <rFont val="Quicksand"/>
        <color theme="1"/>
        <sz val="12.0"/>
      </rPr>
      <t xml:space="preserve"> de los productos más vendidos, ya que esto afecta mucho el MGB.</t>
    </r>
  </si>
  <si>
    <r>
      <rPr>
        <rFont val="Quicksand"/>
        <color theme="1"/>
        <sz val="12.0"/>
      </rPr>
      <t xml:space="preserve">       - Implementar </t>
    </r>
    <r>
      <rPr>
        <rFont val="Quicksand"/>
        <b/>
        <color theme="1"/>
        <sz val="12.0"/>
      </rPr>
      <t>estrategias</t>
    </r>
    <r>
      <rPr>
        <rFont val="Quicksand"/>
        <color theme="1"/>
        <sz val="12.0"/>
      </rPr>
      <t xml:space="preserve"> con los productos </t>
    </r>
    <r>
      <rPr>
        <rFont val="Quicksand"/>
        <b/>
        <color theme="1"/>
        <sz val="12.0"/>
      </rPr>
      <t>menos vendidos</t>
    </r>
    <r>
      <rPr>
        <rFont val="Quicksand"/>
        <color theme="1"/>
        <sz val="12.0"/>
      </rPr>
      <t xml:space="preserve"> y con un</t>
    </r>
    <r>
      <rPr>
        <rFont val="Quicksand"/>
        <b/>
        <color theme="1"/>
        <sz val="12.0"/>
      </rPr>
      <t xml:space="preserve"> MGB bajo</t>
    </r>
    <r>
      <rPr>
        <rFont val="Quicksand"/>
        <color theme="1"/>
        <sz val="12.0"/>
      </rPr>
      <t>.</t>
    </r>
  </si>
  <si>
    <t xml:space="preserve">       - Establecer acciones para lograr subir el PV, ya que el CV subió más del triple en su mayoría.</t>
  </si>
  <si>
    <t xml:space="preserve">          </t>
  </si>
  <si>
    <r>
      <rPr>
        <rFont val="Quicksand"/>
        <b/>
        <i/>
        <color rgb="FF000000"/>
        <sz val="16.0"/>
      </rPr>
      <t xml:space="preserve">¿El nulo aumento de casi todos los PRECIOS DE VENTA fue la única causa de la disminución del </t>
    </r>
    <r>
      <rPr>
        <rFont val="Quicksand"/>
        <b/>
        <i/>
        <color rgb="FF000000"/>
        <sz val="16.0"/>
      </rPr>
      <t>MARGEN DE GANANCIA BRUTO</t>
    </r>
    <r>
      <rPr>
        <rFont val="Quicksand"/>
        <b/>
        <i/>
        <color rgb="FF000000"/>
        <sz val="16.0"/>
      </rPr>
      <t>?</t>
    </r>
  </si>
  <si>
    <t>Escenario B (PV 2025 VS CV 2024)</t>
  </si>
  <si>
    <t>PV (promedio)</t>
  </si>
  <si>
    <t>Real 2025</t>
  </si>
  <si>
    <t>CV (promedio)</t>
  </si>
  <si>
    <t>Conclusión</t>
  </si>
  <si>
    <t>El análisis de sensibilidad actúa como validación matemática de la Causa Raíz</t>
  </si>
  <si>
    <t>En el Escenario B (PV 2025 VS CV 2024, se puede comprobar que la estructura</t>
  </si>
  <si>
    <t>operativa era sana, pero el entorno macroeconómico externo y aunado a la</t>
  </si>
  <si>
    <t>falta de acoplar los precios de venta fueron los detonantes de la caída del</t>
  </si>
  <si>
    <t>MGB.</t>
  </si>
  <si>
    <r>
      <rPr>
        <rFont val="Quicksand"/>
        <color theme="1"/>
        <sz val="12.0"/>
      </rPr>
      <t>Teniendo en cuenta que el</t>
    </r>
    <r>
      <rPr>
        <rFont val="Quicksand"/>
        <b/>
        <color theme="1"/>
        <sz val="12.0"/>
      </rPr>
      <t xml:space="preserve"> 62.5% </t>
    </r>
    <r>
      <rPr>
        <rFont val="Quicksand"/>
        <color theme="1"/>
        <sz val="12.0"/>
      </rPr>
      <t xml:space="preserve">de los productos conforman más del </t>
    </r>
    <r>
      <rPr>
        <rFont val="Quicksand"/>
        <b/>
        <color theme="1"/>
        <sz val="12.0"/>
      </rPr>
      <t>80% de la Utilidad Bruta</t>
    </r>
    <r>
      <rPr>
        <rFont val="Quicksand"/>
        <color theme="1"/>
        <sz val="12.0"/>
      </rPr>
      <t xml:space="preserve"> (ver gráficos de arriba), se tendrá que hacer una reestructuración                                </t>
    </r>
  </si>
  <si>
    <r>
      <rPr>
        <rFont val="Quicksand"/>
        <color theme="1"/>
        <sz val="12.0"/>
      </rPr>
      <t>de dichos productos para</t>
    </r>
    <r>
      <rPr>
        <rFont val="Quicksand"/>
        <b/>
        <color theme="1"/>
        <sz val="12.0"/>
      </rPr>
      <t xml:space="preserve"> aumentar </t>
    </r>
    <r>
      <rPr>
        <rFont val="Quicksand"/>
        <color theme="1"/>
        <sz val="12.0"/>
      </rPr>
      <t xml:space="preserve">el </t>
    </r>
    <r>
      <rPr>
        <rFont val="Quicksand"/>
        <b/>
        <color theme="1"/>
        <sz val="12.0"/>
      </rPr>
      <t>PV</t>
    </r>
    <r>
      <rPr>
        <rFont val="Quicksand"/>
        <color theme="1"/>
        <sz val="12.0"/>
      </rPr>
      <t xml:space="preserve">, </t>
    </r>
    <r>
      <rPr>
        <rFont val="Quicksand"/>
        <b/>
        <color theme="1"/>
        <sz val="12.0"/>
      </rPr>
      <t>bajar mermas</t>
    </r>
    <r>
      <rPr>
        <rFont val="Quicksand"/>
        <color theme="1"/>
        <sz val="12.0"/>
      </rPr>
      <t xml:space="preserve">, así como también se deberá buscar distintos </t>
    </r>
    <r>
      <rPr>
        <rFont val="Quicksand"/>
        <b/>
        <color theme="1"/>
        <sz val="12.0"/>
      </rPr>
      <t>proveedores</t>
    </r>
    <r>
      <rPr>
        <rFont val="Quicksand"/>
        <color theme="1"/>
        <sz val="12.0"/>
      </rPr>
      <t xml:space="preserve"> con el fin de mejorar costos y</t>
    </r>
    <r>
      <rPr>
        <rFont val="Quicksand"/>
        <b/>
        <color theme="1"/>
        <sz val="12.0"/>
      </rPr>
      <t xml:space="preserve"> subir</t>
    </r>
    <r>
      <rPr>
        <rFont val="Quicksand"/>
        <color theme="1"/>
        <sz val="12.0"/>
      </rPr>
      <t xml:space="preserve"> el </t>
    </r>
    <r>
      <rPr>
        <rFont val="Quicksand"/>
        <b/>
        <color theme="1"/>
        <sz val="12.0"/>
      </rPr>
      <t>MGB</t>
    </r>
    <r>
      <rPr>
        <rFont val="Quicksand"/>
        <color theme="1"/>
        <sz val="12.0"/>
      </rPr>
      <t>.</t>
    </r>
  </si>
  <si>
    <r>
      <rPr>
        <rFont val="Quicksand"/>
        <color theme="1"/>
        <sz val="12.0"/>
      </rPr>
      <t xml:space="preserve">Aunado a esto, hubo una </t>
    </r>
    <r>
      <rPr>
        <rFont val="Quicksand"/>
        <b/>
        <color theme="1"/>
        <sz val="12.0"/>
      </rPr>
      <t>disminución</t>
    </r>
    <r>
      <rPr>
        <rFont val="Quicksand"/>
        <color theme="1"/>
        <sz val="12.0"/>
      </rPr>
      <t xml:space="preserve"> del </t>
    </r>
    <r>
      <rPr>
        <rFont val="Quicksand"/>
        <b/>
        <color theme="1"/>
        <sz val="12.0"/>
      </rPr>
      <t>8.41%</t>
    </r>
    <r>
      <rPr>
        <rFont val="Quicksand"/>
        <color theme="1"/>
        <sz val="12.0"/>
      </rPr>
      <t xml:space="preserve"> en el </t>
    </r>
    <r>
      <rPr>
        <rFont val="Quicksand"/>
        <b/>
        <color theme="1"/>
        <sz val="12.0"/>
      </rPr>
      <t>volumen de ventas</t>
    </r>
    <r>
      <rPr>
        <rFont val="Quicksand"/>
        <color theme="1"/>
        <sz val="12.0"/>
      </rPr>
      <t xml:space="preserve"> y aunque tuvo un impacto en la caída del MGB, no fue tan grande la repercusión como sí</t>
    </r>
  </si>
  <si>
    <t>lo fue la inflación.</t>
  </si>
  <si>
    <r>
      <rPr>
        <rFont val="Quicksand"/>
        <b/>
        <i/>
        <color rgb="FF000000"/>
        <sz val="16.0"/>
      </rPr>
      <t xml:space="preserve">¿Qué recetas necesitan </t>
    </r>
    <r>
      <rPr>
        <rFont val="Quicksand"/>
        <b/>
        <i/>
        <color rgb="FF000000"/>
        <sz val="16.0"/>
      </rPr>
      <t>REESTRUTURACIÓN</t>
    </r>
    <r>
      <rPr>
        <rFont val="Quicksand"/>
        <b/>
        <i/>
        <color rgb="FF000000"/>
        <sz val="16.0"/>
      </rPr>
      <t>?</t>
    </r>
  </si>
  <si>
    <t xml:space="preserve"> </t>
  </si>
  <si>
    <t>Estatus</t>
  </si>
  <si>
    <t>Acciones</t>
  </si>
  <si>
    <t>ID-3824</t>
  </si>
  <si>
    <t>Abastecimiento estratégico, evitar que no haya inventario ni bajar la calidad</t>
  </si>
  <si>
    <t>ID-3825</t>
  </si>
  <si>
    <t>Reingeniería del producto para reducir la merma operativa. Aumentar ventas.</t>
  </si>
  <si>
    <t>ID-3826</t>
  </si>
  <si>
    <t>Abastecimiento estratégico. Aumentar ventas.</t>
  </si>
  <si>
    <t>ID-3827</t>
  </si>
  <si>
    <t>Abastecimiento estratégico. Aumentar ventas y mejorar proceso de producción.</t>
  </si>
  <si>
    <t>ID-3828</t>
  </si>
  <si>
    <t>Abastecimiento estratégico</t>
  </si>
  <si>
    <t>ID-3829</t>
  </si>
  <si>
    <t>Urge incrementar volumen de ventas / ingeniería de valor.</t>
  </si>
  <si>
    <t>ID-3830</t>
  </si>
  <si>
    <t>ID-3831</t>
  </si>
  <si>
    <r>
      <rPr>
        <rFont val="Quicksand"/>
        <color theme="1"/>
        <sz val="12.0"/>
      </rPr>
      <t xml:space="preserve">El producto </t>
    </r>
    <r>
      <rPr>
        <rFont val="Quicksand"/>
        <b/>
        <color theme="1"/>
        <sz val="12.0"/>
      </rPr>
      <t>ID-3827</t>
    </r>
    <r>
      <rPr>
        <rFont val="Quicksand"/>
        <color theme="1"/>
        <sz val="12.0"/>
      </rPr>
      <t xml:space="preserve"> necesita</t>
    </r>
    <r>
      <rPr>
        <rFont val="Quicksand"/>
        <b/>
        <color theme="1"/>
        <sz val="12.0"/>
      </rPr>
      <t xml:space="preserve"> atención urgente</t>
    </r>
    <r>
      <rPr>
        <rFont val="Quicksand"/>
        <color theme="1"/>
        <sz val="12.0"/>
      </rPr>
      <t>, ya que al pertenecer al 62.5% anteriomente descrito, es de los productos que contribuyen más al MGB, y se consideran</t>
    </r>
  </si>
  <si>
    <r>
      <rPr>
        <rFont val="Quicksand"/>
        <b/>
        <color theme="1"/>
        <sz val="12.0"/>
      </rPr>
      <t>parte esencial</t>
    </r>
    <r>
      <rPr>
        <rFont val="Quicksand"/>
        <color theme="1"/>
        <sz val="12.0"/>
      </rPr>
      <t xml:space="preserve"> de la </t>
    </r>
    <r>
      <rPr>
        <rFont val="Quicksand"/>
        <b/>
        <color theme="1"/>
        <sz val="12.0"/>
      </rPr>
      <t>rentabilidad</t>
    </r>
    <r>
      <rPr>
        <rFont val="Quicksand"/>
        <color theme="1"/>
        <sz val="12.0"/>
      </rPr>
      <t xml:space="preserve"> del negocio pero los costos y tiempos de producción necesitan atención urgente. Tomando estos puntos a consideración, se llegó a la</t>
    </r>
  </si>
  <si>
    <t xml:space="preserve">conclusión que un abastecimiento estratégico bastará para llegar a la meta en los 3 meses programados. </t>
  </si>
  <si>
    <r>
      <rPr>
        <rFont val="Quicksand"/>
        <color theme="1"/>
        <sz val="12.0"/>
      </rPr>
      <t xml:space="preserve">Los dos productos con el </t>
    </r>
    <r>
      <rPr>
        <rFont val="Quicksand"/>
        <b/>
        <color theme="1"/>
        <sz val="12.0"/>
      </rPr>
      <t>peor rendimiento</t>
    </r>
    <r>
      <rPr>
        <rFont val="Quicksand"/>
        <color theme="1"/>
        <sz val="12.0"/>
      </rPr>
      <t xml:space="preserve">, ID3829 e ID-3830, mantuvieron un </t>
    </r>
    <r>
      <rPr>
        <rFont val="Quicksand"/>
        <b/>
        <color theme="1"/>
        <sz val="12.0"/>
      </rPr>
      <t xml:space="preserve">margen unitario más saludable </t>
    </r>
    <r>
      <rPr>
        <rFont val="Quicksand"/>
        <color theme="1"/>
        <sz val="12.0"/>
      </rPr>
      <t xml:space="preserve">pero no fue suficiente, sus </t>
    </r>
    <r>
      <rPr>
        <rFont val="Quicksand"/>
        <b/>
        <color theme="1"/>
        <sz val="12.0"/>
      </rPr>
      <t xml:space="preserve">ventas bajaron </t>
    </r>
    <r>
      <rPr>
        <rFont val="Quicksand"/>
        <color theme="1"/>
        <sz val="12.0"/>
      </rPr>
      <t>drásticamente,</t>
    </r>
  </si>
  <si>
    <r>
      <rPr>
        <rFont val="Quicksand"/>
        <color theme="1"/>
        <sz val="12.0"/>
      </rPr>
      <t xml:space="preserve">ya que la </t>
    </r>
    <r>
      <rPr>
        <rFont val="Quicksand"/>
        <b/>
        <color theme="1"/>
        <sz val="12.0"/>
      </rPr>
      <t>relación costo-producto</t>
    </r>
    <r>
      <rPr>
        <rFont val="Quicksand"/>
        <color theme="1"/>
        <sz val="12.0"/>
      </rPr>
      <t xml:space="preserve"> no convencieron a los clientes.</t>
    </r>
  </si>
  <si>
    <t>CONCLUSIÓN</t>
  </si>
  <si>
    <r>
      <rPr>
        <rFont val="Quicksand"/>
        <color theme="1"/>
        <sz val="12.0"/>
      </rPr>
      <t xml:space="preserve">Se concluye que la </t>
    </r>
    <r>
      <rPr>
        <rFont val="Quicksand"/>
        <b/>
        <color theme="1"/>
        <sz val="12.0"/>
      </rPr>
      <t xml:space="preserve">erosión </t>
    </r>
    <r>
      <rPr>
        <rFont val="Quicksand"/>
        <color theme="1"/>
        <sz val="12.0"/>
      </rPr>
      <t>del 3.69% anual del Margen de Ganancia Bruta, se debió a la</t>
    </r>
    <r>
      <rPr>
        <rFont val="Quicksand"/>
        <b/>
        <color theme="1"/>
        <sz val="12.0"/>
      </rPr>
      <t xml:space="preserve"> inflación acelerada</t>
    </r>
    <r>
      <rPr>
        <rFont val="Quicksand"/>
        <color theme="1"/>
        <sz val="12.0"/>
      </rPr>
      <t xml:space="preserve"> sobre los </t>
    </r>
    <r>
      <rPr>
        <rFont val="Quicksand"/>
        <b/>
        <color theme="1"/>
        <sz val="12.0"/>
      </rPr>
      <t>insumos</t>
    </r>
    <r>
      <rPr>
        <rFont val="Quicksand"/>
        <color theme="1"/>
        <sz val="12.0"/>
      </rPr>
      <t xml:space="preserve"> y el </t>
    </r>
    <r>
      <rPr>
        <rFont val="Quicksand"/>
        <b/>
        <color theme="1"/>
        <sz val="12.0"/>
      </rPr>
      <t>bajo aumento</t>
    </r>
    <r>
      <rPr>
        <rFont val="Quicksand"/>
        <color theme="1"/>
        <sz val="12.0"/>
      </rPr>
      <t xml:space="preserve"> y desigualdad de los</t>
    </r>
  </si>
  <si>
    <r>
      <rPr>
        <rFont val="Quicksand"/>
        <b/>
        <color theme="1"/>
        <sz val="12.0"/>
      </rPr>
      <t>precios de venta</t>
    </r>
    <r>
      <rPr>
        <rFont val="Quicksand"/>
        <color theme="1"/>
        <sz val="12.0"/>
      </rPr>
      <t xml:space="preserve"> de cada producto; no existió una deficiencia operativa.</t>
    </r>
  </si>
  <si>
    <t>HALLAZGOS CLAVE</t>
  </si>
  <si>
    <r>
      <rPr>
        <rFont val="Quicksand"/>
        <color theme="1"/>
        <sz val="12.0"/>
      </rPr>
      <t>- El</t>
    </r>
    <r>
      <rPr>
        <rFont val="Quicksand"/>
        <b/>
        <color theme="1"/>
        <sz val="12.0"/>
      </rPr>
      <t xml:space="preserve"> negocio</t>
    </r>
    <r>
      <rPr>
        <rFont val="Quicksand"/>
        <color theme="1"/>
        <sz val="12.0"/>
      </rPr>
      <t xml:space="preserve"> es </t>
    </r>
    <r>
      <rPr>
        <rFont val="Quicksand"/>
        <b/>
        <color theme="1"/>
        <sz val="12.0"/>
      </rPr>
      <t>estable</t>
    </r>
    <r>
      <rPr>
        <rFont val="Quicksand"/>
        <color theme="1"/>
        <sz val="12.0"/>
      </rPr>
      <t>, bastaba con</t>
    </r>
    <r>
      <rPr>
        <rFont val="Quicksand"/>
        <b/>
        <color theme="1"/>
        <sz val="12.0"/>
      </rPr>
      <t xml:space="preserve"> subir </t>
    </r>
    <r>
      <rPr>
        <rFont val="Quicksand"/>
        <color theme="1"/>
        <sz val="12.0"/>
      </rPr>
      <t xml:space="preserve">un </t>
    </r>
    <r>
      <rPr>
        <rFont val="Quicksand"/>
        <b/>
        <color theme="1"/>
        <sz val="12.0"/>
      </rPr>
      <t>10%</t>
    </r>
    <r>
      <rPr>
        <rFont val="Quicksand"/>
        <color theme="1"/>
        <sz val="12.0"/>
      </rPr>
      <t xml:space="preserve"> el</t>
    </r>
    <r>
      <rPr>
        <rFont val="Quicksand"/>
        <b/>
        <color theme="1"/>
        <sz val="12.0"/>
      </rPr>
      <t xml:space="preserve"> precio de venta</t>
    </r>
    <r>
      <rPr>
        <rFont val="Quicksand"/>
        <color theme="1"/>
        <sz val="12.0"/>
      </rPr>
      <t xml:space="preserve"> para mantener el </t>
    </r>
    <r>
      <rPr>
        <rFont val="Quicksand"/>
        <b/>
        <color theme="1"/>
        <sz val="12.0"/>
      </rPr>
      <t>MGB</t>
    </r>
    <r>
      <rPr>
        <rFont val="Quicksand"/>
        <color theme="1"/>
        <sz val="12.0"/>
      </rPr>
      <t xml:space="preserve"> por arriba del</t>
    </r>
    <r>
      <rPr>
        <rFont val="Quicksand"/>
        <b/>
        <color theme="1"/>
        <sz val="12.0"/>
      </rPr>
      <t xml:space="preserve"> 60%</t>
    </r>
    <r>
      <rPr>
        <rFont val="Quicksand"/>
        <color theme="1"/>
        <sz val="12.0"/>
      </rPr>
      <t>.</t>
    </r>
  </si>
  <si>
    <r>
      <rPr>
        <rFont val="Quicksand"/>
        <color theme="1"/>
        <sz val="12.0"/>
      </rPr>
      <t>- Ya que la</t>
    </r>
    <r>
      <rPr>
        <rFont val="Quicksand"/>
        <b/>
        <color theme="1"/>
        <sz val="12.0"/>
      </rPr>
      <t xml:space="preserve"> utilidad bruta</t>
    </r>
    <r>
      <rPr>
        <rFont val="Quicksand"/>
        <color theme="1"/>
        <sz val="12.0"/>
      </rPr>
      <t xml:space="preserve"> depende del </t>
    </r>
    <r>
      <rPr>
        <rFont val="Quicksand"/>
        <b/>
        <color theme="1"/>
        <sz val="12.0"/>
      </rPr>
      <t xml:space="preserve">62.5% </t>
    </r>
    <r>
      <rPr>
        <rFont val="Quicksand"/>
        <color theme="1"/>
        <sz val="12.0"/>
      </rPr>
      <t>de los productos, se requieren</t>
    </r>
    <r>
      <rPr>
        <rFont val="Quicksand"/>
        <b/>
        <color theme="1"/>
        <sz val="12.0"/>
      </rPr>
      <t xml:space="preserve"> acciones</t>
    </r>
    <r>
      <rPr>
        <rFont val="Quicksand"/>
        <color theme="1"/>
        <sz val="12.0"/>
      </rPr>
      <t xml:space="preserve"> para seguir</t>
    </r>
    <r>
      <rPr>
        <rFont val="Quicksand"/>
        <b/>
        <color theme="1"/>
        <sz val="12.0"/>
      </rPr>
      <t xml:space="preserve"> conservándolos</t>
    </r>
    <r>
      <rPr>
        <rFont val="Quicksand"/>
        <color theme="1"/>
        <sz val="12.0"/>
      </rPr>
      <t xml:space="preserve"> en el catálogo .</t>
    </r>
  </si>
  <si>
    <r>
      <rPr>
        <rFont val="Quicksand"/>
        <color theme="1"/>
        <sz val="12.0"/>
      </rPr>
      <t xml:space="preserve">- Existen dos </t>
    </r>
    <r>
      <rPr>
        <rFont val="Quicksand"/>
        <b/>
        <color theme="1"/>
        <sz val="12.0"/>
      </rPr>
      <t>productos críticos</t>
    </r>
    <r>
      <rPr>
        <rFont val="Quicksand"/>
        <color theme="1"/>
        <sz val="12.0"/>
      </rPr>
      <t>, los cuales se tendrán que</t>
    </r>
    <r>
      <rPr>
        <rFont val="Quicksand"/>
        <b/>
        <color theme="1"/>
        <sz val="12.0"/>
      </rPr>
      <t xml:space="preserve"> reevaluar </t>
    </r>
    <r>
      <rPr>
        <rFont val="Quicksand"/>
        <color theme="1"/>
        <sz val="12.0"/>
      </rPr>
      <t>tanto su preparación como costeo. Con el</t>
    </r>
    <r>
      <rPr>
        <rFont val="Quicksand"/>
        <b/>
        <color theme="1"/>
        <sz val="12.0"/>
      </rPr>
      <t xml:space="preserve"> tiempo</t>
    </r>
    <r>
      <rPr>
        <rFont val="Quicksand"/>
        <color theme="1"/>
        <sz val="12.0"/>
      </rPr>
      <t xml:space="preserve"> se determinará si otorgan </t>
    </r>
    <r>
      <rPr>
        <rFont val="Quicksand"/>
        <b/>
        <color theme="1"/>
        <sz val="12.0"/>
      </rPr>
      <t>solidez</t>
    </r>
    <r>
      <rPr>
        <rFont val="Quicksand"/>
        <color theme="1"/>
        <sz val="12.0"/>
      </rPr>
      <t xml:space="preserve"> al </t>
    </r>
    <r>
      <rPr>
        <rFont val="Quicksand"/>
        <b/>
        <color theme="1"/>
        <sz val="12.0"/>
      </rPr>
      <t>negocio</t>
    </r>
    <r>
      <rPr>
        <rFont val="Quicksand"/>
        <color theme="1"/>
        <sz val="12.0"/>
      </rPr>
      <t>.</t>
    </r>
  </si>
  <si>
    <t>- Algunos requieren un aumento urgente en sus ventas y cabe recalcar que todos los productos necesitan abastecimiento estratégico para seguir siendo rentable.</t>
  </si>
  <si>
    <t>PROPUESTA</t>
  </si>
  <si>
    <r>
      <rPr>
        <rFont val="Quicksand"/>
        <color theme="1"/>
        <sz val="12.0"/>
      </rPr>
      <t xml:space="preserve">Para llegar al </t>
    </r>
    <r>
      <rPr>
        <rFont val="Quicksand"/>
        <b/>
        <color theme="1"/>
        <sz val="12.0"/>
      </rPr>
      <t>cumplimiento</t>
    </r>
    <r>
      <rPr>
        <rFont val="Quicksand"/>
        <color theme="1"/>
        <sz val="12.0"/>
      </rPr>
      <t xml:space="preserve"> de la </t>
    </r>
    <r>
      <rPr>
        <rFont val="Quicksand"/>
        <b/>
        <color theme="1"/>
        <sz val="12.0"/>
      </rPr>
      <t>meta SMART</t>
    </r>
    <r>
      <rPr>
        <rFont val="Quicksand"/>
        <color theme="1"/>
        <sz val="12.0"/>
      </rPr>
      <t xml:space="preserve"> (MGB 65%), no solo bastará</t>
    </r>
    <r>
      <rPr>
        <rFont val="Quicksand"/>
        <b/>
        <color theme="1"/>
        <sz val="12.0"/>
      </rPr>
      <t xml:space="preserve"> incrementar </t>
    </r>
    <r>
      <rPr>
        <rFont val="Quicksand"/>
        <color theme="1"/>
        <sz val="12.0"/>
      </rPr>
      <t xml:space="preserve">el </t>
    </r>
    <r>
      <rPr>
        <rFont val="Quicksand"/>
        <b/>
        <color theme="1"/>
        <sz val="12.0"/>
      </rPr>
      <t>volumen de ventas</t>
    </r>
    <r>
      <rPr>
        <rFont val="Quicksand"/>
        <color theme="1"/>
        <sz val="12.0"/>
      </rPr>
      <t>. Se tendrá un constante</t>
    </r>
    <r>
      <rPr>
        <rFont val="Quicksand"/>
        <b/>
        <color theme="1"/>
        <sz val="12.0"/>
      </rPr>
      <t xml:space="preserve"> monitoreo</t>
    </r>
    <r>
      <rPr>
        <rFont val="Quicksand"/>
        <color theme="1"/>
        <sz val="12.0"/>
      </rPr>
      <t xml:space="preserve"> sobre la</t>
    </r>
    <r>
      <rPr>
        <rFont val="Quicksand"/>
        <b/>
        <color theme="1"/>
        <sz val="12.0"/>
      </rPr>
      <t xml:space="preserve"> merma </t>
    </r>
    <r>
      <rPr>
        <rFont val="Quicksand"/>
        <color theme="1"/>
        <sz val="12.0"/>
      </rPr>
      <t>y el</t>
    </r>
  </si>
  <si>
    <r>
      <rPr>
        <rFont val="Quicksand"/>
        <b/>
        <color theme="1"/>
        <sz val="12.0"/>
      </rPr>
      <t>costo</t>
    </r>
    <r>
      <rPr>
        <rFont val="Quicksand"/>
        <color theme="1"/>
        <sz val="12.0"/>
      </rPr>
      <t xml:space="preserve"> de los</t>
    </r>
    <r>
      <rPr>
        <rFont val="Quicksand"/>
        <b/>
        <color theme="1"/>
        <sz val="12.0"/>
      </rPr>
      <t xml:space="preserve"> insumos</t>
    </r>
    <r>
      <rPr>
        <rFont val="Quicksand"/>
        <color theme="1"/>
        <sz val="12.0"/>
      </rPr>
      <t xml:space="preserve">, cualquier </t>
    </r>
    <r>
      <rPr>
        <rFont val="Quicksand"/>
        <b/>
        <color theme="1"/>
        <sz val="12.0"/>
      </rPr>
      <t>variación inflacionaria</t>
    </r>
    <r>
      <rPr>
        <rFont val="Quicksand"/>
        <color theme="1"/>
        <sz val="12.0"/>
      </rPr>
      <t xml:space="preserve"> deberá reflejarse en el </t>
    </r>
    <r>
      <rPr>
        <rFont val="Quicksand"/>
        <b/>
        <color theme="1"/>
        <sz val="12.0"/>
      </rPr>
      <t xml:space="preserve">precio </t>
    </r>
    <r>
      <rPr>
        <rFont val="Quicksand"/>
        <color theme="1"/>
        <sz val="12.0"/>
      </rPr>
      <t>al consumidor.</t>
    </r>
  </si>
  <si>
    <t>Total</t>
  </si>
  <si>
    <t>Besos de nuez</t>
  </si>
  <si>
    <t>Promedio 2025</t>
  </si>
  <si>
    <t>Promedio 2024</t>
  </si>
  <si>
    <t>% Individual</t>
  </si>
  <si>
    <t>% Acumulado</t>
  </si>
  <si>
    <t>Brownie Triple Chocolate</t>
  </si>
  <si>
    <t>FechaDelPedido</t>
  </si>
  <si>
    <t>Año</t>
  </si>
  <si>
    <t>Mes</t>
  </si>
  <si>
    <t>CantidadNoVendida</t>
  </si>
  <si>
    <t>Perdidas</t>
  </si>
  <si>
    <t>Flan de queso crema</t>
  </si>
  <si>
    <t>Muffin de chocolate</t>
  </si>
  <si>
    <t>CV 2024</t>
  </si>
  <si>
    <t>PV 2025</t>
  </si>
  <si>
    <t>CantidadVendida2025</t>
  </si>
  <si>
    <t>TotalCOGS</t>
  </si>
  <si>
    <t>Todos</t>
  </si>
  <si>
    <t>Presentación</t>
  </si>
  <si>
    <t>Costo</t>
  </si>
  <si>
    <t>Agua</t>
  </si>
  <si>
    <t>Azúcar</t>
  </si>
  <si>
    <t>Azúcar glass</t>
  </si>
  <si>
    <t>Azúcar mascabado</t>
  </si>
  <si>
    <t>Bicarbonato</t>
  </si>
  <si>
    <t>Bolsas celofán</t>
  </si>
  <si>
    <t>Brochetas</t>
  </si>
  <si>
    <t>Capacillos #72</t>
  </si>
  <si>
    <t>Capacillos #73</t>
  </si>
  <si>
    <t>Capacillos #74</t>
  </si>
  <si>
    <t>Charola pavo</t>
  </si>
  <si>
    <t>Chispas de chocolate</t>
  </si>
  <si>
    <t>Cobertura sumbanana</t>
  </si>
  <si>
    <t>Cobertura Turin trad 4032</t>
  </si>
  <si>
    <t>Coco tostado</t>
  </si>
  <si>
    <t>Cocoa</t>
  </si>
  <si>
    <t>Contenedor pay</t>
  </si>
  <si>
    <t>Domos</t>
  </si>
  <si>
    <t>pza</t>
  </si>
  <si>
    <t>Duyas</t>
  </si>
  <si>
    <t>Fécula de maíz</t>
  </si>
  <si>
    <t>Frambuesa</t>
  </si>
  <si>
    <t>Galletas María</t>
  </si>
  <si>
    <t>Harina</t>
  </si>
  <si>
    <t>Huevos</t>
  </si>
  <si>
    <t>Leche</t>
  </si>
  <si>
    <t>Leche condensada</t>
  </si>
  <si>
    <t>Leche en polvo</t>
  </si>
  <si>
    <t>Leche evaporada</t>
  </si>
  <si>
    <t>Levadura seca</t>
  </si>
  <si>
    <t>Ligas</t>
  </si>
  <si>
    <t>Limón</t>
  </si>
  <si>
    <t>Mantequilla</t>
  </si>
  <si>
    <t>Media crema</t>
  </si>
  <si>
    <t>Nuez</t>
  </si>
  <si>
    <t>Papel encerado Empack</t>
  </si>
  <si>
    <t>Papel encerado estrella 5 pliegos</t>
  </si>
  <si>
    <t>Polvo para hornear</t>
  </si>
  <si>
    <t>Queso doble crema</t>
  </si>
  <si>
    <t>Ramekins</t>
  </si>
  <si>
    <t>Sal</t>
  </si>
  <si>
    <t>Tapas</t>
  </si>
  <si>
    <t>Vainilla</t>
  </si>
  <si>
    <t>Yogurt natural</t>
  </si>
  <si>
    <t>IT(Mensual)</t>
  </si>
  <si>
    <t>MGB(Mensual)</t>
  </si>
  <si>
    <t>IT(Anual)</t>
  </si>
  <si>
    <t>VariacioYoY(UB)</t>
  </si>
  <si>
    <t>Análisis financiero de causa raíz sobre la erosión de márgenes en un negocio de repostería artesanal</t>
  </si>
  <si>
    <t xml:space="preserve">Meta SMART: </t>
  </si>
  <si>
    <r>
      <rPr>
        <rFont val="Quicksand"/>
        <color rgb="FFF8F9FA"/>
        <sz val="12.0"/>
      </rPr>
      <t xml:space="preserve">Este negocio no ha tenido actividad desde octubre de 2025 debido a una reubicación geográfica. El objetivo es que durante el </t>
    </r>
    <r>
      <rPr>
        <rFont val="Quicksand"/>
        <b/>
        <color rgb="FFF8F9FA"/>
        <sz val="12.0"/>
      </rPr>
      <t>primer</t>
    </r>
  </si>
  <si>
    <r>
      <rPr>
        <rFont val="Quicksand"/>
        <b/>
        <color rgb="FFF8F9FA"/>
        <sz val="12.0"/>
      </rPr>
      <t>trimestre</t>
    </r>
    <r>
      <rPr>
        <rFont val="Quicksand"/>
        <color rgb="FFF8F9FA"/>
        <sz val="12.0"/>
      </rPr>
      <t xml:space="preserve"> de </t>
    </r>
    <r>
      <rPr>
        <rFont val="Quicksand"/>
        <b/>
        <color rgb="FFF8F9FA"/>
        <sz val="12.0"/>
      </rPr>
      <t>reactivación operativa</t>
    </r>
    <r>
      <rPr>
        <rFont val="Quicksand"/>
        <color rgb="FFF8F9FA"/>
        <sz val="12.0"/>
      </rPr>
      <t xml:space="preserve">, se alcance un </t>
    </r>
    <r>
      <rPr>
        <rFont val="Quicksand"/>
        <b/>
        <color rgb="FFF8F9FA"/>
        <sz val="12.0"/>
      </rPr>
      <t xml:space="preserve">Margen Bruto </t>
    </r>
    <r>
      <rPr>
        <rFont val="Quicksand"/>
        <color rgb="FFF8F9FA"/>
        <sz val="12.0"/>
      </rPr>
      <t xml:space="preserve">mínimo del </t>
    </r>
    <r>
      <rPr>
        <rFont val="Quicksand"/>
        <b/>
        <color rgb="FFF8F9FA"/>
        <sz val="12.0"/>
      </rPr>
      <t>65%</t>
    </r>
    <r>
      <rPr>
        <rFont val="Quicksand"/>
        <color rgb="FFF8F9FA"/>
        <sz val="12.0"/>
      </rPr>
      <t>, esto, a través de una</t>
    </r>
    <r>
      <rPr>
        <rFont val="Quicksand"/>
        <b/>
        <color rgb="FFF8F9FA"/>
        <sz val="12.0"/>
      </rPr>
      <t xml:space="preserve"> reingeniería </t>
    </r>
    <r>
      <rPr>
        <rFont val="Quicksand"/>
        <color rgb="FFF8F9FA"/>
        <sz val="12.0"/>
      </rPr>
      <t>de las</t>
    </r>
    <r>
      <rPr>
        <rFont val="Quicksand"/>
        <b/>
        <color rgb="FFF8F9FA"/>
        <sz val="12.0"/>
      </rPr>
      <t xml:space="preserve"> recetas</t>
    </r>
  </si>
  <si>
    <r>
      <rPr>
        <rFont val="Quicksand"/>
        <color rgb="FFF8F9FA"/>
        <sz val="12.0"/>
      </rPr>
      <t xml:space="preserve">y una </t>
    </r>
    <r>
      <rPr>
        <rFont val="Quicksand"/>
        <b/>
        <color rgb="FFF8F9FA"/>
        <sz val="12.0"/>
      </rPr>
      <t>actualización dinámica</t>
    </r>
    <r>
      <rPr>
        <rFont val="Quicksand"/>
        <color rgb="FFF8F9FA"/>
        <sz val="12.0"/>
      </rPr>
      <t xml:space="preserve"> de los</t>
    </r>
    <r>
      <rPr>
        <rFont val="Quicksand"/>
        <b/>
        <color rgb="FFF8F9FA"/>
        <sz val="12.0"/>
      </rPr>
      <t xml:space="preserve"> precios</t>
    </r>
    <r>
      <rPr>
        <rFont val="Quicksand"/>
        <color rgb="FFF8F9FA"/>
        <sz val="12.0"/>
      </rPr>
      <t>.</t>
    </r>
  </si>
  <si>
    <t>SUM de IT</t>
  </si>
  <si>
    <t>SUM de TotalCV</t>
  </si>
  <si>
    <t>Suma total</t>
  </si>
  <si>
    <t>* El MGB se redujo un 5.86% respecto al año anterior.</t>
  </si>
  <si>
    <r>
      <rPr>
        <rFont val="Quicksand"/>
        <color theme="1"/>
        <sz val="12.0"/>
      </rPr>
      <t xml:space="preserve">Para entender dicha </t>
    </r>
    <r>
      <rPr>
        <rFont val="Quicksand"/>
        <b/>
        <color theme="1"/>
        <sz val="12.0"/>
      </rPr>
      <t>erosión</t>
    </r>
    <r>
      <rPr>
        <rFont val="Quicksand"/>
        <color theme="1"/>
        <sz val="12.0"/>
      </rPr>
      <t xml:space="preserve"> (que en volumen de ventas se tradujo al 8.41%), este análisis pretende responder las siguiente </t>
    </r>
    <r>
      <rPr>
        <rFont val="Quicksand"/>
        <b/>
        <color theme="1"/>
        <sz val="12.0"/>
      </rPr>
      <t>preguntas</t>
    </r>
    <r>
      <rPr>
        <rFont val="Quicksand"/>
        <color theme="1"/>
        <sz val="12.0"/>
      </rPr>
      <t>:</t>
    </r>
  </si>
  <si>
    <r>
      <rPr>
        <rFont val="Quicksand"/>
        <color theme="1"/>
        <sz val="12.0"/>
      </rPr>
      <t>Los</t>
    </r>
    <r>
      <rPr>
        <rFont val="Quicksand"/>
        <b/>
        <color theme="1"/>
        <sz val="12.0"/>
      </rPr>
      <t xml:space="preserve"> análisis cuantitativos</t>
    </r>
    <r>
      <rPr>
        <rFont val="Quicksand"/>
        <color theme="1"/>
        <sz val="12.0"/>
      </rPr>
      <t xml:space="preserve"> llevados a cabo en este proyecto, permiten traducir estas </t>
    </r>
    <r>
      <rPr>
        <rFont val="Quicksand"/>
        <b/>
        <color theme="1"/>
        <sz val="12.0"/>
      </rPr>
      <t>variables numéricas</t>
    </r>
    <r>
      <rPr>
        <rFont val="Quicksand"/>
        <color theme="1"/>
        <sz val="12.0"/>
      </rPr>
      <t xml:space="preserve"> en un </t>
    </r>
    <r>
      <rPr>
        <rFont val="Quicksand"/>
        <b/>
        <color theme="1"/>
        <sz val="12.0"/>
      </rPr>
      <t>panorama estratégico</t>
    </r>
    <r>
      <rPr>
        <rFont val="Quicksand"/>
        <color theme="1"/>
        <sz val="12.0"/>
      </rPr>
      <t>. En seguida se</t>
    </r>
  </si>
  <si>
    <r>
      <rPr>
        <rFont val="Quicksand"/>
        <color theme="1"/>
        <sz val="12.0"/>
      </rPr>
      <t xml:space="preserve">muestra la </t>
    </r>
    <r>
      <rPr>
        <rFont val="Quicksand"/>
        <b/>
        <color theme="1"/>
        <sz val="12.0"/>
      </rPr>
      <t>matriz FODA</t>
    </r>
    <r>
      <rPr>
        <rFont val="Quicksand"/>
        <color theme="1"/>
        <sz val="12.0"/>
      </rPr>
      <t xml:space="preserve">, la cual sintetiza los hallazgos en la base de datos los cuales serán la base para el </t>
    </r>
    <r>
      <rPr>
        <rFont val="Quicksand"/>
        <b/>
        <color theme="1"/>
        <sz val="12.0"/>
      </rPr>
      <t>plan de acción</t>
    </r>
    <r>
      <rPr>
        <rFont val="Quicksand"/>
        <color theme="1"/>
        <sz val="12.0"/>
      </rPr>
      <t xml:space="preserve"> y el </t>
    </r>
    <r>
      <rPr>
        <rFont val="Quicksand"/>
        <b/>
        <color theme="1"/>
        <sz val="12.0"/>
      </rPr>
      <t>relanzamiento</t>
    </r>
  </si>
  <si>
    <r>
      <rPr>
        <rFont val="Quicksand"/>
        <b/>
        <color theme="1"/>
        <sz val="11.0"/>
      </rPr>
      <t>comercial</t>
    </r>
    <r>
      <rPr>
        <rFont val="Quicksand"/>
        <color theme="1"/>
        <sz val="11.0"/>
      </rPr>
      <t>.</t>
    </r>
  </si>
  <si>
    <t>Metodología (ETL)</t>
  </si>
  <si>
    <r>
      <rPr>
        <rFont val="Quicksand"/>
        <color theme="1"/>
        <sz val="12.0"/>
      </rPr>
      <t xml:space="preserve">            </t>
    </r>
    <r>
      <rPr>
        <rFont val="Quicksand"/>
        <color rgb="FFF27B51"/>
        <sz val="12.0"/>
      </rPr>
      <t xml:space="preserve"> </t>
    </r>
    <r>
      <rPr>
        <rFont val="Quicksand"/>
        <b/>
        <color rgb="FFF27B51"/>
        <sz val="12.0"/>
      </rPr>
      <t>Unificación de medidas</t>
    </r>
    <r>
      <rPr>
        <rFont val="Quicksand"/>
        <color rgb="FFF27B51"/>
        <sz val="12.0"/>
      </rPr>
      <t xml:space="preserve">. </t>
    </r>
    <r>
      <rPr>
        <rFont val="Quicksand"/>
        <color theme="1"/>
        <sz val="12.0"/>
      </rPr>
      <t>Se homogenizaron las métricas</t>
    </r>
  </si>
  <si>
    <r>
      <rPr>
        <rFont val="Quicksand"/>
        <color theme="1"/>
        <sz val="12.0"/>
      </rPr>
      <t xml:space="preserve">            </t>
    </r>
    <r>
      <rPr>
        <rFont val="Quicksand"/>
        <color rgb="FFF8F9FA"/>
        <sz val="12.0"/>
      </rPr>
      <t xml:space="preserve"> </t>
    </r>
    <r>
      <rPr>
        <rFont val="Quicksand"/>
        <b/>
        <color rgb="FFF27B51"/>
        <sz val="12.0"/>
      </rPr>
      <t>Unión de datos</t>
    </r>
    <r>
      <rPr>
        <rFont val="Quicksand"/>
        <color rgb="FFF27B51"/>
        <sz val="12.0"/>
      </rPr>
      <t>.</t>
    </r>
    <r>
      <rPr>
        <rFont val="Quicksand"/>
        <color rgb="FFF8F9FA"/>
        <sz val="12.0"/>
      </rPr>
      <t xml:space="preserve"> </t>
    </r>
    <r>
      <rPr>
        <rFont val="Quicksand"/>
        <color theme="1"/>
        <sz val="12.0"/>
      </rPr>
      <t>Se vincularon listas de precios antiguos</t>
    </r>
  </si>
  <si>
    <t xml:space="preserve">             para asegurar una comparación objetiva en ambos años.</t>
  </si>
  <si>
    <t xml:space="preserve">             y nuevos para crear una visión completa del historial del</t>
  </si>
  <si>
    <t xml:space="preserve">             negocio.</t>
  </si>
  <si>
    <r>
      <rPr>
        <rFont val="Quicksand"/>
        <color theme="1"/>
        <sz val="12.0"/>
      </rPr>
      <t xml:space="preserve">           </t>
    </r>
    <r>
      <rPr>
        <rFont val="Quicksand"/>
        <color rgb="FFF27B51"/>
        <sz val="12.0"/>
      </rPr>
      <t xml:space="preserve">  </t>
    </r>
    <r>
      <rPr>
        <rFont val="Quicksand"/>
        <b/>
        <color rgb="FFF27B51"/>
        <sz val="12.0"/>
      </rPr>
      <t>Auditoría de datos</t>
    </r>
    <r>
      <rPr>
        <rFont val="Quicksand"/>
        <color rgb="FFF27B51"/>
        <sz val="12.0"/>
      </rPr>
      <t>.</t>
    </r>
    <r>
      <rPr>
        <rFont val="Quicksand"/>
        <color rgb="FFF8F9FA"/>
        <sz val="12.0"/>
      </rPr>
      <t xml:space="preserve"> </t>
    </r>
    <r>
      <rPr>
        <rFont val="Quicksand"/>
        <color theme="1"/>
        <sz val="12.0"/>
      </rPr>
      <t xml:space="preserve">Se detectaron valores nulos y se </t>
    </r>
  </si>
  <si>
    <t xml:space="preserve">             completaron con la información correspondiente, </t>
  </si>
  <si>
    <r>
      <rPr>
        <rFont val="Quicksand"/>
        <color theme="1"/>
        <sz val="12.0"/>
      </rPr>
      <t xml:space="preserve">     </t>
    </r>
    <r>
      <rPr>
        <rFont val="Quicksand"/>
        <color rgb="FFF8F9FA"/>
        <sz val="12.0"/>
      </rPr>
      <t xml:space="preserve">    </t>
    </r>
    <r>
      <rPr>
        <rFont val="Quicksand"/>
        <color rgb="FFF27B51"/>
        <sz val="12.0"/>
      </rPr>
      <t xml:space="preserve">    </t>
    </r>
    <r>
      <rPr>
        <rFont val="Quicksand"/>
        <b/>
        <color rgb="FFF27B51"/>
        <sz val="12.0"/>
      </rPr>
      <t>Modelado</t>
    </r>
    <r>
      <rPr>
        <rFont val="Quicksand"/>
        <color rgb="FFF27B51"/>
        <sz val="12.0"/>
      </rPr>
      <t>.</t>
    </r>
    <r>
      <rPr>
        <rFont val="Quicksand"/>
        <color rgb="FFF8F9FA"/>
        <sz val="12.0"/>
      </rPr>
      <t xml:space="preserve"> </t>
    </r>
    <r>
      <rPr>
        <rFont val="Quicksand"/>
        <color theme="1"/>
        <sz val="12.0"/>
      </rPr>
      <t xml:space="preserve"> Se creó una tabla maestra la cual es un motor</t>
    </r>
  </si>
  <si>
    <t>🔡</t>
  </si>
  <si>
    <t xml:space="preserve">             asegurando que los cálculos sean precisos.</t>
  </si>
  <si>
    <t xml:space="preserve">             de escenarios dinámicos para el análisis de sensibilidad.</t>
  </si>
  <si>
    <t>Glosario</t>
  </si>
  <si>
    <t>RECETAS</t>
  </si>
  <si>
    <t>Costo de Ventas</t>
  </si>
  <si>
    <t>Sales Mix Variance</t>
  </si>
  <si>
    <t>ETL</t>
  </si>
  <si>
    <t>Extract, Transform, Load</t>
  </si>
  <si>
    <t>Total Costo de Ventas</t>
  </si>
  <si>
    <t>Gastos Opercionales</t>
  </si>
  <si>
    <t>Utilidad Bruta</t>
  </si>
  <si>
    <t>Identificación de productos</t>
  </si>
  <si>
    <t>Utilidad Neta</t>
  </si>
  <si>
    <t>Ingresos Totales</t>
  </si>
  <si>
    <t>Utilidad Operativa</t>
  </si>
  <si>
    <t>Margen de Ganancia Bruta</t>
  </si>
  <si>
    <t>VariaciónMoM</t>
  </si>
  <si>
    <t>Variación Month over Month</t>
  </si>
  <si>
    <t>Mix Ventas Ingresos Totales</t>
  </si>
  <si>
    <t>VariaciónWoW</t>
  </si>
  <si>
    <t>Variación Week over Week</t>
  </si>
  <si>
    <t>Mix Ventas Quantity</t>
  </si>
  <si>
    <t>VariaciónYoY</t>
  </si>
  <si>
    <t>Variación Year over Year</t>
  </si>
  <si>
    <t>Margen Unitario</t>
  </si>
  <si>
    <t>pzas de .030 kg c/u</t>
  </si>
  <si>
    <t>Tiempo horneado:</t>
  </si>
  <si>
    <t>17 min. aprox.</t>
  </si>
  <si>
    <t>Temperatura:</t>
  </si>
  <si>
    <t>230°/250°C</t>
  </si>
  <si>
    <t>Ingrediente</t>
  </si>
  <si>
    <t>Cantidad</t>
  </si>
  <si>
    <t>Precio</t>
  </si>
  <si>
    <t>CostoTeórico</t>
  </si>
  <si>
    <t>TasaDesperdicio</t>
  </si>
  <si>
    <t>SUB-TOTAL</t>
  </si>
  <si>
    <t>TOTAL +$10</t>
  </si>
  <si>
    <t>VALOR TOTAL CAJA</t>
  </si>
  <si>
    <t>C/U</t>
  </si>
  <si>
    <t>VALOR TOTAL C/U</t>
  </si>
  <si>
    <t>Precio venta</t>
  </si>
  <si>
    <t>pzas</t>
  </si>
  <si>
    <t>Tiempo de horneado:</t>
  </si>
  <si>
    <t>31 min. aprox.</t>
  </si>
  <si>
    <t>PRECIO FINAL</t>
  </si>
  <si>
    <t>Cantidad a usar</t>
  </si>
  <si>
    <t>pzas de .050 kg c/u</t>
  </si>
  <si>
    <t>230°/250° C</t>
  </si>
  <si>
    <t xml:space="preserve">pzas </t>
  </si>
  <si>
    <t>260°C</t>
  </si>
  <si>
    <t>28 min. aprox.</t>
  </si>
  <si>
    <t>18 min. aprox.</t>
  </si>
  <si>
    <t>pzas de .089 kg c/u</t>
  </si>
  <si>
    <t>1 hora aprox.</t>
  </si>
  <si>
    <t>27 min. aprox.</t>
  </si>
  <si>
    <t>Resumen</t>
  </si>
  <si>
    <t>Postre</t>
  </si>
  <si>
    <t>Pzas por postre</t>
  </si>
  <si>
    <t>Costo teórico</t>
  </si>
  <si>
    <t>Cantidad vendida</t>
  </si>
  <si>
    <t>Cantidad no vendida</t>
  </si>
  <si>
    <t>UOcantidad no vendida</t>
  </si>
  <si>
    <t>Media</t>
  </si>
  <si>
    <t>Total de transacciones</t>
  </si>
  <si>
    <t>Total CV</t>
  </si>
  <si>
    <t>Variación</t>
  </si>
  <si>
    <t>Mediana</t>
  </si>
  <si>
    <t>-</t>
  </si>
  <si>
    <t>Moda</t>
  </si>
  <si>
    <t>Varianza</t>
  </si>
  <si>
    <t>UOCantidad no vendida</t>
  </si>
  <si>
    <t>Desviación estándar</t>
  </si>
  <si>
    <t>Variación por producto</t>
  </si>
  <si>
    <t>Cantidad Vendida</t>
  </si>
  <si>
    <t>Transacciones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</si>
</sst>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&quot;-&quot;mm&quot;-&quot;dd"/>
    <numFmt numFmtId="165" formatCode="#,##0.0000000"/>
    <numFmt numFmtId="166" formatCode="#,##0.00000"/>
    <numFmt numFmtId="167" formatCode="#,##0.0000"/>
    <numFmt numFmtId="168" formatCode="0.000000000000000"/>
    <numFmt numFmtId="169" formatCode="[$$]#,##0.00"/>
    <numFmt numFmtId="170" formatCode="dd.mm"/>
    <numFmt numFmtId="171" formatCode="#,##0.000"/>
    <numFmt numFmtId="172" formatCode="#,##0.000000000000"/>
    <numFmt numFmtId="173" formatCode="0.000%"/>
    <numFmt numFmtId="174" formatCode="[$$]#,##0.000000000000000"/>
  </numFmts>
  <fonts count="8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9"/>
      <name val="Arial"/>
      <scheme val="minor"/>
    </font>
    <font>
      <b/>
      <color rgb="FF46BDC6"/>
      <name val="Arial"/>
      <scheme val="minor"/>
    </font>
    <font>
      <color theme="1"/>
      <name val="Arial"/>
      <scheme val="minor"/>
    </font>
    <font>
      <b/>
      <color rgb="FF57BB8A"/>
      <name val="Arial"/>
      <scheme val="minor"/>
    </font>
    <font>
      <b/>
      <color rgb="FF8E7CC3"/>
      <name val="Arial"/>
      <scheme val="minor"/>
    </font>
    <font>
      <color rgb="FF000000"/>
      <name val="Arial"/>
      <scheme val="minor"/>
    </font>
    <font>
      <b/>
      <color rgb="FFCC4125"/>
      <name val="Arial"/>
    </font>
    <font>
      <b/>
      <color rgb="FFCC4125"/>
      <name val="Arial"/>
      <scheme val="minor"/>
    </font>
    <font>
      <b/>
      <color rgb="FF000000"/>
      <name val="Arial"/>
      <scheme val="minor"/>
    </font>
    <font>
      <color theme="9"/>
      <name val="Arial"/>
      <scheme val="minor"/>
    </font>
    <font>
      <color rgb="FF57BB8A"/>
      <name val="Arial"/>
      <scheme val="minor"/>
    </font>
    <font>
      <color rgb="FF8E7CC3"/>
      <name val="Arial"/>
      <scheme val="minor"/>
    </font>
    <font>
      <color rgb="FFCC4125"/>
      <name val="Arial"/>
      <scheme val="minor"/>
    </font>
    <font>
      <color rgb="FFCC4125"/>
      <name val="Arial"/>
    </font>
    <font>
      <color theme="1"/>
      <name val="Arial"/>
    </font>
    <font>
      <color rgb="FFFF0000"/>
      <name val="Arial"/>
      <scheme val="minor"/>
    </font>
    <font>
      <b/>
      <i/>
      <sz val="16.0"/>
      <color rgb="FF000000"/>
      <name val="Quicksand"/>
    </font>
    <font>
      <sz val="14.0"/>
      <color theme="1"/>
      <name val="Arial"/>
      <scheme val="minor"/>
    </font>
    <font>
      <sz val="12.0"/>
      <color theme="1"/>
      <name val="Quicksand"/>
    </font>
    <font>
      <sz val="12.0"/>
      <color rgb="FF515851"/>
      <name val="Quicksand"/>
    </font>
    <font>
      <color rgb="FF515851"/>
      <name val="Arial"/>
      <scheme val="minor"/>
    </font>
    <font>
      <sz val="14.0"/>
      <color theme="1"/>
      <name val="Quicksand"/>
    </font>
    <font>
      <b/>
      <sz val="12.0"/>
      <color theme="1"/>
      <name val="Quicksand"/>
    </font>
    <font>
      <sz val="12.0"/>
      <color theme="1"/>
      <name val="Georgia"/>
    </font>
    <font>
      <b/>
      <sz val="12.0"/>
      <color rgb="FF505750"/>
      <name val="Quicksand"/>
    </font>
    <font>
      <sz val="12.0"/>
      <color rgb="FF000000"/>
      <name val="Quicksand"/>
    </font>
    <font>
      <sz val="12.0"/>
      <color theme="1"/>
      <name val="Arial"/>
      <scheme val="minor"/>
    </font>
    <font>
      <i/>
      <sz val="11.0"/>
      <color theme="1"/>
      <name val="Quicksand"/>
    </font>
    <font>
      <i/>
      <color theme="1"/>
      <name val="Arial"/>
      <scheme val="minor"/>
    </font>
    <font>
      <i/>
      <sz val="12.0"/>
      <color theme="1"/>
      <name val="Quicksand"/>
    </font>
    <font>
      <b/>
      <sz val="14.0"/>
      <color rgb="FFC8918E"/>
      <name val="Quicksand"/>
    </font>
    <font>
      <b/>
      <sz val="12.0"/>
      <color rgb="FF375C6F"/>
      <name val="Quicksand"/>
    </font>
    <font/>
    <font>
      <sz val="12.0"/>
      <color rgb="FFFAFBF5"/>
      <name val="Quicksand"/>
    </font>
    <font>
      <sz val="12.0"/>
      <color rgb="FFFAFBF5"/>
      <name val="Arial"/>
      <scheme val="minor"/>
    </font>
    <font>
      <b/>
      <sz val="12.0"/>
      <color rgb="FFF7C145"/>
      <name val="Quicksand"/>
    </font>
    <font>
      <sz val="13.0"/>
      <color theme="1"/>
      <name val="Arial"/>
      <scheme val="minor"/>
    </font>
    <font>
      <b/>
      <sz val="9.0"/>
      <color theme="1"/>
      <name val="Arial"/>
      <scheme val="minor"/>
    </font>
    <font>
      <sz val="8.0"/>
      <color theme="1"/>
      <name val="Arial"/>
      <scheme val="minor"/>
    </font>
    <font>
      <b/>
      <color rgb="FF4A86E8"/>
      <name val="Arial"/>
      <scheme val="minor"/>
    </font>
    <font>
      <color rgb="FF4A86E8"/>
      <name val="Arial"/>
      <scheme val="minor"/>
    </font>
    <font>
      <color rgb="FFFFFFFF"/>
      <name val="Arial"/>
      <scheme val="minor"/>
    </font>
    <font>
      <b/>
      <color rgb="FF8E7CC3"/>
      <name val="Arial"/>
    </font>
    <font>
      <sz val="16.0"/>
      <color rgb="FF8D8A7A"/>
      <name val="Merriweather"/>
    </font>
    <font>
      <b/>
      <sz val="18.0"/>
      <color rgb="FF000000"/>
      <name val="Merriweather"/>
    </font>
    <font>
      <b/>
      <sz val="13.0"/>
      <color rgb="FFA67299"/>
      <name val="Quicksand"/>
    </font>
    <font>
      <sz val="12.0"/>
      <color rgb="FFEFC8C1"/>
      <name val="Quicksand"/>
    </font>
    <font>
      <sz val="12.0"/>
      <color rgb="FFF8F9FA"/>
      <name val="Quicksand"/>
    </font>
    <font>
      <sz val="12.0"/>
      <color rgb="FFFFFFFF"/>
      <name val="Quicksand"/>
    </font>
    <font>
      <sz val="12.0"/>
      <color rgb="FF505750"/>
      <name val="Quicksand"/>
    </font>
    <font>
      <b/>
      <sz val="12.0"/>
      <color rgb="FFF7C143"/>
      <name val="Quicksand"/>
    </font>
    <font>
      <sz val="12.0"/>
      <color rgb="FFF4F4F4"/>
      <name val="Quicksand"/>
    </font>
    <font>
      <b/>
      <sz val="12.0"/>
      <color rgb="FFF8F9FA"/>
      <name val="Quicksand"/>
    </font>
    <font>
      <i/>
      <color theme="1"/>
      <name val="Quicksand"/>
    </font>
    <font>
      <color rgb="FFCC0000"/>
      <name val="Quicksand"/>
    </font>
    <font>
      <color theme="1"/>
      <name val="Quicksand"/>
    </font>
    <font>
      <color rgb="FFF8F9FA"/>
      <name val="Arial"/>
      <scheme val="minor"/>
    </font>
    <font>
      <color rgb="FF375C6F"/>
      <name val="Arial"/>
      <scheme val="minor"/>
    </font>
    <font>
      <sz val="12.0"/>
      <color rgb="FF375C6F"/>
      <name val="Quicksand"/>
    </font>
    <font>
      <i/>
      <sz val="11.0"/>
      <color theme="1"/>
      <name val="Arial"/>
      <scheme val="minor"/>
    </font>
    <font>
      <sz val="11.0"/>
      <color theme="1"/>
      <name val="Quicksand"/>
    </font>
    <font>
      <color rgb="FFF27B51"/>
      <name val="Arial"/>
      <scheme val="minor"/>
    </font>
    <font>
      <b/>
      <sz val="14.0"/>
      <color rgb="FF4A2E2B"/>
      <name val="Quicksand"/>
    </font>
    <font>
      <b/>
      <sz val="11.0"/>
      <color theme="1"/>
      <name val="Google Sans"/>
    </font>
    <font>
      <sz val="11.0"/>
      <color theme="1"/>
      <name val="Google Sans"/>
    </font>
    <font>
      <b/>
      <sz val="11.0"/>
      <color rgb="FFA64D79"/>
      <name val="Google Sans"/>
    </font>
    <font>
      <b/>
      <sz val="10.0"/>
      <color rgb="FFFF0000"/>
      <name val="Google Sans"/>
    </font>
    <font>
      <b/>
      <sz val="11.0"/>
      <color rgb="FFFF0000"/>
      <name val="Google Sans"/>
    </font>
    <font>
      <sz val="10.0"/>
      <color theme="1"/>
      <name val="Google Sans"/>
    </font>
    <font>
      <sz val="11.0"/>
      <color rgb="FF1F1F1F"/>
      <name val="Google Sans"/>
    </font>
    <font>
      <color rgb="FFD4A373"/>
      <name val="Arial"/>
      <scheme val="minor"/>
    </font>
    <font>
      <color rgb="FFD4A373"/>
      <name val="Quicksand"/>
    </font>
    <font>
      <b/>
      <sz val="11.0"/>
      <color rgb="FF000000"/>
      <name val="Google Sans"/>
    </font>
    <font>
      <b/>
      <color rgb="FFE06666"/>
      <name val="Arial"/>
      <scheme val="minor"/>
    </font>
    <font>
      <b/>
      <sz val="10.0"/>
      <color theme="1"/>
      <name val="Google Sans"/>
    </font>
    <font>
      <b/>
      <sz val="10.0"/>
      <color rgb="FF000000"/>
      <name val="Google Sans"/>
    </font>
    <font>
      <sz val="11.0"/>
      <color rgb="FF3C78D8"/>
      <name val="Google Sans"/>
    </font>
    <font>
      <sz val="11.0"/>
      <color rgb="FF000000"/>
      <name val="Google Sans"/>
    </font>
    <font>
      <b/>
      <sz val="11.0"/>
      <color rgb="FF3D85C6"/>
      <name val="Google Sans"/>
    </font>
    <font>
      <b/>
      <sz val="10.0"/>
      <color rgb="FF3D85C6"/>
      <name val="Google Sans"/>
    </font>
    <font>
      <b/>
      <sz val="10.0"/>
      <color rgb="FF6AA84F"/>
      <name val="Google Sans"/>
    </font>
    <font>
      <b/>
      <sz val="11.0"/>
      <color rgb="FF6AA84F"/>
      <name val="Google Sans"/>
    </font>
    <font>
      <b/>
      <sz val="11.0"/>
      <color theme="1"/>
      <name val="Arial"/>
    </font>
    <font>
      <b/>
      <color rgb="FFFFFFFF"/>
      <name val="Arial"/>
      <scheme val="minor"/>
    </font>
    <font>
      <b/>
      <color rgb="FFBC8987"/>
      <name val="Arial"/>
      <scheme val="minor"/>
    </font>
    <font>
      <sz val="11.0"/>
      <color rgb="FFFF0000"/>
      <name val="Google Sans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7F97A3"/>
        <bgColor rgb="FF7F97A3"/>
      </patternFill>
    </fill>
    <fill>
      <patternFill patternType="solid">
        <fgColor rgb="FFFAFBF5"/>
        <bgColor rgb="FFFAFBF5"/>
      </patternFill>
    </fill>
    <fill>
      <patternFill patternType="solid">
        <fgColor rgb="FF375C6F"/>
        <bgColor rgb="FF375C6F"/>
      </patternFill>
    </fill>
    <fill>
      <patternFill patternType="solid">
        <fgColor rgb="FFFFFFFF"/>
        <bgColor rgb="FFFFFFFF"/>
      </patternFill>
    </fill>
    <fill>
      <patternFill patternType="solid">
        <fgColor rgb="FFF7C145"/>
        <bgColor rgb="FFF7C145"/>
      </patternFill>
    </fill>
    <fill>
      <patternFill patternType="solid">
        <fgColor rgb="FFC8918E"/>
        <bgColor rgb="FFC8918E"/>
      </patternFill>
    </fill>
    <fill>
      <patternFill patternType="solid">
        <fgColor rgb="FFD3ACA9"/>
        <bgColor rgb="FFD3ACA9"/>
      </patternFill>
    </fill>
    <fill>
      <patternFill patternType="solid">
        <fgColor rgb="FFD5C0BF"/>
        <bgColor rgb="FFD5C0BF"/>
      </patternFill>
    </fill>
    <fill>
      <patternFill patternType="solid">
        <fgColor rgb="FFE4D8D7"/>
        <bgColor rgb="FFE4D8D7"/>
      </patternFill>
    </fill>
    <fill>
      <patternFill patternType="solid">
        <fgColor rgb="FFF2E8E7"/>
        <bgColor rgb="FFF2E8E7"/>
      </patternFill>
    </fill>
  </fills>
  <borders count="6">
    <border/>
    <border>
      <top style="thick">
        <color rgb="FFF7C145"/>
      </top>
      <bottom style="thick">
        <color rgb="FFF7C145"/>
      </bottom>
    </border>
    <border>
      <bottom style="thin">
        <color rgb="FFFAFBF5"/>
      </bottom>
    </border>
    <border>
      <bottom style="thick">
        <color rgb="FFF7C145"/>
      </bottom>
    </border>
    <border>
      <right style="thin">
        <color rgb="FF999999"/>
      </right>
    </border>
    <border>
      <top style="thick">
        <color rgb="FFF7C145"/>
      </top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right" readingOrder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0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7" numFmtId="10" xfId="0" applyFont="1" applyNumberFormat="1"/>
    <xf borderId="0" fillId="0" fontId="6" numFmtId="4" xfId="0" applyAlignment="1" applyFont="1" applyNumberFormat="1">
      <alignment horizontal="center" readingOrder="0" shrinkToFit="0" vertical="center" wrapText="0"/>
    </xf>
    <xf borderId="0" fillId="0" fontId="4" numFmtId="4" xfId="0" applyFont="1" applyNumberFormat="1"/>
    <xf borderId="0" fillId="0" fontId="8" numFmtId="4" xfId="0" applyAlignment="1" applyFont="1" applyNumberFormat="1">
      <alignment horizontal="center" readingOrder="0" vertical="center"/>
    </xf>
    <xf borderId="0" fillId="0" fontId="9" numFmtId="10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readingOrder="0"/>
    </xf>
    <xf borderId="0" fillId="0" fontId="8" numFmtId="1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0" numFmtId="10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4" xfId="0" applyAlignment="1" applyFont="1" applyNumberFormat="1">
      <alignment readingOrder="0" shrinkToFit="0" wrapText="1"/>
    </xf>
    <xf borderId="0" fillId="0" fontId="4" numFmtId="0" xfId="0" applyFont="1"/>
    <xf borderId="0" fillId="0" fontId="11" numFmtId="4" xfId="0" applyAlignment="1" applyFont="1" applyNumberFormat="1">
      <alignment shrinkToFit="0" wrapText="0"/>
    </xf>
    <xf borderId="0" fillId="0" fontId="11" numFmtId="4" xfId="0" applyAlignment="1" applyFont="1" applyNumberFormat="1">
      <alignment readingOrder="0" shrinkToFit="0" wrapText="0"/>
    </xf>
    <xf borderId="0" fillId="0" fontId="12" numFmtId="4" xfId="0" applyAlignment="1" applyFont="1" applyNumberFormat="1">
      <alignment shrinkToFit="0" wrapText="0"/>
    </xf>
    <xf borderId="0" fillId="0" fontId="4" numFmtId="10" xfId="0" applyFont="1" applyNumberFormat="1"/>
    <xf borderId="0" fillId="0" fontId="13" numFmtId="4" xfId="0" applyAlignment="1" applyFont="1" applyNumberFormat="1">
      <alignment shrinkToFit="0" wrapText="0"/>
    </xf>
    <xf borderId="0" fillId="0" fontId="13" numFmtId="10" xfId="0" applyAlignment="1" applyFont="1" applyNumberFormat="1">
      <alignment shrinkToFit="0" wrapText="0"/>
    </xf>
    <xf borderId="0" fillId="0" fontId="14" numFmtId="4" xfId="0" applyAlignment="1" applyFont="1" applyNumberFormat="1">
      <alignment shrinkToFit="0" wrapText="0"/>
    </xf>
    <xf borderId="0" fillId="0" fontId="1" numFmtId="10" xfId="0" applyAlignment="1" applyFont="1" applyNumberFormat="1">
      <alignment shrinkToFit="0" wrapText="0"/>
    </xf>
    <xf borderId="0" fillId="0" fontId="15" numFmtId="4" xfId="0" applyAlignment="1" applyFont="1" applyNumberFormat="1">
      <alignment vertical="bottom"/>
    </xf>
    <xf borderId="0" fillId="0" fontId="16" numFmtId="10" xfId="0" applyAlignment="1" applyFont="1" applyNumberFormat="1">
      <alignment vertical="bottom"/>
    </xf>
    <xf borderId="0" fillId="0" fontId="12" numFmtId="4" xfId="0" applyFont="1" applyNumberFormat="1"/>
    <xf borderId="0" fillId="0" fontId="7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2" fontId="4" numFmtId="4" xfId="0" applyAlignment="1" applyFill="1" applyFont="1" applyNumberFormat="1">
      <alignment readingOrder="0" shrinkToFit="0" wrapText="0"/>
    </xf>
    <xf borderId="0" fillId="2" fontId="4" numFmtId="0" xfId="0" applyAlignment="1" applyFont="1">
      <alignment readingOrder="0" shrinkToFit="0" wrapText="0"/>
    </xf>
    <xf borderId="0" fillId="2" fontId="11" numFmtId="4" xfId="0" applyAlignment="1" applyFont="1" applyNumberFormat="1">
      <alignment shrinkToFit="0" wrapText="0"/>
    </xf>
    <xf borderId="0" fillId="2" fontId="11" numFmtId="4" xfId="0" applyAlignment="1" applyFont="1" applyNumberFormat="1">
      <alignment readingOrder="0" shrinkToFit="0" wrapText="0"/>
    </xf>
    <xf borderId="0" fillId="2" fontId="12" numFmtId="4" xfId="0" applyAlignment="1" applyFont="1" applyNumberFormat="1">
      <alignment shrinkToFit="0" wrapText="0"/>
    </xf>
    <xf borderId="0" fillId="2" fontId="13" numFmtId="4" xfId="0" applyAlignment="1" applyFont="1" applyNumberFormat="1">
      <alignment shrinkToFit="0" wrapText="0"/>
    </xf>
    <xf borderId="0" fillId="0" fontId="4" numFmtId="2" xfId="0" applyFont="1" applyNumberFormat="1"/>
    <xf borderId="0" fillId="2" fontId="13" numFmtId="10" xfId="0" applyAlignment="1" applyFont="1" applyNumberFormat="1">
      <alignment shrinkToFit="0" wrapText="0"/>
    </xf>
    <xf borderId="0" fillId="0" fontId="14" numFmtId="10" xfId="0" applyAlignment="1" applyFont="1" applyNumberFormat="1">
      <alignment shrinkToFit="0" wrapText="0"/>
    </xf>
    <xf borderId="0" fillId="0" fontId="15" numFmtId="10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Font="1" applyNumberFormat="1"/>
    <xf borderId="0" fillId="3" fontId="4" numFmtId="0" xfId="0" applyFill="1" applyFont="1"/>
    <xf borderId="0" fillId="4" fontId="4" numFmtId="0" xfId="0" applyFill="1" applyFont="1"/>
    <xf borderId="1" fillId="4" fontId="4" numFmtId="0" xfId="0" applyBorder="1" applyFont="1"/>
    <xf borderId="1" fillId="4" fontId="18" numFmtId="0" xfId="0" applyAlignment="1" applyBorder="1" applyFont="1">
      <alignment horizontal="left" readingOrder="0"/>
    </xf>
    <xf borderId="1" fillId="4" fontId="19" numFmtId="0" xfId="0" applyBorder="1" applyFont="1"/>
    <xf borderId="0" fillId="4" fontId="20" numFmtId="0" xfId="0" applyAlignment="1" applyFont="1">
      <alignment readingOrder="0"/>
    </xf>
    <xf borderId="0" fillId="4" fontId="21" numFmtId="0" xfId="0" applyFont="1"/>
    <xf borderId="0" fillId="4" fontId="22" numFmtId="0" xfId="0" applyFont="1"/>
    <xf borderId="0" fillId="0" fontId="22" numFmtId="0" xfId="0" applyFont="1"/>
    <xf borderId="1" fillId="4" fontId="18" numFmtId="0" xfId="0" applyAlignment="1" applyBorder="1" applyFont="1">
      <alignment readingOrder="0"/>
    </xf>
    <xf borderId="1" fillId="4" fontId="23" numFmtId="0" xfId="0" applyBorder="1" applyFont="1"/>
    <xf borderId="0" fillId="4" fontId="20" numFmtId="0" xfId="0" applyFont="1"/>
    <xf borderId="0" fillId="4" fontId="24" numFmtId="0" xfId="0" applyAlignment="1" applyFont="1">
      <alignment horizontal="center" readingOrder="0" shrinkToFit="0" wrapText="1"/>
    </xf>
    <xf borderId="0" fillId="4" fontId="25" numFmtId="0" xfId="0" applyAlignment="1" applyFont="1">
      <alignment horizontal="center"/>
    </xf>
    <xf borderId="0" fillId="4" fontId="26" numFmtId="0" xfId="0" applyAlignment="1" applyFont="1">
      <alignment readingOrder="0"/>
    </xf>
    <xf borderId="0" fillId="4" fontId="27" numFmtId="4" xfId="0" applyAlignment="1" applyFont="1" applyNumberFormat="1">
      <alignment horizontal="center" readingOrder="0" vertical="center"/>
    </xf>
    <xf borderId="0" fillId="4" fontId="27" numFmtId="165" xfId="0" applyFont="1" applyNumberFormat="1"/>
    <xf borderId="0" fillId="4" fontId="27" numFmtId="0" xfId="0" applyFont="1"/>
    <xf borderId="0" fillId="4" fontId="27" numFmtId="166" xfId="0" applyAlignment="1" applyFont="1" applyNumberFormat="1">
      <alignment readingOrder="0"/>
    </xf>
    <xf borderId="0" fillId="0" fontId="20" numFmtId="0" xfId="0" applyFont="1"/>
    <xf borderId="0" fillId="4" fontId="26" numFmtId="0" xfId="0" applyFont="1"/>
    <xf borderId="0" fillId="4" fontId="4" numFmtId="0" xfId="0" applyAlignment="1" applyFont="1">
      <alignment readingOrder="0"/>
    </xf>
    <xf borderId="0" fillId="4" fontId="4" numFmtId="10" xfId="0" applyAlignment="1" applyFont="1" applyNumberFormat="1">
      <alignment horizontal="right"/>
    </xf>
    <xf borderId="0" fillId="4" fontId="27" numFmtId="4" xfId="0" applyAlignment="1" applyFont="1" applyNumberFormat="1">
      <alignment horizontal="center" vertical="center"/>
    </xf>
    <xf borderId="0" fillId="4" fontId="27" numFmtId="10" xfId="0" applyFont="1" applyNumberFormat="1"/>
    <xf borderId="0" fillId="4" fontId="4" numFmtId="10" xfId="0" applyFont="1" applyNumberFormat="1"/>
    <xf borderId="0" fillId="4" fontId="26" numFmtId="167" xfId="0" applyAlignment="1" applyFont="1" applyNumberFormat="1">
      <alignment readingOrder="0"/>
    </xf>
    <xf borderId="0" fillId="4" fontId="27" numFmtId="10" xfId="0" applyAlignment="1" applyFont="1" applyNumberFormat="1">
      <alignment horizontal="center" vertical="center"/>
    </xf>
    <xf borderId="0" fillId="4" fontId="26" numFmtId="4" xfId="0" applyAlignment="1" applyFont="1" applyNumberFormat="1">
      <alignment readingOrder="0"/>
    </xf>
    <xf borderId="0" fillId="4" fontId="26" numFmtId="4" xfId="0" applyAlignment="1" applyFont="1" applyNumberFormat="1">
      <alignment readingOrder="0" vertical="center"/>
    </xf>
    <xf borderId="0" fillId="4" fontId="27" numFmtId="0" xfId="0" applyAlignment="1" applyFont="1">
      <alignment shrinkToFit="0" wrapText="1"/>
    </xf>
    <xf borderId="0" fillId="4" fontId="28" numFmtId="0" xfId="0" applyFont="1"/>
    <xf borderId="0" fillId="4" fontId="28" numFmtId="4" xfId="0" applyAlignment="1" applyFont="1" applyNumberFormat="1">
      <alignment readingOrder="0"/>
    </xf>
    <xf borderId="0" fillId="0" fontId="28" numFmtId="0" xfId="0" applyFont="1"/>
    <xf borderId="0" fillId="4" fontId="29" numFmtId="0" xfId="0" applyAlignment="1" applyFont="1">
      <alignment readingOrder="0"/>
    </xf>
    <xf borderId="0" fillId="4" fontId="30" numFmtId="0" xfId="0" applyFont="1"/>
    <xf borderId="0" fillId="4" fontId="4" numFmtId="4" xfId="0" applyAlignment="1" applyFont="1" applyNumberFormat="1">
      <alignment readingOrder="0"/>
    </xf>
    <xf borderId="0" fillId="4" fontId="31" numFmtId="0" xfId="0" applyAlignment="1" applyFont="1">
      <alignment horizontal="right"/>
    </xf>
    <xf borderId="0" fillId="4" fontId="20" numFmtId="0" xfId="0" applyAlignment="1" applyFont="1">
      <alignment horizontal="right"/>
    </xf>
    <xf borderId="0" fillId="4" fontId="20" numFmtId="0" xfId="0" applyAlignment="1" applyFont="1">
      <alignment horizontal="left" readingOrder="0"/>
    </xf>
    <xf borderId="0" fillId="4" fontId="32" numFmtId="0" xfId="0" applyAlignment="1" applyFont="1">
      <alignment readingOrder="0"/>
    </xf>
    <xf borderId="2" fillId="4" fontId="33" numFmtId="0" xfId="0" applyAlignment="1" applyBorder="1" applyFont="1">
      <alignment horizontal="center" readingOrder="0"/>
    </xf>
    <xf borderId="2" fillId="0" fontId="34" numFmtId="0" xfId="0" applyBorder="1" applyFont="1"/>
    <xf borderId="2" fillId="5" fontId="35" numFmtId="4" xfId="0" applyAlignment="1" applyBorder="1" applyFill="1" applyFont="1" applyNumberFormat="1">
      <alignment horizontal="center" readingOrder="0" vertical="center"/>
    </xf>
    <xf borderId="2" fillId="5" fontId="20" numFmtId="10" xfId="0" applyAlignment="1" applyBorder="1" applyFont="1" applyNumberFormat="1">
      <alignment horizontal="center" vertical="center"/>
    </xf>
    <xf borderId="2" fillId="5" fontId="20" numFmtId="0" xfId="0" applyAlignment="1" applyBorder="1" applyFont="1">
      <alignment horizontal="left" vertical="center"/>
    </xf>
    <xf borderId="2" fillId="5" fontId="35" numFmtId="0" xfId="0" applyAlignment="1" applyBorder="1" applyFont="1">
      <alignment readingOrder="0" shrinkToFit="0" vertical="center" wrapText="1"/>
    </xf>
    <xf borderId="2" fillId="5" fontId="35" numFmtId="0" xfId="0" applyAlignment="1" applyBorder="1" applyFont="1">
      <alignment readingOrder="0" vertical="center"/>
    </xf>
    <xf borderId="2" fillId="5" fontId="35" numFmtId="0" xfId="0" applyAlignment="1" applyBorder="1" applyFont="1">
      <alignment vertical="center"/>
    </xf>
    <xf borderId="2" fillId="5" fontId="36" numFmtId="0" xfId="0" applyAlignment="1" applyBorder="1" applyFont="1">
      <alignment vertical="center"/>
    </xf>
    <xf borderId="0" fillId="5" fontId="35" numFmtId="4" xfId="0" applyAlignment="1" applyFont="1" applyNumberFormat="1">
      <alignment horizontal="center" readingOrder="0" vertical="center"/>
    </xf>
    <xf borderId="0" fillId="5" fontId="20" numFmtId="10" xfId="0" applyAlignment="1" applyFont="1" applyNumberFormat="1">
      <alignment horizontal="center" vertical="center"/>
    </xf>
    <xf borderId="0" fillId="5" fontId="20" numFmtId="0" xfId="0" applyAlignment="1" applyFont="1">
      <alignment horizontal="left" vertical="center"/>
    </xf>
    <xf borderId="0" fillId="5" fontId="35" numFmtId="0" xfId="0" applyAlignment="1" applyFont="1">
      <alignment readingOrder="0" shrinkToFit="0" vertical="center" wrapText="1"/>
    </xf>
    <xf borderId="0" fillId="5" fontId="37" numFmtId="0" xfId="0" applyFont="1"/>
    <xf borderId="0" fillId="0" fontId="1" numFmtId="0" xfId="0" applyAlignment="1" applyFont="1">
      <alignment horizontal="right" readingOrder="0"/>
    </xf>
    <xf borderId="0" fillId="4" fontId="38" numFmtId="0" xfId="0" applyFont="1"/>
    <xf borderId="3" fillId="4" fontId="4" numFmtId="0" xfId="0" applyBorder="1" applyFont="1"/>
    <xf borderId="3" fillId="4" fontId="38" numFmtId="0" xfId="0" applyBorder="1" applyFont="1"/>
    <xf borderId="0" fillId="0" fontId="1" numFmtId="4" xfId="0" applyFont="1" applyNumberFormat="1"/>
    <xf borderId="0" fillId="0" fontId="1" numFmtId="10" xfId="0" applyFont="1" applyNumberFormat="1"/>
    <xf borderId="0" fillId="0" fontId="7" numFmtId="0" xfId="0" applyFont="1"/>
    <xf borderId="0" fillId="0" fontId="1" numFmtId="0" xfId="0" applyFont="1"/>
    <xf borderId="0" fillId="0" fontId="10" numFmtId="10" xfId="0" applyAlignment="1" applyFont="1" applyNumberFormat="1">
      <alignment readingOrder="0"/>
    </xf>
    <xf borderId="0" fillId="0" fontId="4" numFmtId="167" xfId="0" applyFont="1" applyNumberFormat="1"/>
    <xf borderId="0" fillId="0" fontId="4" numFmtId="4" xfId="0" applyAlignment="1" applyFont="1" applyNumberFormat="1">
      <alignment readingOrder="0"/>
    </xf>
    <xf borderId="0" fillId="0" fontId="4" numFmtId="168" xfId="0" applyFont="1" applyNumberFormat="1"/>
    <xf borderId="0" fillId="0" fontId="7" numFmtId="4" xfId="0" applyFont="1" applyNumberFormat="1"/>
    <xf borderId="0" fillId="0" fontId="1" numFmtId="0" xfId="0" applyAlignment="1" applyFont="1">
      <alignment readingOrder="0"/>
    </xf>
    <xf borderId="0" fillId="0" fontId="39" numFmtId="4" xfId="0" applyAlignment="1" applyFont="1" applyNumberFormat="1">
      <alignment readingOrder="0" shrinkToFit="0" wrapText="1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7" numFmtId="4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7" numFmtId="4" xfId="0" applyFont="1" applyNumberFormat="1"/>
    <xf borderId="0" fillId="0" fontId="17" numFmtId="0" xfId="0" applyFont="1"/>
    <xf borderId="0" fillId="0" fontId="40" numFmtId="0" xfId="0" applyAlignment="1" applyFont="1">
      <alignment readingOrder="0"/>
    </xf>
    <xf borderId="0" fillId="0" fontId="40" numFmtId="0" xfId="0" applyFont="1"/>
    <xf borderId="0" fillId="0" fontId="7" numFmtId="4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" numFmtId="0" xfId="0" applyFont="1"/>
    <xf borderId="0" fillId="0" fontId="1" numFmtId="4" xfId="0" applyAlignment="1" applyFont="1" applyNumberFormat="1">
      <alignment horizontal="center" readingOrder="0"/>
    </xf>
    <xf borderId="0" fillId="0" fontId="41" numFmtId="4" xfId="0" applyAlignment="1" applyFont="1" applyNumberFormat="1">
      <alignment horizontal="center" readingOrder="0"/>
    </xf>
    <xf borderId="0" fillId="0" fontId="42" numFmtId="4" xfId="0" applyAlignment="1" applyFont="1" applyNumberFormat="1">
      <alignment readingOrder="0"/>
    </xf>
    <xf borderId="0" fillId="0" fontId="17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7" numFmtId="4" xfId="0" applyAlignment="1" applyFont="1" applyNumberFormat="1">
      <alignment horizontal="right" readingOrder="0"/>
    </xf>
    <xf borderId="0" fillId="0" fontId="42" numFmtId="4" xfId="0" applyAlignment="1" applyFont="1" applyNumberFormat="1">
      <alignment horizontal="right" readingOrder="0"/>
    </xf>
    <xf borderId="0" fillId="0" fontId="17" numFmtId="2" xfId="0" applyFont="1" applyNumberFormat="1"/>
    <xf borderId="0" fillId="0" fontId="43" numFmtId="0" xfId="0" applyFont="1"/>
    <xf borderId="0" fillId="0" fontId="42" numFmtId="4" xfId="0" applyFont="1" applyNumberFormat="1"/>
    <xf borderId="0" fillId="6" fontId="4" numFmtId="164" xfId="0" applyAlignment="1" applyFill="1" applyFont="1" applyNumberFormat="1">
      <alignment readingOrder="0" shrinkToFit="0" wrapText="1"/>
    </xf>
    <xf borderId="0" fillId="0" fontId="4" numFmtId="4" xfId="0" applyAlignment="1" applyFont="1" applyNumberFormat="1">
      <alignment horizontal="right" readingOrder="0" shrinkToFit="0" wrapText="1"/>
    </xf>
    <xf borderId="0" fillId="0" fontId="7" numFmtId="10" xfId="0" applyAlignment="1" applyFont="1" applyNumberFormat="1">
      <alignment shrinkToFit="0" wrapText="0"/>
    </xf>
    <xf borderId="0" fillId="0" fontId="3" numFmtId="4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0" fillId="0" fontId="44" numFmtId="10" xfId="0" applyAlignment="1" applyFont="1" applyNumberFormat="1">
      <alignment horizontal="center" readingOrder="0"/>
    </xf>
    <xf borderId="0" fillId="0" fontId="44" numFmtId="4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center" readingOrder="0"/>
    </xf>
    <xf borderId="0" fillId="0" fontId="9" numFmtId="10" xfId="0" applyAlignment="1" applyFont="1" applyNumberFormat="1">
      <alignment shrinkToFit="0" wrapText="0"/>
    </xf>
    <xf borderId="0" fillId="0" fontId="8" numFmtId="4" xfId="0" applyAlignment="1" applyFont="1" applyNumberForma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4" numFmtId="4" xfId="0" applyAlignment="1" applyFont="1" applyNumberFormat="1">
      <alignment shrinkToFit="0" wrapText="1"/>
    </xf>
    <xf borderId="0" fillId="4" fontId="45" numFmtId="0" xfId="0" applyAlignment="1" applyFont="1">
      <alignment horizontal="center" readingOrder="0"/>
    </xf>
    <xf borderId="1" fillId="4" fontId="46" numFmtId="0" xfId="0" applyAlignment="1" applyBorder="1" applyFont="1">
      <alignment horizontal="center" readingOrder="0"/>
    </xf>
    <xf borderId="1" fillId="0" fontId="34" numFmtId="0" xfId="0" applyBorder="1" applyFont="1"/>
    <xf borderId="0" fillId="4" fontId="47" numFmtId="0" xfId="0" applyAlignment="1" applyFont="1">
      <alignment readingOrder="0"/>
    </xf>
    <xf borderId="0" fillId="5" fontId="48" numFmtId="0" xfId="0" applyFont="1"/>
    <xf borderId="0" fillId="5" fontId="49" numFmtId="0" xfId="0" applyAlignment="1" applyFont="1">
      <alignment horizontal="left" readingOrder="0" shrinkToFit="0" wrapText="0"/>
    </xf>
    <xf borderId="0" fillId="5" fontId="50" numFmtId="0" xfId="0" applyFont="1"/>
    <xf borderId="0" fillId="5" fontId="4" numFmtId="0" xfId="0" applyFont="1"/>
    <xf borderId="0" fillId="5" fontId="49" numFmtId="0" xfId="0" applyAlignment="1" applyFont="1">
      <alignment horizontal="left" readingOrder="0"/>
    </xf>
    <xf borderId="0" fillId="4" fontId="4" numFmtId="4" xfId="0" applyFont="1" applyNumberFormat="1"/>
    <xf borderId="0" fillId="4" fontId="27" numFmtId="0" xfId="0" applyAlignment="1" applyFont="1">
      <alignment horizontal="center" readingOrder="0"/>
    </xf>
    <xf borderId="4" fillId="4" fontId="51" numFmtId="0" xfId="0" applyAlignment="1" applyBorder="1" applyFont="1">
      <alignment readingOrder="0"/>
    </xf>
    <xf borderId="0" fillId="4" fontId="51" numFmtId="4" xfId="0" applyFont="1" applyNumberFormat="1"/>
    <xf borderId="0" fillId="4" fontId="33" numFmtId="10" xfId="0" applyFont="1" applyNumberFormat="1"/>
    <xf borderId="0" fillId="4" fontId="52" numFmtId="10" xfId="0" applyFont="1" applyNumberFormat="1"/>
    <xf borderId="0" fillId="4" fontId="4" numFmtId="10" xfId="0" applyAlignment="1" applyFont="1" applyNumberFormat="1">
      <alignment readingOrder="0"/>
    </xf>
    <xf borderId="4" fillId="4" fontId="53" numFmtId="0" xfId="0" applyAlignment="1" applyBorder="1" applyFont="1">
      <alignment readingOrder="0"/>
    </xf>
    <xf borderId="0" fillId="4" fontId="49" numFmtId="4" xfId="0" applyFont="1" applyNumberFormat="1"/>
    <xf borderId="0" fillId="4" fontId="54" numFmtId="0" xfId="0" applyFont="1"/>
    <xf borderId="0" fillId="4" fontId="20" numFmtId="4" xfId="0" applyFont="1" applyNumberFormat="1"/>
    <xf borderId="0" fillId="4" fontId="20" numFmtId="10" xfId="0" applyFont="1" applyNumberFormat="1"/>
    <xf borderId="0" fillId="4" fontId="53" numFmtId="0" xfId="0" applyFont="1"/>
    <xf borderId="0" fillId="4" fontId="53" numFmtId="0" xfId="0" applyAlignment="1" applyFont="1">
      <alignment horizontal="center" readingOrder="0"/>
    </xf>
    <xf borderId="0" fillId="4" fontId="51" numFmtId="4" xfId="0" applyAlignment="1" applyFont="1" applyNumberFormat="1">
      <alignment horizontal="right" vertical="bottom"/>
    </xf>
    <xf borderId="0" fillId="4" fontId="51" numFmtId="0" xfId="0" applyFont="1"/>
    <xf borderId="0" fillId="4" fontId="55" numFmtId="0" xfId="0" applyAlignment="1" applyFont="1">
      <alignment horizontal="right" readingOrder="0"/>
    </xf>
    <xf borderId="0" fillId="4" fontId="56" numFmtId="4" xfId="0" applyFont="1" applyNumberFormat="1"/>
    <xf borderId="0" fillId="4" fontId="57" numFmtId="4" xfId="0" applyFont="1" applyNumberFormat="1"/>
    <xf borderId="0" fillId="4" fontId="58" numFmtId="0" xfId="0" applyAlignment="1" applyFont="1">
      <alignment textRotation="0"/>
    </xf>
    <xf borderId="0" fillId="4" fontId="59" numFmtId="0" xfId="0" applyAlignment="1" applyFont="1">
      <alignment textRotation="0"/>
    </xf>
    <xf borderId="0" fillId="4" fontId="60" numFmtId="4" xfId="0" applyAlignment="1" applyFont="1" applyNumberFormat="1">
      <alignment horizontal="right" readingOrder="0" textRotation="0"/>
    </xf>
    <xf borderId="0" fillId="4" fontId="29" numFmtId="4" xfId="0" applyAlignment="1" applyFont="1" applyNumberFormat="1">
      <alignment readingOrder="0"/>
    </xf>
    <xf borderId="0" fillId="4" fontId="61" numFmtId="0" xfId="0" applyFont="1"/>
    <xf borderId="0" fillId="4" fontId="49" numFmtId="4" xfId="0" applyAlignment="1" applyFont="1" applyNumberFormat="1">
      <alignment horizontal="left" readingOrder="0" shrinkToFit="0" textRotation="0" vertical="center" wrapText="1"/>
    </xf>
    <xf borderId="0" fillId="4" fontId="60" numFmtId="4" xfId="0" applyAlignment="1" applyFont="1" applyNumberFormat="1">
      <alignment readingOrder="0"/>
    </xf>
    <xf borderId="0" fillId="4" fontId="60" numFmtId="4" xfId="0" applyAlignment="1" applyFont="1" applyNumberFormat="1">
      <alignment horizontal="left" readingOrder="0" shrinkToFit="0" textRotation="0" vertical="center" wrapText="0"/>
    </xf>
    <xf borderId="0" fillId="4" fontId="29" numFmtId="0" xfId="0" applyFont="1"/>
    <xf borderId="0" fillId="4" fontId="51" numFmtId="0" xfId="0" applyFont="1"/>
    <xf borderId="0" fillId="4" fontId="49" numFmtId="0" xfId="0" applyAlignment="1" applyFont="1">
      <alignment horizontal="center" readingOrder="0" textRotation="0" vertical="center"/>
    </xf>
    <xf borderId="0" fillId="4" fontId="60" numFmtId="0" xfId="0" applyAlignment="1" applyFont="1">
      <alignment horizontal="left" readingOrder="0" textRotation="0" vertical="center"/>
    </xf>
    <xf borderId="0" fillId="4" fontId="62" numFmtId="0" xfId="0" applyAlignment="1" applyFont="1">
      <alignment readingOrder="0"/>
    </xf>
    <xf borderId="0" fillId="4" fontId="63" numFmtId="0" xfId="0" applyFont="1"/>
    <xf borderId="0" fillId="7" fontId="4" numFmtId="0" xfId="0" applyAlignment="1" applyFill="1" applyFont="1">
      <alignment readingOrder="0"/>
    </xf>
    <xf borderId="0" fillId="7" fontId="64" numFmtId="0" xfId="0" applyAlignment="1" applyFont="1">
      <alignment readingOrder="0" vertical="center"/>
    </xf>
    <xf borderId="0" fillId="7" fontId="4" numFmtId="0" xfId="0" applyFont="1"/>
    <xf borderId="0" fillId="4" fontId="1" numFmtId="0" xfId="0" applyAlignment="1" applyFont="1">
      <alignment readingOrder="0"/>
    </xf>
    <xf borderId="3" fillId="4" fontId="4" numFmtId="0" xfId="0" applyAlignment="1" applyBorder="1" applyFont="1">
      <alignment readingOrder="0"/>
    </xf>
    <xf borderId="3" fillId="4" fontId="64" numFmtId="0" xfId="0" applyAlignment="1" applyBorder="1" applyFont="1">
      <alignment readingOrder="0" vertical="center"/>
    </xf>
    <xf borderId="5" fillId="4" fontId="4" numFmtId="0" xfId="0" applyAlignment="1" applyBorder="1" applyFont="1">
      <alignment readingOrder="0"/>
    </xf>
    <xf borderId="0" fillId="4" fontId="57" numFmtId="0" xfId="0" applyFont="1"/>
    <xf borderId="5" fillId="4" fontId="4" numFmtId="0" xfId="0" applyBorder="1" applyFont="1"/>
    <xf borderId="0" fillId="0" fontId="65" numFmtId="0" xfId="0" applyAlignment="1" applyFont="1">
      <alignment readingOrder="0" shrinkToFit="0" wrapText="0"/>
    </xf>
    <xf borderId="0" fillId="4" fontId="55" numFmtId="0" xfId="0" applyAlignment="1" applyFont="1">
      <alignment readingOrder="0"/>
    </xf>
    <xf borderId="0" fillId="0" fontId="66" numFmtId="4" xfId="0" applyAlignment="1" applyFont="1" applyNumberFormat="1">
      <alignment shrinkToFit="0" wrapText="0"/>
    </xf>
    <xf borderId="0" fillId="4" fontId="57" numFmtId="0" xfId="0" applyAlignment="1" applyFont="1">
      <alignment readingOrder="0"/>
    </xf>
    <xf borderId="0" fillId="0" fontId="66" numFmtId="169" xfId="0" applyAlignment="1" applyFont="1" applyNumberFormat="1">
      <alignment shrinkToFit="0" wrapText="0"/>
    </xf>
    <xf borderId="0" fillId="0" fontId="66" numFmtId="0" xfId="0" applyAlignment="1" applyFont="1">
      <alignment shrinkToFit="0" wrapText="0"/>
    </xf>
    <xf borderId="0" fillId="0" fontId="67" numFmtId="0" xfId="0" applyAlignment="1" applyFont="1">
      <alignment readingOrder="0" shrinkToFit="0" wrapText="0"/>
    </xf>
    <xf borderId="0" fillId="0" fontId="66" numFmtId="4" xfId="0" applyAlignment="1" applyFont="1" applyNumberFormat="1">
      <alignment readingOrder="0" shrinkToFit="0" wrapText="0"/>
    </xf>
    <xf borderId="0" fillId="0" fontId="68" numFmtId="4" xfId="0" applyAlignment="1" applyFont="1" applyNumberFormat="1">
      <alignment readingOrder="0" shrinkToFit="0" wrapText="0"/>
    </xf>
    <xf borderId="0" fillId="0" fontId="69" numFmtId="4" xfId="0" applyAlignment="1" applyFont="1" applyNumberFormat="1">
      <alignment shrinkToFit="0" wrapText="0"/>
    </xf>
    <xf borderId="0" fillId="0" fontId="70" numFmtId="169" xfId="0" applyAlignment="1" applyFont="1" applyNumberFormat="1">
      <alignment readingOrder="0" shrinkToFit="0" wrapText="0"/>
    </xf>
    <xf borderId="0" fillId="0" fontId="66" numFmtId="0" xfId="0" applyAlignment="1" applyFont="1">
      <alignment horizontal="right" readingOrder="0" shrinkToFit="0" wrapText="0"/>
    </xf>
    <xf borderId="0" fillId="6" fontId="71" numFmtId="4" xfId="0" applyAlignment="1" applyFont="1" applyNumberFormat="1">
      <alignment readingOrder="0" shrinkToFit="0" wrapText="0"/>
    </xf>
    <xf borderId="0" fillId="0" fontId="66" numFmtId="169" xfId="0" applyAlignment="1" applyFont="1" applyNumberFormat="1">
      <alignment readingOrder="0" shrinkToFit="0" wrapText="0"/>
    </xf>
    <xf borderId="0" fillId="4" fontId="72" numFmtId="0" xfId="0" applyFont="1"/>
    <xf borderId="0" fillId="4" fontId="73" numFmtId="0" xfId="0" applyFont="1"/>
    <xf borderId="0" fillId="0" fontId="57" numFmtId="0" xfId="0" applyFont="1"/>
    <xf borderId="0" fillId="0" fontId="65" numFmtId="4" xfId="0" applyAlignment="1" applyFont="1" applyNumberFormat="1">
      <alignment horizontal="right" readingOrder="0" shrinkToFit="0" wrapText="0"/>
    </xf>
    <xf borderId="0" fillId="0" fontId="74" numFmtId="4" xfId="0" applyAlignment="1" applyFont="1" applyNumberFormat="1">
      <alignment horizontal="right" readingOrder="0" shrinkToFit="0" wrapText="0"/>
    </xf>
    <xf borderId="0" fillId="0" fontId="66" numFmtId="0" xfId="0" applyAlignment="1" applyFont="1">
      <alignment readingOrder="0" shrinkToFit="0" wrapText="0"/>
    </xf>
    <xf borderId="0" fillId="0" fontId="66" numFmtId="4" xfId="0" applyAlignment="1" applyFont="1" applyNumberFormat="1">
      <alignment readingOrder="0" shrinkToFit="0" wrapText="0"/>
    </xf>
    <xf borderId="0" fillId="0" fontId="6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0" numFmtId="4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0" fontId="7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right" shrinkToFit="0" wrapText="1"/>
    </xf>
    <xf borderId="0" fillId="0" fontId="70" numFmtId="4" xfId="0" applyAlignment="1" applyFont="1" applyNumberFormat="1">
      <alignment readingOrder="0" shrinkToFit="0" wrapText="0"/>
    </xf>
    <xf borderId="0" fillId="0" fontId="65" numFmtId="4" xfId="0" applyAlignment="1" applyFont="1" applyNumberFormat="1">
      <alignment shrinkToFit="0" wrapText="0"/>
    </xf>
    <xf borderId="0" fillId="0" fontId="76" numFmtId="4" xfId="0" applyAlignment="1" applyFont="1" applyNumberFormat="1">
      <alignment readingOrder="0" shrinkToFit="0" wrapText="0"/>
    </xf>
    <xf borderId="0" fillId="0" fontId="77" numFmtId="4" xfId="0" applyAlignment="1" applyFont="1" applyNumberFormat="1">
      <alignment readingOrder="0" shrinkToFit="0" wrapText="0"/>
    </xf>
    <xf borderId="0" fillId="0" fontId="78" numFmtId="4" xfId="0" applyAlignment="1" applyFont="1" applyNumberFormat="1">
      <alignment shrinkToFit="0" wrapText="0"/>
    </xf>
    <xf borderId="0" fillId="0" fontId="78" numFmtId="169" xfId="0" applyAlignment="1" applyFont="1" applyNumberFormat="1">
      <alignment shrinkToFit="0" wrapText="0"/>
    </xf>
    <xf borderId="0" fillId="0" fontId="79" numFmtId="4" xfId="0" applyAlignment="1" applyFont="1" applyNumberFormat="1">
      <alignment shrinkToFit="0" wrapText="0"/>
    </xf>
    <xf borderId="0" fillId="0" fontId="66" numFmtId="0" xfId="0" applyAlignment="1" applyFont="1">
      <alignment horizontal="right" readingOrder="0" shrinkToFit="0" wrapText="0"/>
    </xf>
    <xf borderId="0" fillId="0" fontId="80" numFmtId="4" xfId="0" applyAlignment="1" applyFont="1" applyNumberFormat="1">
      <alignment shrinkToFit="0" wrapText="0"/>
    </xf>
    <xf borderId="0" fillId="0" fontId="81" numFmtId="4" xfId="0" applyAlignment="1" applyFont="1" applyNumberFormat="1">
      <alignment readingOrder="0" shrinkToFit="0" wrapText="0"/>
    </xf>
    <xf borderId="0" fillId="0" fontId="80" numFmtId="4" xfId="0" applyAlignment="1" applyFont="1" applyNumberFormat="1">
      <alignment readingOrder="0" shrinkToFit="0" wrapText="0"/>
    </xf>
    <xf borderId="0" fillId="0" fontId="82" numFmtId="169" xfId="0" applyAlignment="1" applyFont="1" applyNumberFormat="1">
      <alignment readingOrder="0" shrinkToFit="0" wrapText="0"/>
    </xf>
    <xf borderId="0" fillId="0" fontId="83" numFmtId="169" xfId="0" applyAlignment="1" applyFont="1" applyNumberFormat="1">
      <alignment shrinkToFit="0" wrapText="0"/>
    </xf>
    <xf borderId="0" fillId="0" fontId="79" numFmtId="0" xfId="0" applyAlignment="1" applyFont="1">
      <alignment readingOrder="0" shrinkToFit="0" wrapText="0"/>
    </xf>
    <xf borderId="0" fillId="0" fontId="79" numFmtId="4" xfId="0" applyAlignment="1" applyFont="1" applyNumberFormat="1">
      <alignment readingOrder="0" shrinkToFit="0" wrapText="0"/>
    </xf>
    <xf borderId="0" fillId="0" fontId="79" numFmtId="4" xfId="0" applyAlignment="1" applyFont="1" applyNumberFormat="1">
      <alignment readingOrder="0" shrinkToFit="0" wrapText="0"/>
    </xf>
    <xf borderId="0" fillId="0" fontId="66" numFmtId="10" xfId="0" applyAlignment="1" applyFont="1" applyNumberFormat="1">
      <alignment shrinkToFit="0" wrapText="0"/>
    </xf>
    <xf borderId="0" fillId="0" fontId="66" numFmtId="10" xfId="0" applyAlignment="1" applyFont="1" applyNumberFormat="1">
      <alignment readingOrder="0" shrinkToFit="0" wrapText="0"/>
    </xf>
    <xf borderId="0" fillId="0" fontId="66" numFmtId="170" xfId="0" applyAlignment="1" applyFont="1" applyNumberFormat="1">
      <alignment readingOrder="0" shrinkToFit="0" wrapText="0"/>
    </xf>
    <xf borderId="0" fillId="0" fontId="66" numFmtId="171" xfId="0" applyAlignment="1" applyFont="1" applyNumberFormat="1">
      <alignment readingOrder="0" shrinkToFit="0" wrapText="0"/>
    </xf>
    <xf borderId="0" fillId="0" fontId="66" numFmtId="172" xfId="0" applyAlignment="1" applyFont="1" applyNumberFormat="1">
      <alignment readingOrder="0" shrinkToFit="0" wrapText="0"/>
    </xf>
    <xf borderId="0" fillId="0" fontId="15" numFmtId="10" xfId="0" applyAlignment="1" applyFont="1" applyNumberFormat="1">
      <alignment vertical="bottom"/>
    </xf>
    <xf borderId="0" fillId="6" fontId="13" numFmtId="10" xfId="0" applyAlignment="1" applyFont="1" applyNumberFormat="1">
      <alignment shrinkToFit="0" wrapText="0"/>
    </xf>
    <xf borderId="0" fillId="6" fontId="13" numFmtId="4" xfId="0" applyAlignment="1" applyFont="1" applyNumberFormat="1">
      <alignment shrinkToFit="0" wrapText="0"/>
    </xf>
    <xf borderId="0" fillId="0" fontId="66" numFmtId="173" xfId="0" applyAlignment="1" applyFont="1" applyNumberFormat="1">
      <alignment readingOrder="0" shrinkToFit="0" wrapText="0"/>
    </xf>
    <xf borderId="0" fillId="0" fontId="84" numFmtId="4" xfId="0" applyAlignment="1" applyFont="1" applyNumberFormat="1">
      <alignment readingOrder="0" shrinkToFit="0" wrapText="0"/>
    </xf>
    <xf borderId="0" fillId="0" fontId="65" numFmtId="4" xfId="0" applyAlignment="1" applyFont="1" applyNumberFormat="1">
      <alignment readingOrder="0" shrinkToFit="0" wrapText="0"/>
    </xf>
    <xf borderId="0" fillId="0" fontId="66" numFmtId="4" xfId="0" applyAlignment="1" applyFont="1" applyNumberFormat="1">
      <alignment vertical="bottom"/>
    </xf>
    <xf borderId="0" fillId="0" fontId="12" numFmtId="10" xfId="0" applyFont="1" applyNumberFormat="1"/>
    <xf borderId="0" fillId="0" fontId="12" numFmtId="173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0" numFmtId="4" xfId="0" applyAlignment="1" applyFont="1" applyNumberFormat="1">
      <alignment shrinkToFit="0" wrapText="0"/>
    </xf>
    <xf borderId="0" fillId="0" fontId="2" numFmtId="4" xfId="0" applyAlignment="1" applyFont="1" applyNumberFormat="1">
      <alignment shrinkToFit="0" wrapText="0"/>
    </xf>
    <xf borderId="0" fillId="0" fontId="2" numFmtId="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shrinkToFit="0" wrapText="0"/>
    </xf>
    <xf borderId="0" fillId="0" fontId="6" numFmtId="4" xfId="0" applyAlignment="1" applyFont="1" applyNumberFormat="1">
      <alignment shrinkToFit="0" wrapText="0"/>
    </xf>
    <xf borderId="0" fillId="0" fontId="6" numFmtId="10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1" numFmtId="10" xfId="0" applyAlignment="1" applyFont="1" applyNumberFormat="1">
      <alignment readingOrder="0" shrinkToFit="0" wrapText="0"/>
    </xf>
    <xf borderId="0" fillId="0" fontId="8" numFmtId="4" xfId="0" applyAlignment="1" applyFont="1" applyNumberFormat="1">
      <alignment vertical="bottom"/>
    </xf>
    <xf borderId="0" fillId="0" fontId="8" numFmtId="10" xfId="0" applyAlignment="1" applyFont="1" applyNumberFormat="1">
      <alignment vertical="bottom"/>
    </xf>
    <xf borderId="0" fillId="0" fontId="5" numFmtId="4" xfId="0" applyFont="1" applyNumberFormat="1"/>
    <xf borderId="0" fillId="0" fontId="1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10" numFmtId="4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8" fontId="1" numFmtId="0" xfId="0" applyAlignment="1" applyFill="1" applyFont="1">
      <alignment readingOrder="0" shrinkToFit="0" wrapText="0"/>
    </xf>
    <xf borderId="0" fillId="8" fontId="1" numFmtId="0" xfId="0" applyAlignment="1" applyFont="1">
      <alignment readingOrder="0" shrinkToFit="0" wrapText="0"/>
    </xf>
    <xf borderId="0" fillId="8" fontId="85" numFmtId="4" xfId="0" applyAlignment="1" applyFont="1" applyNumberFormat="1">
      <alignment readingOrder="0" shrinkToFit="0" wrapText="1"/>
    </xf>
    <xf borderId="0" fillId="8" fontId="1" numFmtId="4" xfId="0" applyAlignment="1" applyFont="1" applyNumberFormat="1">
      <alignment readingOrder="0" shrinkToFit="0" wrapText="1"/>
    </xf>
    <xf borderId="0" fillId="8" fontId="3" numFmtId="4" xfId="0" applyAlignment="1" applyFont="1" applyNumberFormat="1">
      <alignment readingOrder="0" shrinkToFit="0" wrapText="0"/>
    </xf>
    <xf borderId="0" fillId="8" fontId="5" numFmtId="4" xfId="0" applyAlignment="1" applyFont="1" applyNumberFormat="1">
      <alignment shrinkToFit="0" wrapText="0"/>
    </xf>
    <xf borderId="0" fillId="8" fontId="5" numFmtId="0" xfId="0" applyAlignment="1" applyFont="1">
      <alignment shrinkToFit="0" wrapText="0"/>
    </xf>
    <xf borderId="0" fillId="0" fontId="1" numFmtId="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7" numFmtId="4" xfId="0" applyAlignment="1" applyFont="1" applyNumberFormat="1">
      <alignment shrinkToFit="0" wrapText="0"/>
    </xf>
    <xf borderId="0" fillId="0" fontId="4" numFmtId="4" xfId="0" applyAlignment="1" applyFont="1" applyNumberFormat="1">
      <alignment shrinkToFit="0" wrapText="0"/>
    </xf>
    <xf borderId="0" fillId="0" fontId="4" numFmtId="4" xfId="0" applyAlignment="1" applyFont="1" applyNumberFormat="1">
      <alignment readingOrder="0" shrinkToFit="0" wrapText="0"/>
    </xf>
    <xf borderId="0" fillId="0" fontId="4" numFmtId="10" xfId="0" applyAlignment="1" applyFont="1" applyNumberFormat="1">
      <alignment readingOrder="0" shrinkToFit="0" wrapText="0"/>
    </xf>
    <xf borderId="0" fillId="0" fontId="66" numFmtId="4" xfId="0" applyAlignment="1" applyFont="1" applyNumberFormat="1">
      <alignment horizontal="right" readingOrder="0" vertical="bottom"/>
    </xf>
    <xf borderId="0" fillId="0" fontId="4" numFmtId="10" xfId="0" applyAlignment="1" applyFont="1" applyNumberFormat="1">
      <alignment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78" numFmtId="10" xfId="0" applyAlignment="1" applyFont="1" applyNumberFormat="1">
      <alignment shrinkToFit="0" wrapText="0"/>
    </xf>
    <xf borderId="0" fillId="9" fontId="4" numFmtId="0" xfId="0" applyFill="1" applyFont="1"/>
    <xf borderId="0" fillId="9" fontId="4" numFmtId="0" xfId="0" applyAlignment="1" applyFont="1">
      <alignment shrinkToFit="0" wrapText="0"/>
    </xf>
    <xf borderId="0" fillId="9" fontId="85" numFmtId="4" xfId="0" applyAlignment="1" applyFont="1" applyNumberFormat="1">
      <alignment readingOrder="0" shrinkToFit="0" wrapText="1"/>
    </xf>
    <xf borderId="0" fillId="9" fontId="11" numFmtId="4" xfId="0" applyAlignment="1" applyFont="1" applyNumberFormat="1">
      <alignment horizontal="center" shrinkToFit="0" wrapText="0"/>
    </xf>
    <xf borderId="0" fillId="9" fontId="11" numFmtId="4" xfId="0" applyAlignment="1" applyFont="1" applyNumberFormat="1">
      <alignment shrinkToFit="0" wrapText="0"/>
    </xf>
    <xf borderId="0" fillId="9" fontId="12" numFmtId="4" xfId="0" applyAlignment="1" applyFont="1" applyNumberFormat="1">
      <alignment shrinkToFit="0" wrapText="0"/>
    </xf>
    <xf borderId="0" fillId="9" fontId="12" numFmtId="0" xfId="0" applyAlignment="1" applyFont="1">
      <alignment shrinkToFit="0" wrapText="0"/>
    </xf>
    <xf borderId="0" fillId="0" fontId="4" numFmtId="4" xfId="0" applyAlignment="1" applyFont="1" applyNumberFormat="1">
      <alignment horizontal="right" readingOrder="0" shrinkToFit="0" wrapText="0"/>
    </xf>
    <xf borderId="0" fillId="0" fontId="4" numFmtId="4" xfId="0" applyAlignment="1" applyFont="1" applyNumberFormat="1">
      <alignment horizontal="right" shrinkToFit="0" wrapText="0"/>
    </xf>
    <xf borderId="0" fillId="0" fontId="78" numFmtId="174" xfId="0" applyAlignment="1" applyFont="1" applyNumberFormat="1">
      <alignment shrinkToFit="0" wrapText="0"/>
    </xf>
    <xf borderId="0" fillId="0" fontId="4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10" fontId="4" numFmtId="0" xfId="0" applyFill="1" applyFont="1"/>
    <xf borderId="0" fillId="10" fontId="1" numFmtId="0" xfId="0" applyAlignment="1" applyFont="1">
      <alignment horizontal="right" readingOrder="0" shrinkToFit="0" vertical="center" wrapText="0"/>
    </xf>
    <xf borderId="0" fillId="10" fontId="85" numFmtId="4" xfId="0" applyAlignment="1" applyFont="1" applyNumberFormat="1">
      <alignment horizontal="left" readingOrder="0" shrinkToFit="0" vertical="center" wrapText="0"/>
    </xf>
    <xf borderId="0" fillId="10" fontId="1" numFmtId="4" xfId="0" applyAlignment="1" applyFont="1" applyNumberFormat="1">
      <alignment horizontal="center" readingOrder="0" shrinkToFit="0" vertical="center" wrapText="0"/>
    </xf>
    <xf borderId="0" fillId="10" fontId="1" numFmtId="4" xfId="0" applyAlignment="1" applyFont="1" applyNumberFormat="1">
      <alignment horizontal="center" readingOrder="0" shrinkToFit="0" vertical="center" wrapText="1"/>
    </xf>
    <xf borderId="0" fillId="10" fontId="12" numFmtId="0" xfId="0" applyAlignment="1" applyFont="1">
      <alignment shrinkToFit="0" wrapText="0"/>
    </xf>
    <xf borderId="0" fillId="0" fontId="4" numFmtId="4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11" fontId="4" numFmtId="0" xfId="0" applyFill="1" applyFont="1"/>
    <xf borderId="0" fillId="0" fontId="69" numFmtId="4" xfId="0" applyAlignment="1" applyFont="1" applyNumberFormat="1">
      <alignment readingOrder="0" shrinkToFit="0" wrapText="0"/>
    </xf>
    <xf borderId="0" fillId="11" fontId="1" numFmtId="0" xfId="0" applyAlignment="1" applyFont="1">
      <alignment horizontal="right" readingOrder="0" shrinkToFit="0" vertical="center" wrapText="0"/>
    </xf>
    <xf borderId="0" fillId="11" fontId="86" numFmtId="4" xfId="0" applyAlignment="1" applyFont="1" applyNumberFormat="1">
      <alignment horizontal="left" readingOrder="0" shrinkToFit="0" vertical="center" wrapText="0"/>
    </xf>
    <xf borderId="0" fillId="11" fontId="1" numFmtId="4" xfId="0" applyAlignment="1" applyFont="1" applyNumberFormat="1">
      <alignment horizontal="center" readingOrder="0" shrinkToFit="0" vertical="center" wrapText="0"/>
    </xf>
    <xf borderId="0" fillId="11" fontId="1" numFmtId="4" xfId="0" applyAlignment="1" applyFont="1" applyNumberFormat="1">
      <alignment horizontal="center" readingOrder="0" shrinkToFit="0" vertical="center" wrapText="1"/>
    </xf>
    <xf borderId="0" fillId="11" fontId="12" numFmtId="0" xfId="0" applyAlignment="1" applyFont="1">
      <alignment shrinkToFit="0" wrapText="0"/>
    </xf>
    <xf borderId="0" fillId="12" fontId="4" numFmtId="0" xfId="0" applyFill="1" applyFont="1"/>
    <xf borderId="0" fillId="12" fontId="1" numFmtId="0" xfId="0" applyAlignment="1" applyFont="1">
      <alignment horizontal="right" readingOrder="0" shrinkToFit="0" vertical="center" wrapText="0"/>
    </xf>
    <xf borderId="0" fillId="12" fontId="86" numFmtId="4" xfId="0" applyAlignment="1" applyFont="1" applyNumberFormat="1">
      <alignment horizontal="left" readingOrder="0" shrinkToFit="0" vertical="center" wrapText="0"/>
    </xf>
    <xf borderId="0" fillId="12" fontId="1" numFmtId="4" xfId="0" applyAlignment="1" applyFont="1" applyNumberFormat="1">
      <alignment horizontal="center" readingOrder="0" shrinkToFit="0" vertical="center" wrapText="0"/>
    </xf>
    <xf borderId="0" fillId="12" fontId="1" numFmtId="4" xfId="0" applyAlignment="1" applyFont="1" applyNumberFormat="1">
      <alignment horizontal="center" readingOrder="0" shrinkToFit="0" vertical="center" wrapText="1"/>
    </xf>
    <xf borderId="0" fillId="12" fontId="12" numFmtId="0" xfId="0" applyAlignment="1" applyFont="1">
      <alignment shrinkToFit="0" wrapText="0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4" numFmtId="171" xfId="0" applyFont="1" applyNumberFormat="1"/>
    <xf borderId="0" fillId="0" fontId="87" numFmtId="4" xfId="0" applyAlignment="1" applyFont="1" applyNumberFormat="1">
      <alignment shrinkToFit="0" wrapText="0"/>
    </xf>
    <xf borderId="0" fillId="0" fontId="12" numFmtId="10" xfId="0" applyAlignment="1" applyFont="1" applyNumberFormat="1">
      <alignment shrinkToFit="0" wrapText="0"/>
    </xf>
  </cellXfs>
  <cellStyles count="1">
    <cellStyle xfId="0" name="Normal" builtinId="0"/>
  </cellStyles>
  <dxfs count="10">
    <dxf>
      <font>
        <color rgb="FFA67299"/>
      </font>
      <fill>
        <patternFill patternType="none"/>
      </fill>
      <border/>
    </dxf>
    <dxf>
      <font>
        <color rgb="FFF7C145"/>
      </font>
      <fill>
        <patternFill patternType="none"/>
      </fill>
      <border/>
    </dxf>
    <dxf>
      <font>
        <color rgb="FFF27B51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b/>
        <color rgb="FFE06666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57BB8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1800">
                <a:solidFill>
                  <a:srgbClr val="000000"/>
                </a:solidFill>
                <a:latin typeface="Georgia"/>
              </a:defRPr>
            </a:pPr>
            <a:r>
              <a:rPr b="0" i="1" sz="1800">
                <a:solidFill>
                  <a:srgbClr val="000000"/>
                </a:solidFill>
                <a:latin typeface="Georgia"/>
              </a:rPr>
              <a:t>Precio de Venta 2024 vs 2025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2024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375C6F"/>
              </a:solidFill>
              <a:ln cmpd="sng">
                <a:solidFill>
                  <a:srgbClr val="375C6F"/>
                </a:solidFill>
              </a:ln>
            </c:spPr>
          </c:marker>
          <c:dPt>
            <c:idx val="1"/>
            <c:marker>
              <c:symbol val="none"/>
            </c:marker>
          </c:dPt>
          <c:xVal>
            <c:numRef>
              <c:f>'Maestro de productos 2024'!$A$189:$A$196</c:f>
            </c:numRef>
          </c:xVal>
          <c:yVal>
            <c:numRef>
              <c:f>'Maestro de productos 2024'!$D$189:$D$196</c:f>
              <c:numCache/>
            </c:numRef>
          </c:yVal>
        </c:ser>
        <c:ser>
          <c:idx val="1"/>
          <c:order val="1"/>
          <c:tx>
            <c:v>2025</c:v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F7C143"/>
              </a:solidFill>
              <a:ln cmpd="sng">
                <a:solidFill>
                  <a:srgbClr val="F7C143"/>
                </a:solidFill>
              </a:ln>
            </c:spPr>
          </c:marker>
          <c:dPt>
            <c:idx val="1"/>
            <c:marker>
              <c:symbol val="none"/>
            </c:marker>
          </c:dPt>
          <c:xVal>
            <c:numRef>
              <c:f>'Maestro de productos 2024'!$A$189:$A$196</c:f>
            </c:numRef>
          </c:xVal>
          <c:yVal>
            <c:numRef>
              <c:f>'Maestro de productos 2025'!$D$189:$D$196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514463"/>
        <c:axId val="282957628"/>
      </c:scatterChart>
      <c:valAx>
        <c:axId val="12545144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282957628"/>
      </c:valAx>
      <c:valAx>
        <c:axId val="282957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254514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FAFBF5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UB</c:v>
          </c:tx>
          <c:spPr>
            <a:solidFill>
              <a:srgbClr val="F27B51"/>
            </a:solidFill>
            <a:ln cmpd="sng">
              <a:noFill/>
            </a:ln>
          </c:spPr>
          <c:dPt>
            <c:idx val="0"/>
          </c:dPt>
          <c:cat>
            <c:strRef>
              <c:f>'Dashboard de rentabilidad'!$A$39:$A$46</c:f>
            </c:strRef>
          </c:cat>
          <c:val>
            <c:numRef>
              <c:f>'Dashboard de rentabilidad'!$C$39:$C$46</c:f>
              <c:numCache/>
            </c:numRef>
          </c:val>
        </c:ser>
        <c:axId val="1697027110"/>
        <c:axId val="1959937953"/>
      </c:barChart>
      <c:catAx>
        <c:axId val="1697027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959937953"/>
      </c:catAx>
      <c:valAx>
        <c:axId val="1959937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697027110"/>
      </c:valAx>
      <c:lineChart>
        <c:varyColors val="0"/>
        <c:ser>
          <c:idx val="1"/>
          <c:order val="1"/>
          <c:tx>
            <c:strRef>
              <c:f>'Dashboard de rentabilidad'!$E$38</c:f>
            </c:strRef>
          </c:tx>
          <c:spPr>
            <a:ln cmpd="sng">
              <a:solidFill>
                <a:srgbClr val="DE898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cat>
            <c:strRef>
              <c:f>'Dashboard de rentabilidad'!$A$39:$A$46</c:f>
            </c:strRef>
          </c:cat>
          <c:val>
            <c:numRef>
              <c:f>'Dashboard de rentabilidad'!$E$39:$E$46</c:f>
              <c:numCache/>
            </c:numRef>
          </c:val>
          <c:smooth val="0"/>
        </c:ser>
        <c:axId val="1213632254"/>
        <c:axId val="815126979"/>
      </c:lineChart>
      <c:catAx>
        <c:axId val="12136322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815126979"/>
      </c:catAx>
      <c:valAx>
        <c:axId val="815126979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2136322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AFBF5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UB</c:v>
          </c:tx>
          <c:spPr>
            <a:solidFill>
              <a:srgbClr val="F7C145"/>
            </a:solidFill>
            <a:ln cmpd="sng">
              <a:noFill/>
            </a:ln>
          </c:spPr>
          <c:dPt>
            <c:idx val="0"/>
          </c:dPt>
          <c:dPt>
            <c:idx val="2"/>
          </c:dPt>
          <c:cat>
            <c:strRef>
              <c:f>'Dashboard de rentabilidad'!$A$49:$A$56</c:f>
            </c:strRef>
          </c:cat>
          <c:val>
            <c:numRef>
              <c:f>'Dashboard de rentabilidad'!$C$49:$C$56</c:f>
              <c:numCache/>
            </c:numRef>
          </c:val>
        </c:ser>
        <c:axId val="814345726"/>
        <c:axId val="496838430"/>
      </c:barChart>
      <c:catAx>
        <c:axId val="814345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496838430"/>
      </c:catAx>
      <c:valAx>
        <c:axId val="496838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814345726"/>
      </c:valAx>
      <c:lineChart>
        <c:varyColors val="0"/>
        <c:ser>
          <c:idx val="1"/>
          <c:order val="1"/>
          <c:tx>
            <c:strRef>
              <c:f>'Dashboard de rentabilidad'!$E$48</c:f>
            </c:strRef>
          </c:tx>
          <c:spPr>
            <a:ln cmpd="sng">
              <a:solidFill>
                <a:srgbClr val="DE898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cat>
            <c:strRef>
              <c:f>'Dashboard de rentabilidad'!$A$49:$A$56</c:f>
            </c:strRef>
          </c:cat>
          <c:val>
            <c:numRef>
              <c:f>'Dashboard de rentabilidad'!$E$49:$E$56</c:f>
              <c:numCache/>
            </c:numRef>
          </c:val>
          <c:smooth val="0"/>
        </c:ser>
        <c:axId val="337732024"/>
        <c:axId val="6713830"/>
      </c:lineChart>
      <c:catAx>
        <c:axId val="337732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6713830"/>
      </c:catAx>
      <c:valAx>
        <c:axId val="6713830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3377320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AFBF5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Ambos años (2024-2025)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UB</c:v>
          </c:tx>
          <c:spPr>
            <a:solidFill>
              <a:srgbClr val="A67299"/>
            </a:solidFill>
            <a:ln cmpd="sng">
              <a:noFill/>
            </a:ln>
          </c:spPr>
          <c:dPt>
            <c:idx val="0"/>
          </c:dPt>
          <c:dPt>
            <c:idx val="3"/>
          </c:dPt>
          <c:dPt>
            <c:idx val="4"/>
          </c:dPt>
          <c:dPt>
            <c:idx val="6"/>
          </c:dPt>
          <c:cat>
            <c:strRef>
              <c:f>'Dashboard de rentabilidad'!$A$59:$A$66</c:f>
            </c:strRef>
          </c:cat>
          <c:val>
            <c:numRef>
              <c:f>'Dashboard de rentabilidad'!$C$59:$C$66</c:f>
              <c:numCache/>
            </c:numRef>
          </c:val>
        </c:ser>
        <c:axId val="2050064606"/>
        <c:axId val="1259046295"/>
      </c:barChart>
      <c:catAx>
        <c:axId val="2050064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259046295"/>
      </c:catAx>
      <c:valAx>
        <c:axId val="1259046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2050064606"/>
      </c:valAx>
      <c:lineChart>
        <c:varyColors val="0"/>
        <c:ser>
          <c:idx val="1"/>
          <c:order val="1"/>
          <c:tx>
            <c:strRef>
              <c:f>'Dashboard de rentabilidad'!$E$58</c:f>
            </c:strRef>
          </c:tx>
          <c:spPr>
            <a:ln cmpd="sng">
              <a:solidFill>
                <a:srgbClr val="DE898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cat>
            <c:strRef>
              <c:f>'Dashboard de rentabilidad'!$A$59:$A$66</c:f>
            </c:strRef>
          </c:cat>
          <c:val>
            <c:numRef>
              <c:f>'Dashboard de rentabilidad'!$E$59:$E$66</c:f>
              <c:numCache/>
            </c:numRef>
          </c:val>
          <c:smooth val="0"/>
        </c:ser>
        <c:axId val="848184802"/>
        <c:axId val="706174442"/>
      </c:lineChart>
      <c:catAx>
        <c:axId val="8481848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706174442"/>
      </c:catAx>
      <c:valAx>
        <c:axId val="706174442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8481848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AFBF5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515851"/>
            </a:solidFill>
            <a:ln cmpd="sng">
              <a:noFill/>
            </a:ln>
          </c:spPr>
          <c:dPt>
            <c:idx val="0"/>
            <c:spPr>
              <a:solidFill>
                <a:srgbClr val="375C6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7F97A3"/>
              </a:solidFill>
              <a:ln cmpd="sng">
                <a:noFill/>
              </a:ln>
            </c:spPr>
          </c:dPt>
          <c:cat>
            <c:strRef>
              <c:f>'Insights&amp;Resultados'!$G$35:$G$36</c:f>
            </c:strRef>
          </c:cat>
          <c:val>
            <c:numRef>
              <c:f>'Insights&amp;Resultados'!$H$35:$H$36</c:f>
              <c:numCache/>
            </c:numRef>
          </c:val>
        </c:ser>
        <c:axId val="1752449569"/>
        <c:axId val="1384470621"/>
      </c:bar3DChart>
      <c:catAx>
        <c:axId val="1752449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384470621"/>
      </c:catAx>
      <c:valAx>
        <c:axId val="1384470621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752449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  <c:spPr>
    <a:solidFill>
      <a:srgbClr val="FAFBF5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Georgia"/>
              </a:defRPr>
            </a:pPr>
            <a:r>
              <a:rPr b="0">
                <a:solidFill>
                  <a:srgbClr val="999999"/>
                </a:solidFill>
                <a:latin typeface="Georgia"/>
              </a:rPr>
              <a:t>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UB</c:v>
          </c:tx>
          <c:spPr>
            <a:solidFill>
              <a:srgbClr val="D9D9D9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3"/>
            <c:spPr>
              <a:solidFill>
                <a:srgbClr val="D9D9D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9D9D9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27B51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27B51"/>
              </a:solidFill>
              <a:ln cmpd="sng">
                <a:noFill/>
              </a:ln>
            </c:spPr>
          </c:dPt>
          <c:cat>
            <c:strRef>
              <c:f>'Dashboard de rentabilidad'!$A$49:$A$56</c:f>
            </c:strRef>
          </c:cat>
          <c:val>
            <c:numRef>
              <c:f>'Dashboard de rentabilidad'!$C$49:$C$56</c:f>
              <c:numCache/>
            </c:numRef>
          </c:val>
        </c:ser>
        <c:axId val="866018104"/>
        <c:axId val="1678444870"/>
      </c:barChart>
      <c:catAx>
        <c:axId val="866018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Georgia"/>
              </a:defRPr>
            </a:pPr>
          </a:p>
        </c:txPr>
        <c:crossAx val="1678444870"/>
      </c:catAx>
      <c:valAx>
        <c:axId val="167844487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Georgia"/>
              </a:defRPr>
            </a:pPr>
          </a:p>
        </c:txPr>
        <c:crossAx val="866018104"/>
      </c:valAx>
      <c:lineChart>
        <c:varyColors val="0"/>
        <c:ser>
          <c:idx val="1"/>
          <c:order val="1"/>
          <c:tx>
            <c:strRef>
              <c:f>'Dashboard de rentabilidad'!$E$48</c:f>
            </c:strRef>
          </c:tx>
          <c:spPr>
            <a:ln cmpd="sng">
              <a:solidFill>
                <a:srgbClr val="999999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cat>
            <c:strRef>
              <c:f>'Dashboard de rentabilidad'!$A$49:$A$56</c:f>
            </c:strRef>
          </c:cat>
          <c:val>
            <c:numRef>
              <c:f>'Dashboard de rentabilidad'!$E$49:$E$56</c:f>
              <c:numCache/>
            </c:numRef>
          </c:val>
          <c:smooth val="0"/>
        </c:ser>
        <c:axId val="527659807"/>
        <c:axId val="1637692376"/>
      </c:lineChart>
      <c:catAx>
        <c:axId val="527659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Georgia"/>
              </a:defRPr>
            </a:pPr>
          </a:p>
        </c:txPr>
        <c:crossAx val="1637692376"/>
      </c:catAx>
      <c:valAx>
        <c:axId val="1637692376"/>
        <c:scaling>
          <c:orientation val="minMax"/>
          <c:max val="1.0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Georgia"/>
              </a:defRPr>
            </a:pPr>
          </a:p>
        </c:txPr>
        <c:crossAx val="527659807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B7B7B7"/>
              </a:solidFill>
              <a:latin typeface="Georgia"/>
            </a:defRPr>
          </a:pPr>
        </a:p>
      </c:txPr>
    </c:legend>
    <c:plotVisOnly val="1"/>
  </c:chart>
  <c:spPr>
    <a:solidFill>
      <a:srgbClr val="FAFBF5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1.xml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9</xdr:row>
      <xdr:rowOff>190500</xdr:rowOff>
    </xdr:from>
    <xdr:ext cx="5991225" cy="4210050"/>
    <xdr:pic>
      <xdr:nvPicPr>
        <xdr:cNvPr id="177353475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17</xdr:row>
      <xdr:rowOff>161925</xdr:rowOff>
    </xdr:from>
    <xdr:ext cx="4591050" cy="28289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609600</xdr:colOff>
      <xdr:row>13</xdr:row>
      <xdr:rowOff>190500</xdr:rowOff>
    </xdr:from>
    <xdr:ext cx="581025" cy="238125"/>
    <xdr:sp>
      <xdr:nvSpPr>
        <xdr:cNvPr id="3" name="Shape 3"/>
        <xdr:cNvSpPr/>
      </xdr:nvSpPr>
      <xdr:spPr>
        <a:xfrm>
          <a:off x="2589625" y="498525"/>
          <a:ext cx="558300" cy="253800"/>
        </a:xfrm>
        <a:prstGeom prst="rect">
          <a:avLst/>
        </a:prstGeom>
        <a:solidFill>
          <a:srgbClr val="F8F9FA"/>
        </a:solidFill>
        <a:ln cap="flat" cmpd="sng" w="9525">
          <a:solidFill>
            <a:srgbClr val="F8F9F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352425</xdr:colOff>
      <xdr:row>61</xdr:row>
      <xdr:rowOff>66675</xdr:rowOff>
    </xdr:from>
    <xdr:ext cx="4048125" cy="2085975"/>
    <xdr:sp>
      <xdr:nvSpPr>
        <xdr:cNvPr id="4" name="Shape 4"/>
        <xdr:cNvSpPr/>
      </xdr:nvSpPr>
      <xdr:spPr>
        <a:xfrm>
          <a:off x="849925" y="415350"/>
          <a:ext cx="4026900" cy="2064300"/>
        </a:xfrm>
        <a:prstGeom prst="rect">
          <a:avLst/>
        </a:prstGeom>
        <a:solidFill>
          <a:srgbClr val="FAFBF5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375C6F"/>
              </a:highlight>
              <a:latin typeface="Quicksand"/>
              <a:ea typeface="Quicksand"/>
              <a:cs typeface="Quicksand"/>
              <a:sym typeface="Quicksand"/>
            </a:rPr>
            <a:t>- </a:t>
          </a:r>
          <a:r>
            <a:rPr b="1" lang="en-US" sz="1400">
              <a:solidFill>
                <a:srgbClr val="FFFFFF"/>
              </a:solidFill>
              <a:highlight>
                <a:srgbClr val="375C6F"/>
              </a:highlight>
              <a:latin typeface="Quicksand"/>
              <a:ea typeface="Quicksand"/>
              <a:cs typeface="Quicksand"/>
              <a:sym typeface="Quicksand"/>
            </a:rPr>
            <a:t>FORTALEZAS -</a:t>
          </a:r>
          <a:endParaRPr b="1" sz="1400">
            <a:solidFill>
              <a:srgbClr val="FFFFFF"/>
            </a:solidFill>
            <a:highlight>
              <a:srgbClr val="375C6F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Buena rentabilidad con los productos estrella.</a:t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Los productos son bien recibidos en el mercado local como “marca artesanal”.</a:t>
          </a:r>
          <a:endParaRPr sz="1200">
            <a:latin typeface="Quicksand"/>
            <a:ea typeface="Quicksand"/>
            <a:cs typeface="Quicksand"/>
            <a:sym typeface="Quicksand"/>
          </a:endParaRPr>
        </a:p>
      </xdr:txBody>
    </xdr:sp>
    <xdr:clientData fLocksWithSheet="0"/>
  </xdr:oneCellAnchor>
  <xdr:oneCellAnchor>
    <xdr:from>
      <xdr:col>7</xdr:col>
      <xdr:colOff>933450</xdr:colOff>
      <xdr:row>61</xdr:row>
      <xdr:rowOff>76200</xdr:rowOff>
    </xdr:from>
    <xdr:ext cx="4191000" cy="2066925"/>
    <xdr:sp>
      <xdr:nvSpPr>
        <xdr:cNvPr id="5" name="Shape 5"/>
        <xdr:cNvSpPr/>
      </xdr:nvSpPr>
      <xdr:spPr>
        <a:xfrm>
          <a:off x="1290250" y="388275"/>
          <a:ext cx="4173000" cy="2051400"/>
        </a:xfrm>
        <a:prstGeom prst="rect">
          <a:avLst/>
        </a:prstGeom>
        <a:solidFill>
          <a:srgbClr val="FAFBF5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798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A8709D"/>
              </a:highlight>
              <a:latin typeface="Quicksand"/>
              <a:ea typeface="Quicksand"/>
              <a:cs typeface="Quicksand"/>
              <a:sym typeface="Quicksand"/>
            </a:rPr>
            <a:t>- DEBILIDADES -</a:t>
          </a:r>
          <a:endParaRPr b="1" sz="1400">
            <a:solidFill>
              <a:srgbClr val="FFFFFF"/>
            </a:solidFill>
            <a:highlight>
              <a:srgbClr val="A8709D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La estrategia de precios de venta se mantuvo estática frente a las fluctuaciones del mercado de 2025. </a:t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0" lvl="0" marL="45720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Ineficiencia en considerar la merma de los productos no vendidos adecuadamente.</a:t>
          </a:r>
          <a:endParaRPr sz="1400"/>
        </a:p>
      </xdr:txBody>
    </xdr:sp>
    <xdr:clientData fLocksWithSheet="0"/>
  </xdr:oneCellAnchor>
  <xdr:oneCellAnchor>
    <xdr:from>
      <xdr:col>3</xdr:col>
      <xdr:colOff>428625</xdr:colOff>
      <xdr:row>71</xdr:row>
      <xdr:rowOff>152400</xdr:rowOff>
    </xdr:from>
    <xdr:ext cx="3905250" cy="2219325"/>
    <xdr:sp>
      <xdr:nvSpPr>
        <xdr:cNvPr id="6" name="Shape 6"/>
        <xdr:cNvSpPr/>
      </xdr:nvSpPr>
      <xdr:spPr>
        <a:xfrm>
          <a:off x="1160150" y="628450"/>
          <a:ext cx="3882900" cy="2201700"/>
        </a:xfrm>
        <a:prstGeom prst="rect">
          <a:avLst/>
        </a:prstGeom>
        <a:solidFill>
          <a:srgbClr val="FAFBF5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375C6F"/>
              </a:highlight>
              <a:latin typeface="Quicksand"/>
              <a:ea typeface="Quicksand"/>
              <a:cs typeface="Quicksand"/>
              <a:sym typeface="Quicksand"/>
            </a:rPr>
            <a:t>- OPORTUNIDADES -</a:t>
          </a:r>
          <a:endParaRPr b="1" sz="1400">
            <a:solidFill>
              <a:srgbClr val="FFFFFF"/>
            </a:solidFill>
            <a:highlight>
              <a:srgbClr val="375C6F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3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Relanzar el negocio aplicando la Meta SMART del 65% de Margen Bruto.</a:t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Utilizar redes sociales o entregas programadas para suavizar el impacto de pérdida de clientes tras la reubicación.</a:t>
          </a:r>
          <a:endParaRPr sz="1200">
            <a:latin typeface="Quicksand"/>
            <a:ea typeface="Quicksand"/>
            <a:cs typeface="Quicksand"/>
            <a:sym typeface="Quicksand"/>
          </a:endParaRPr>
        </a:p>
      </xdr:txBody>
    </xdr:sp>
    <xdr:clientData fLocksWithSheet="0"/>
  </xdr:oneCellAnchor>
  <xdr:oneCellAnchor>
    <xdr:from>
      <xdr:col>7</xdr:col>
      <xdr:colOff>847725</xdr:colOff>
      <xdr:row>71</xdr:row>
      <xdr:rowOff>142875</xdr:rowOff>
    </xdr:from>
    <xdr:ext cx="4362450" cy="2333625"/>
    <xdr:sp>
      <xdr:nvSpPr>
        <xdr:cNvPr id="7" name="Shape 7"/>
        <xdr:cNvSpPr/>
      </xdr:nvSpPr>
      <xdr:spPr>
        <a:xfrm>
          <a:off x="940000" y="618450"/>
          <a:ext cx="4343100" cy="2311500"/>
        </a:xfrm>
        <a:prstGeom prst="rect">
          <a:avLst/>
        </a:prstGeom>
        <a:solidFill>
          <a:srgbClr val="FAFBF5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A8709D"/>
              </a:highlight>
              <a:latin typeface="Quicksand"/>
              <a:ea typeface="Quicksand"/>
              <a:cs typeface="Quicksand"/>
              <a:sym typeface="Quicksand"/>
            </a:rPr>
            <a:t>- AMENAZAS -</a:t>
          </a:r>
          <a:endParaRPr b="1" sz="1400">
            <a:solidFill>
              <a:srgbClr val="FFFFFF"/>
            </a:solidFill>
            <a:highlight>
              <a:srgbClr val="A8709D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highlight>
              <a:srgbClr val="F1C232"/>
            </a:highlight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Alza de la inflación en productos clave (chocolate, lácteos y frutos rojos)</a:t>
          </a:r>
          <a:r>
            <a:rPr lang="en-US" sz="1100">
              <a:latin typeface="Quicksand"/>
              <a:ea typeface="Quicksand"/>
              <a:cs typeface="Quicksand"/>
              <a:sym typeface="Quicksand"/>
            </a:rPr>
            <a:t> que erosiona el marge.</a:t>
          </a:r>
          <a:endParaRPr sz="1100">
            <a:latin typeface="Quicksand"/>
            <a:ea typeface="Quicksand"/>
            <a:cs typeface="Quicksand"/>
            <a:sym typeface="Quicksand"/>
          </a:endParaRPr>
        </a:p>
        <a:p>
          <a:pPr indent="0" lvl="0" marL="45720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Quicksand"/>
            <a:ea typeface="Quicksand"/>
            <a:cs typeface="Quicksand"/>
            <a:sym typeface="Quicksand"/>
          </a:endParaRPr>
        </a:p>
        <a:p>
          <a:pPr indent="-304800" lvl="0" marL="457200" rtl="0" algn="ctr">
            <a:spcBef>
              <a:spcPts val="0"/>
            </a:spcBef>
            <a:spcAft>
              <a:spcPts val="0"/>
            </a:spcAft>
            <a:buSzPts val="1200"/>
            <a:buFont typeface="Quicksand"/>
            <a:buChar char="-"/>
          </a:pPr>
          <a:r>
            <a:rPr lang="en-US" sz="1200">
              <a:latin typeface="Quicksand"/>
              <a:ea typeface="Quicksand"/>
              <a:cs typeface="Quicksand"/>
              <a:sym typeface="Quicksand"/>
            </a:rPr>
            <a:t>Ya existen negocios consolidados en la nueva zona de reubicación.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171450</xdr:rowOff>
    </xdr:from>
    <xdr:ext cx="10972800" cy="3924300"/>
    <xdr:grpSp>
      <xdr:nvGrpSpPr>
        <xdr:cNvPr id="2" name="Shape 2" title="Dibujo"/>
        <xdr:cNvGrpSpPr/>
      </xdr:nvGrpSpPr>
      <xdr:grpSpPr>
        <a:xfrm>
          <a:off x="-220850" y="209400"/>
          <a:ext cx="12044848" cy="3905400"/>
          <a:chOff x="-220850" y="209400"/>
          <a:chExt cx="12044848" cy="3905400"/>
        </a:xfrm>
      </xdr:grpSpPr>
      <xdr:sp>
        <xdr:nvSpPr>
          <xdr:cNvPr id="8" name="Shape 8"/>
          <xdr:cNvSpPr/>
        </xdr:nvSpPr>
        <xdr:spPr>
          <a:xfrm>
            <a:off x="-220850" y="209400"/>
            <a:ext cx="7941000" cy="3905400"/>
          </a:xfrm>
          <a:prstGeom prst="roundRect">
            <a:avLst>
              <a:gd fmla="val 0" name="adj"/>
            </a:avLst>
          </a:prstGeom>
          <a:gradFill>
            <a:gsLst>
              <a:gs pos="0">
                <a:srgbClr val="375C6F"/>
              </a:gs>
              <a:gs pos="100000">
                <a:srgbClr val="FAFBF5"/>
              </a:gs>
            </a:gsLst>
            <a:lin ang="0" scaled="0"/>
          </a:gra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2344598" y="422739"/>
            <a:ext cx="9479400" cy="344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¿</a:t>
            </a: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Qué productos mantuvieron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 </a:t>
            </a: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la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 </a:t>
            </a:r>
            <a:r>
              <a:rPr b="1"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RENTABILIDAD 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del negocio?</a:t>
            </a:r>
            <a:endParaRPr sz="1400">
              <a:solidFill>
                <a:srgbClr val="375C6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>
              <a:solidFill>
                <a:srgbClr val="375C6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Establecer qué productos generan una alta rentabilidad para ver si existe una eficacia operativa y que esto 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nos </a:t>
            </a: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garantice </a:t>
            </a: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un negocio sostenible.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4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¿El nulo aumento de los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 </a:t>
            </a:r>
            <a:r>
              <a:rPr b="1"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PRECIOS DE VENTA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 fue la única causa de la disminución del </a:t>
            </a:r>
            <a:endParaRPr sz="1400">
              <a:solidFill>
                <a:srgbClr val="375C6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MARGEN DE GANANCIA BRUTO?</a:t>
            </a:r>
            <a:endParaRPr sz="1400">
              <a:solidFill>
                <a:srgbClr val="FFFFF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>
              <a:solidFill>
                <a:srgbClr val="FFFFF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Aislar el efecto inflacionario del costo de insumos frente a la estrategia de precios fijos para cuantificar la 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pérdida de margen.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  <a:latin typeface="Quicksand"/>
                <a:ea typeface="Quicksand"/>
                <a:cs typeface="Quicksand"/>
                <a:sym typeface="Quicksand"/>
              </a:rPr>
              <a:t>¿Qué recetas necesitan </a:t>
            </a:r>
            <a:r>
              <a:rPr b="1"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REESTRUCTURACIÓN</a:t>
            </a:r>
            <a:r>
              <a:rPr lang="en-US" sz="1400">
                <a:solidFill>
                  <a:srgbClr val="375C6F"/>
                </a:solidFill>
                <a:latin typeface="Quicksand"/>
                <a:ea typeface="Quicksand"/>
                <a:cs typeface="Quicksand"/>
                <a:sym typeface="Quicksand"/>
              </a:rPr>
              <a:t>?</a:t>
            </a:r>
            <a:endParaRPr sz="1400">
              <a:solidFill>
                <a:srgbClr val="375C6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200">
              <a:solidFill>
                <a:srgbClr val="375C6F"/>
              </a:solidFill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Determinar qué productos necesitan una reingeniería, depurarlos de la oferta o cuáles necesitan un nuevo 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enfoque en el </a:t>
            </a:r>
            <a:r>
              <a:rPr i="1" lang="en-US" sz="1200">
                <a:latin typeface="Quicksand"/>
                <a:ea typeface="Quicksand"/>
                <a:cs typeface="Quicksand"/>
                <a:sym typeface="Quicksand"/>
              </a:rPr>
              <a:t>abastecimiento.</a:t>
            </a:r>
            <a:endParaRPr i="1" sz="1200">
              <a:latin typeface="Quicksand"/>
              <a:ea typeface="Quicksand"/>
              <a:cs typeface="Quicksand"/>
              <a:sym typeface="Quicksand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4896475" y="2665900"/>
            <a:ext cx="6080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11</xdr:col>
      <xdr:colOff>571500</xdr:colOff>
      <xdr:row>36</xdr:row>
      <xdr:rowOff>171450</xdr:rowOff>
    </xdr:from>
    <xdr:ext cx="2085975" cy="857250"/>
    <xdr:sp>
      <xdr:nvSpPr>
        <xdr:cNvPr id="11" name="Shape 11"/>
        <xdr:cNvSpPr/>
      </xdr:nvSpPr>
      <xdr:spPr>
        <a:xfrm>
          <a:off x="3092875" y="929925"/>
          <a:ext cx="2069700" cy="836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 u="sng">
              <a:solidFill>
                <a:srgbClr val="A8709D"/>
              </a:solidFill>
            </a:rPr>
            <a:t>Ver resultados</a:t>
          </a:r>
          <a:endParaRPr b="1" i="1" sz="1400" u="sng">
            <a:solidFill>
              <a:srgbClr val="A8709D"/>
            </a:solidFill>
          </a:endParaRPr>
        </a:p>
      </xdr:txBody>
    </xdr:sp>
    <xdr:clientData fLocksWithSheet="0"/>
  </xdr:oneCellAnchor>
  <xdr:oneCellAnchor>
    <xdr:from>
      <xdr:col>11</xdr:col>
      <xdr:colOff>552450</xdr:colOff>
      <xdr:row>42</xdr:row>
      <xdr:rowOff>19050</xdr:rowOff>
    </xdr:from>
    <xdr:ext cx="2124075" cy="800100"/>
    <xdr:sp>
      <xdr:nvSpPr>
        <xdr:cNvPr id="12" name="Shape 12"/>
        <xdr:cNvSpPr/>
      </xdr:nvSpPr>
      <xdr:spPr>
        <a:xfrm>
          <a:off x="4267125" y="890125"/>
          <a:ext cx="2109600" cy="7764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 u="sng">
              <a:solidFill>
                <a:srgbClr val="A8709D"/>
              </a:solidFill>
            </a:rPr>
            <a:t>Ver resultados</a:t>
          </a:r>
          <a:endParaRPr b="1" i="1" sz="1400" u="sng">
            <a:solidFill>
              <a:srgbClr val="A8709D"/>
            </a:solidFill>
          </a:endParaRPr>
        </a:p>
      </xdr:txBody>
    </xdr:sp>
    <xdr:clientData fLocksWithSheet="0"/>
  </xdr:oneCellAnchor>
  <xdr:oneCellAnchor>
    <xdr:from>
      <xdr:col>11</xdr:col>
      <xdr:colOff>647700</xdr:colOff>
      <xdr:row>47</xdr:row>
      <xdr:rowOff>200025</xdr:rowOff>
    </xdr:from>
    <xdr:ext cx="1933575" cy="704850"/>
    <xdr:sp>
      <xdr:nvSpPr>
        <xdr:cNvPr id="13" name="Shape 13"/>
        <xdr:cNvSpPr/>
      </xdr:nvSpPr>
      <xdr:spPr>
        <a:xfrm>
          <a:off x="3291900" y="890125"/>
          <a:ext cx="1910700" cy="68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 u="sng">
              <a:solidFill>
                <a:srgbClr val="A8709D"/>
              </a:solidFill>
            </a:rPr>
            <a:t>Ver resultados</a:t>
          </a:r>
          <a:endParaRPr b="1" i="1" sz="1400" u="sng">
            <a:solidFill>
              <a:srgbClr val="A8709D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89</xdr:row>
      <xdr:rowOff>200025</xdr:rowOff>
    </xdr:from>
    <xdr:ext cx="542925" cy="57150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86</xdr:row>
      <xdr:rowOff>114300</xdr:rowOff>
    </xdr:from>
    <xdr:ext cx="666750" cy="6762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87</xdr:row>
      <xdr:rowOff>95250</xdr:rowOff>
    </xdr:from>
    <xdr:ext cx="1009650" cy="11049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35</xdr:row>
      <xdr:rowOff>142875</xdr:rowOff>
    </xdr:from>
    <xdr:ext cx="942975" cy="118110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44</xdr:row>
      <xdr:rowOff>47625</xdr:rowOff>
    </xdr:from>
    <xdr:ext cx="1095375" cy="57150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49</xdr:row>
      <xdr:rowOff>47625</xdr:rowOff>
    </xdr:from>
    <xdr:ext cx="590550" cy="942975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1543050</xdr:colOff>
      <xdr:row>2</xdr:row>
      <xdr:rowOff>180975</xdr:rowOff>
    </xdr:from>
    <xdr:ext cx="3990975" cy="3086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438150</xdr:colOff>
      <xdr:row>2</xdr:row>
      <xdr:rowOff>180975</xdr:rowOff>
    </xdr:from>
    <xdr:ext cx="3990975" cy="31051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</xdr:row>
      <xdr:rowOff>180975</xdr:rowOff>
    </xdr:from>
    <xdr:ext cx="3943350" cy="30861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828675</xdr:colOff>
      <xdr:row>31</xdr:row>
      <xdr:rowOff>19050</xdr:rowOff>
    </xdr:from>
    <xdr:ext cx="5267325" cy="38766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1066800</xdr:colOff>
      <xdr:row>61</xdr:row>
      <xdr:rowOff>9525</xdr:rowOff>
    </xdr:from>
    <xdr:ext cx="4200525" cy="29432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638175</xdr:colOff>
      <xdr:row>21</xdr:row>
      <xdr:rowOff>219075</xdr:rowOff>
    </xdr:from>
    <xdr:ext cx="7162800" cy="143160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62" sheet="Base de datos transacciones"/>
  </cacheSource>
  <cacheFields>
    <cacheField name="ID" numFmtId="4">
      <sharedItems>
        <s v="ID-3824"/>
        <s v="ID-3826"/>
        <s v="ID-3827"/>
        <s v="ID-3825"/>
        <s v="ID-3828"/>
        <s v="ID-3829"/>
        <s v="ID-3830"/>
        <s v="ID-3831"/>
        <s v="ID"/>
      </sharedItems>
    </cacheField>
    <cacheField name="FechaDelPedido">
      <sharedItems containsDate="1" containsMixedTypes="1">
        <d v="2024-03-22T00:00:00Z"/>
        <d v="2024-03-29T00:00:00Z"/>
        <d v="2024-04-05T00:00:00Z"/>
        <d v="2024-04-12T00:00:00Z"/>
        <d v="2024-04-17T00:00:00Z"/>
        <d v="2024-04-19T00:00:00Z"/>
        <d v="2024-04-24T00:00:00Z"/>
        <d v="2024-04-26T00:00:00Z"/>
        <d v="2024-05-01T00:00:00Z"/>
        <d v="2024-05-03T00:00:00Z"/>
        <d v="2024-05-08T00:00:00Z"/>
        <d v="2024-05-10T00:00:00Z"/>
        <d v="2024-05-15T00:00:00Z"/>
        <d v="2024-05-17T00:00:00Z"/>
        <d v="2024-05-22T00:00:00Z"/>
        <d v="2024-05-24T00:00:00Z"/>
        <d v="2024-05-29T00:00:00Z"/>
        <d v="2024-05-31T00:00:00Z"/>
        <d v="2024-06-05T00:00:00Z"/>
        <d v="2024-06-07T00:00:00Z"/>
        <d v="2024-06-12T00:00:00Z"/>
        <d v="2024-06-14T00:00:00Z"/>
        <d v="2024-06-19T00:00:00Z"/>
        <d v="2024-06-21T00:00:00Z"/>
        <d v="2024-06-26T00:00:00Z"/>
        <d v="2024-06-28T00:00:00Z"/>
        <d v="2024-07-03T00:00:00Z"/>
        <d v="2024-07-05T00:00:00Z"/>
        <d v="2024-07-10T00:00:00Z"/>
        <d v="2024-07-12T00:00:00Z"/>
        <d v="2024-07-17T00:00:00Z"/>
        <d v="2024-07-19T00:00:00Z"/>
        <d v="2024-07-24T00:00:00Z"/>
        <d v="2024-07-26T00:00:00Z"/>
        <d v="2024-07-31T00:00:00Z"/>
        <d v="2024-08-02T00:00:00Z"/>
        <d v="2024-08-07T00:00:00Z"/>
        <d v="2024-08-09T00:00:00Z"/>
        <d v="2024-08-14T00:00:00Z"/>
        <d v="2024-08-16T00:00:00Z"/>
        <d v="2024-08-21T00:00:00Z"/>
        <d v="2024-08-23T00:00:00Z"/>
        <d v="2024-08-28T00:00:00Z"/>
        <d v="2024-08-30T00:00:00Z"/>
        <d v="2024-09-04T00:00:00Z"/>
        <d v="2024-09-06T00:00:00Z"/>
        <d v="2024-09-11T00:00:00Z"/>
        <d v="2024-09-13T00:00:00Z"/>
        <d v="2024-09-18T00:00:00Z"/>
        <d v="2024-09-20T00:00:00Z"/>
        <d v="2024-09-25T00:00:00Z"/>
        <d v="2024-09-27T00:00:00Z"/>
        <d v="2024-10-02T00:00:00Z"/>
        <d v="2024-10-04T00:00:00Z"/>
        <d v="2024-10-09T00:00:00Z"/>
        <d v="2024-10-11T00:00:00Z"/>
        <d v="2024-10-16T00:00:00Z"/>
        <d v="2024-10-18T00:00:00Z"/>
        <d v="2024-10-23T00:00:00Z"/>
        <d v="2024-10-25T00:00:00Z"/>
        <d v="2024-10-30T00:00:00Z"/>
        <d v="2024-11-01T00:00:00Z"/>
        <d v="2024-11-06T00:00:00Z"/>
        <d v="2024-11-08T00:00:00Z"/>
        <d v="2024-11-13T00:00:00Z"/>
        <d v="2024-11-15T00:00:00Z"/>
        <d v="2024-11-20T00:00:00Z"/>
        <d v="2024-11-22T00:00:00Z"/>
        <d v="2024-11-27T00:00:00Z"/>
        <d v="2024-11-29T00:00:00Z"/>
        <d v="2024-12-04T00:00:00Z"/>
        <d v="2024-12-06T00:00:00Z"/>
        <d v="2024-12-11T00:00:00Z"/>
        <d v="2024-12-13T00:00:00Z"/>
        <d v="2024-12-18T00:00:00Z"/>
        <d v="2024-12-20T00:00:00Z"/>
        <d v="2024-12-27T00:00:00Z"/>
        <s v="FechaDelPedido"/>
        <d v="2025-01-03T00:00:00Z"/>
        <d v="2025-01-08T00:00:00Z"/>
        <d v="2025-01-10T00:00:00Z"/>
        <d v="2025-01-15T00:00:00Z"/>
        <d v="2025-01-17T00:00:00Z"/>
        <d v="2025-01-22T00:00:00Z"/>
        <d v="2025-01-24T00:00:00Z"/>
        <d v="2025-01-29T00:00:00Z"/>
        <d v="2025-01-31T00:00:00Z"/>
        <d v="2025-02-05T00:00:00Z"/>
        <d v="2025-02-07T00:00:00Z"/>
        <d v="2025-02-12T00:00:00Z"/>
        <d v="2025-02-14T00:00:00Z"/>
        <d v="2025-02-19T00:00:00Z"/>
        <d v="2025-02-21T00:00:00Z"/>
        <d v="2025-02-26T00:00:00Z"/>
        <d v="2025-02-28T00:00:00Z"/>
        <d v="2025-03-05T00:00:00Z"/>
        <d v="2025-03-07T00:00:00Z"/>
        <d v="2025-03-12T00:00:00Z"/>
        <d v="2025-03-14T00:00:00Z"/>
        <d v="2025-03-19T00:00:00Z"/>
        <d v="2025-03-21T00:00:00Z"/>
        <d v="2025-03-26T00:00:00Z"/>
        <d v="2025-03-28T00:00:00Z"/>
        <d v="2025-04-02T00:00:00Z"/>
        <d v="2025-04-04T00:00:00Z"/>
        <d v="2025-04-09T00:00:00Z"/>
        <d v="2025-04-11T00:00:00Z"/>
        <d v="2025-04-16T00:00:00Z"/>
        <d v="2025-04-18T00:00:00Z"/>
        <d v="2025-04-23T00:00:00Z"/>
        <d v="2025-04-25T00:00:00Z"/>
        <d v="2025-04-30T00:00:00Z"/>
        <d v="2025-05-02T00:00:00Z"/>
        <d v="2025-05-07T00:00:00Z"/>
        <d v="2025-05-09T00:00:00Z"/>
        <d v="2025-05-14T00:00:00Z"/>
        <d v="2025-05-16T00:00:00Z"/>
        <d v="2025-05-21T00:00:00Z"/>
        <d v="2025-05-23T00:00:00Z"/>
        <d v="2025-05-28T00:00:00Z"/>
        <d v="2025-05-30T00:00:00Z"/>
        <d v="2025-06-04T00:00:00Z"/>
        <d v="2025-06-06T00:00:00Z"/>
        <d v="2025-06-11T00:00:00Z"/>
        <d v="2025-06-13T00:00:00Z"/>
        <d v="2025-06-18T00:00:00Z"/>
        <d v="2025-06-20T00:00:00Z"/>
        <d v="2025-06-25T00:00:00Z"/>
        <d v="2025-06-27T00:00:00Z"/>
        <d v="2025-07-02T00:00:00Z"/>
        <d v="2025-07-04T00:00:00Z"/>
        <d v="2025-07-09T00:00:00Z"/>
        <d v="2025-07-11T00:00:00Z"/>
        <d v="2025-07-16T00:00:00Z"/>
        <d v="2025-07-18T00:00:00Z"/>
        <d v="2025-07-23T00:00:00Z"/>
        <d v="2025-07-25T00:00:00Z"/>
        <d v="2025-07-30T00:00:00Z"/>
        <d v="2025-08-01T00:00:00Z"/>
        <d v="2025-08-06T00:00:00Z"/>
        <d v="2025-08-08T00:00:00Z"/>
        <d v="2025-08-13T00:00:00Z"/>
        <d v="2025-08-15T00:00:00Z"/>
        <d v="2025-08-20T00:00:00Z"/>
        <d v="2025-08-22T00:00:00Z"/>
        <d v="2025-08-27T00:00:00Z"/>
        <d v="2025-08-29T00:00:00Z"/>
        <d v="2025-09-03T00:00:00Z"/>
        <d v="2025-09-05T00:00:00Z"/>
        <d v="2025-09-10T00:00:00Z"/>
        <d v="2025-09-12T00:00:00Z"/>
        <d v="2025-09-17T00:00:00Z"/>
        <d v="2025-09-19T00:00:00Z"/>
        <d v="2025-09-24T00:00:00Z"/>
        <d v="2025-10-08T00:00:00Z"/>
        <d v="2025-10-10T00:00:00Z"/>
        <d v="2025-10-15T00:00:00Z"/>
        <d v="2025-10-17T00:00:00Z"/>
        <d v="2025-10-22T00:00:00Z"/>
        <d v="2025-10-24T00:00:00Z"/>
        <d v="2025-10-29T00:00:00Z"/>
      </sharedItems>
    </cacheField>
    <cacheField name="Año">
      <sharedItems containsMixedTypes="1" containsNumber="1" containsInteger="1">
        <n v="2024.0"/>
        <s v="Año"/>
        <n v="2025.0"/>
      </sharedItems>
    </cacheField>
    <cacheField name="Mes">
      <sharedItems containsMixedTypes="1" containsNumber="1" containsInteger="1">
        <n v="3.0"/>
        <n v="4.0"/>
        <n v="5.0"/>
        <n v="6.0"/>
        <n v="7.0"/>
        <n v="8.0"/>
        <n v="9.0"/>
        <n v="10.0"/>
        <n v="11.0"/>
        <n v="12.0"/>
        <s v="Mes"/>
        <n v="1.0"/>
        <n v="2.0"/>
      </sharedItems>
    </cacheField>
    <cacheField name="Producto" numFmtId="0">
      <sharedItems>
        <s v="Galletas chocochips"/>
        <s v="Brownie triple chocolate"/>
        <s v="Galletas danesas"/>
        <s v="Mini cheesecake"/>
        <s v="Muffins de yogurt"/>
        <s v="Besos de nuez"/>
        <s v="Flan de queso crema"/>
        <s v="Muffin de chocolate"/>
        <s v="Producto"/>
      </sharedItems>
    </cacheField>
    <cacheField name="PV">
      <sharedItems containsMixedTypes="1" containsNumber="1" containsInteger="1">
        <n v="10.0"/>
        <n v="20.0"/>
        <n v="7.0"/>
        <n v="25.0"/>
        <s v="PV"/>
        <n v="21.0"/>
        <n v="9.0"/>
        <n v="29.0"/>
      </sharedItems>
    </cacheField>
    <cacheField name="CV">
      <sharedItems containsMixedTypes="1" containsNumber="1">
        <n v="3.3375512820512823"/>
        <n v="7.103972222222223"/>
        <n v="2.6234600732600732"/>
        <n v="7.609146241830064"/>
        <n v="7.301064102564102"/>
        <n v="2.98984358974359"/>
        <n v="10.936666666666666"/>
        <n v="7.05492673992674"/>
        <s v="CV"/>
        <n v="8.35935113960114"/>
        <n v="7.8897600732600734"/>
        <n v="10.26450643382353"/>
        <n v="4.071743990384616"/>
        <n v="3.6108685897435895"/>
        <n v="3.11177950045124"/>
        <n v="11.936875"/>
        <n v="8.073123456790121"/>
      </sharedItems>
    </cacheField>
    <cacheField name="CantidadVendida">
      <sharedItems containsMixedTypes="1" containsNumber="1" containsInteger="1">
        <n v="32.0"/>
        <n v="64.0"/>
        <n v="18.0"/>
        <n v="35.0"/>
        <n v="16.0"/>
        <n v="36.0"/>
        <n v="24.0"/>
        <n v="30.0"/>
        <n v="12.0"/>
        <n v="29.0"/>
        <n v="14.0"/>
        <n v="34.0"/>
        <n v="50.0"/>
        <n v="15.0"/>
        <n v="45.0"/>
        <n v="33.0"/>
        <n v="28.0"/>
        <n v="48.0"/>
        <n v="43.0"/>
        <s v="CantidadVendida"/>
        <n v="25.0"/>
        <n v="31.0"/>
        <n v="13.0"/>
        <n v="27.0"/>
        <n v="17.0"/>
      </sharedItems>
    </cacheField>
    <cacheField name="CantidadNoVendida">
      <sharedItems containsMixedTypes="1" containsNumber="1" containsInteger="1">
        <s v="0"/>
        <n v="2.0"/>
        <n v="3.0"/>
        <n v="1.0"/>
        <n v="6.0"/>
        <n v="5.0"/>
        <n v="4.0"/>
        <n v="7.0"/>
        <s v="CantidadNoVendida"/>
        <n v="15.0"/>
      </sharedItems>
    </cacheField>
    <cacheField name="TotalCV">
      <sharedItems containsMixedTypes="1" containsNumber="1">
        <n v="106.80164102564103"/>
        <n v="213.60328205128206"/>
        <n v="127.87150000000001"/>
        <n v="91.82110256410256"/>
        <n v="121.74633986928103"/>
        <n v="255.74300000000002"/>
        <n v="175.22553846153846"/>
        <n v="100.12653846153847"/>
        <n v="87.61276923076923"/>
        <n v="96.78898717948718"/>
        <n v="106.52804738562091"/>
        <n v="89.1976424908425"/>
        <n v="149.4921794871795"/>
        <n v="106.55958333333334"/>
        <n v="76.08034212454213"/>
        <n v="134.54296153846155"/>
        <n v="113.66355555555556"/>
        <n v="196.85999999999999"/>
        <n v="78.70380219780219"/>
        <n v="174.98666666666665"/>
        <n v="86.57418241758242"/>
        <n v="93.4514358974359"/>
        <n v="197.53794871794872"/>
        <n v="164.04999999999998"/>
        <n v="143.51249230769233"/>
        <n v="98.76897435897436"/>
        <n v="114.13719362745097"/>
        <n v="128.56327435897438"/>
        <s v="TotalCV"/>
        <n v="200.62442735042737"/>
        <n v="110.45664102564103"/>
        <n v="164.2321029411765"/>
        <n v="101.79359975961539"/>
        <n v="162.48908653846152"/>
        <n v="100.31221367521368"/>
        <n v="96.46516451398844"/>
        <n v="214.86375"/>
        <n v="145.31622222222217"/>
        <n v="130.2958076923077"/>
        <n v="99.57694401443968"/>
        <n v="122.15231971153847"/>
        <n v="126.38040064102563"/>
        <n v="94.67712087912088"/>
        <n v="108.9122825157934"/>
        <n v="153.96759650735297"/>
        <n v="126.22406370192309"/>
        <n v="102.68872351489091"/>
        <n v="102.56688095238096"/>
        <n v="109.93708774038463"/>
        <n v="93.35338501353719"/>
        <n v="143.70309007352944"/>
        <n v="137.24309876543205"/>
        <n v="105.80050301534216"/>
      </sharedItems>
    </cacheField>
    <cacheField name="IT">
      <sharedItems containsMixedTypes="1" containsNumber="1" containsInteger="1">
        <n v="320.0"/>
        <n v="640.0"/>
        <n v="360.0"/>
        <n v="245.0"/>
        <n v="720.0"/>
        <n v="480.0"/>
        <n v="300.0"/>
        <n v="240.0"/>
        <n v="290.0"/>
        <n v="280.0"/>
        <n v="238.0"/>
        <n v="350.0"/>
        <n v="203.0"/>
        <n v="315.0"/>
        <n v="450.0"/>
        <n v="210.0"/>
        <n v="400.0"/>
        <n v="231.0"/>
        <n v="560.0"/>
        <n v="375.0"/>
        <n v="336.0"/>
        <n v="301.0"/>
        <s v="IT"/>
        <n v="504.0"/>
        <n v="250.0"/>
        <n v="405.0"/>
        <n v="252.0"/>
        <n v="217.0"/>
        <n v="522.0"/>
        <n v="224.0"/>
        <n v="310.0"/>
        <n v="260.0"/>
        <n v="270.0"/>
        <n v="340.0"/>
      </sharedItems>
    </cacheField>
    <cacheField name="Perdidas">
      <sharedItems containsBlank="1" containsMixedTypes="1" containsNumber="1" containsInteger="1">
        <m/>
        <s v=" "/>
        <n v="20.0"/>
        <n v="30.0"/>
        <n v="40.0"/>
        <n v="7.0"/>
        <n v="60.0"/>
        <n v="42.0"/>
        <n v="35.0"/>
        <n v="50.0"/>
        <n v="14.0"/>
        <n v="75.0"/>
        <n v="49.0"/>
        <s v="Perdidas"/>
        <n v="70.0"/>
        <n v="45.0"/>
        <n v="28.0"/>
        <n v="21.0"/>
        <n v="135.0"/>
        <n v="25.0"/>
        <n v="10.0"/>
      </sharedItems>
    </cacheField>
    <cacheField name="MGB" formula="(IT-TotalCV)/IT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ADME" cacheId="0" dataCaption="" compact="0" compactData="0">
  <location ref="D12:G16" firstHeaderRow="0" firstDataRow="2" firstDataCol="0"/>
  <pivotFields>
    <pivotField name="I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echaDel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Año" axis="axisRow" compact="0" outline="0" multipleItemSelectionAllowed="1" showAll="0" sortType="ascending">
      <items>
        <item x="0"/>
        <item x="2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V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ntidadVen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ntidadNoVen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CV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erd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IT" fld="10" baseField="0"/>
    <dataField name="SUM de TotalCV" fld="9" baseField="0"/>
    <dataField name="SUM of MGB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" width="5.75"/>
    <col customWidth="1" min="5" max="5" width="15.0"/>
    <col customWidth="1" min="6" max="6" width="17.88"/>
    <col customWidth="1" min="7" max="7" width="14.63"/>
    <col customWidth="1" min="13" max="14" width="5.5"/>
  </cols>
  <sheetData>
    <row r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57"/>
      <c r="N1" s="57"/>
      <c r="O1" s="57"/>
      <c r="P1" s="57"/>
    </row>
    <row r="2">
      <c r="A2" s="173"/>
      <c r="B2" s="173"/>
      <c r="C2" s="173" t="s">
        <v>165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58"/>
    </row>
    <row r="3" ht="15.0" customHeight="1">
      <c r="A3" s="77"/>
      <c r="B3" s="77"/>
      <c r="C3" s="7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>
      <c r="A4" s="77"/>
      <c r="B4" s="77"/>
      <c r="C4" s="7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>
      <c r="A5" s="57"/>
      <c r="B5" s="57"/>
      <c r="C5" s="57"/>
      <c r="D5" s="175" t="s">
        <v>166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>
      <c r="A6" s="176"/>
      <c r="B6" s="176"/>
      <c r="C6" s="177" t="s">
        <v>167</v>
      </c>
      <c r="M6" s="178"/>
      <c r="N6" s="179"/>
      <c r="O6" s="57"/>
      <c r="P6" s="57"/>
    </row>
    <row r="7">
      <c r="A7" s="176"/>
      <c r="B7" s="176"/>
      <c r="C7" s="180" t="s">
        <v>168</v>
      </c>
      <c r="M7" s="178"/>
      <c r="N7" s="179"/>
      <c r="O7" s="57"/>
      <c r="P7" s="57"/>
    </row>
    <row r="8">
      <c r="A8" s="176"/>
      <c r="B8" s="176"/>
      <c r="C8" s="180" t="s">
        <v>169</v>
      </c>
      <c r="L8" s="178"/>
      <c r="M8" s="178"/>
      <c r="N8" s="179"/>
      <c r="O8" s="57"/>
      <c r="P8" s="57"/>
      <c r="Q8" s="29" t="s">
        <v>63</v>
      </c>
    </row>
    <row r="9">
      <c r="A9" s="61"/>
      <c r="B9" s="61"/>
      <c r="C9" s="61"/>
      <c r="D9" s="87"/>
      <c r="E9" s="87"/>
      <c r="F9" s="87"/>
      <c r="G9" s="87"/>
      <c r="H9" s="57"/>
      <c r="I9" s="57"/>
      <c r="J9" s="57"/>
      <c r="K9" s="57"/>
      <c r="L9" s="57"/>
      <c r="M9" s="57"/>
      <c r="N9" s="57"/>
      <c r="O9" s="57"/>
      <c r="P9" s="57"/>
    </row>
    <row r="10">
      <c r="A10" s="61"/>
      <c r="B10" s="61"/>
      <c r="C10" s="61"/>
      <c r="D10" s="61"/>
      <c r="E10" s="87"/>
      <c r="F10" s="87"/>
      <c r="G10" s="87"/>
      <c r="H10" s="57"/>
      <c r="I10" s="57"/>
      <c r="J10" s="181"/>
      <c r="K10" s="57"/>
      <c r="L10" s="57"/>
      <c r="M10" s="57"/>
      <c r="N10" s="57"/>
      <c r="O10" s="57"/>
      <c r="P10" s="57"/>
      <c r="Q10" s="11" t="s">
        <v>63</v>
      </c>
    </row>
    <row r="11">
      <c r="A11" s="61"/>
      <c r="B11" s="61"/>
      <c r="C11" s="61"/>
      <c r="D11" s="61"/>
      <c r="E11" s="87"/>
      <c r="F11" s="87"/>
      <c r="G11" s="87"/>
      <c r="H11" s="57"/>
      <c r="I11" s="57"/>
      <c r="J11" s="57"/>
      <c r="K11" s="57"/>
      <c r="L11" s="57"/>
      <c r="M11" s="57"/>
      <c r="N11" s="57"/>
      <c r="O11" s="57"/>
      <c r="P11" s="57"/>
      <c r="Q11" s="11" t="s">
        <v>63</v>
      </c>
    </row>
    <row r="12">
      <c r="A12" s="61"/>
      <c r="B12" s="61"/>
      <c r="C12" s="61"/>
      <c r="H12" s="57"/>
      <c r="I12" s="57"/>
      <c r="J12" s="57"/>
      <c r="K12" s="57"/>
      <c r="L12" s="57"/>
      <c r="M12" s="57"/>
      <c r="N12" s="57"/>
      <c r="O12" s="57"/>
      <c r="P12" s="57"/>
      <c r="Q12" s="33"/>
    </row>
    <row r="13">
      <c r="A13" s="61"/>
      <c r="B13" s="61"/>
      <c r="C13" s="61"/>
      <c r="H13" s="57"/>
      <c r="I13" s="57"/>
      <c r="J13" s="57"/>
      <c r="K13" s="57"/>
      <c r="L13" s="57"/>
      <c r="M13" s="57"/>
      <c r="N13" s="57"/>
      <c r="O13" s="57"/>
      <c r="P13" s="57"/>
    </row>
    <row r="14">
      <c r="A14" s="61"/>
      <c r="B14" s="61"/>
      <c r="C14" s="61"/>
      <c r="H14" s="57"/>
      <c r="I14" s="57"/>
      <c r="J14" s="57"/>
      <c r="K14" s="57"/>
      <c r="L14" s="57"/>
      <c r="M14" s="57"/>
      <c r="N14" s="57"/>
      <c r="O14" s="57"/>
      <c r="P14" s="187"/>
    </row>
    <row r="15">
      <c r="A15" s="61"/>
      <c r="B15" s="61"/>
      <c r="C15" s="61"/>
      <c r="H15" s="57"/>
      <c r="I15" s="57"/>
      <c r="J15" s="57"/>
      <c r="K15" s="57"/>
      <c r="L15" s="57"/>
      <c r="M15" s="57"/>
      <c r="N15" s="57"/>
      <c r="O15" s="57"/>
      <c r="P15" s="57"/>
    </row>
    <row r="16">
      <c r="A16" s="61"/>
      <c r="B16" s="61"/>
      <c r="C16" s="61"/>
      <c r="H16" s="57"/>
      <c r="I16" s="57"/>
      <c r="J16" s="57"/>
      <c r="K16" s="57"/>
      <c r="L16" s="57"/>
      <c r="M16" s="57"/>
      <c r="N16" s="57"/>
      <c r="O16" s="57"/>
      <c r="P16" s="57"/>
    </row>
    <row r="17">
      <c r="A17" s="61"/>
      <c r="B17" s="61"/>
      <c r="C17" s="61"/>
      <c r="D17" s="61"/>
      <c r="E17" s="61"/>
      <c r="F17" s="67"/>
      <c r="G17" s="67"/>
      <c r="H17" s="57"/>
      <c r="I17" s="57"/>
      <c r="J17" s="57"/>
      <c r="K17" s="57"/>
      <c r="L17" s="57"/>
      <c r="M17" s="57"/>
      <c r="N17" s="57"/>
      <c r="O17" s="57"/>
      <c r="P17" s="57"/>
    </row>
    <row r="18">
      <c r="A18" s="61"/>
      <c r="B18" s="61"/>
      <c r="C18" s="61"/>
      <c r="D18" s="193"/>
      <c r="E18" s="194"/>
      <c r="F18" s="194"/>
      <c r="G18" s="194"/>
      <c r="H18" s="57"/>
      <c r="I18" s="57"/>
      <c r="J18" s="57"/>
      <c r="K18" s="57"/>
      <c r="L18" s="57"/>
      <c r="M18" s="57"/>
      <c r="N18" s="57"/>
      <c r="O18" s="57"/>
      <c r="P18" s="57"/>
      <c r="Q18" s="33"/>
    </row>
    <row r="19">
      <c r="A19" s="61"/>
      <c r="B19" s="61"/>
      <c r="C19" s="61"/>
      <c r="D19" s="61"/>
      <c r="E19" s="195"/>
      <c r="F19" s="196"/>
      <c r="G19" s="196"/>
      <c r="H19" s="57"/>
      <c r="I19" s="57"/>
      <c r="J19" s="57"/>
      <c r="K19" s="57"/>
      <c r="L19" s="57"/>
      <c r="M19" s="57"/>
      <c r="N19" s="57"/>
      <c r="O19" s="57"/>
      <c r="P19" s="57"/>
    </row>
    <row r="20">
      <c r="A20" s="61"/>
      <c r="B20" s="61"/>
      <c r="C20" s="61"/>
      <c r="D20" s="61"/>
      <c r="E20" s="195"/>
      <c r="F20" s="196"/>
      <c r="G20" s="196"/>
      <c r="H20" s="57"/>
      <c r="I20" s="57"/>
      <c r="J20" s="57"/>
      <c r="K20" s="57"/>
      <c r="L20" s="57"/>
      <c r="M20" s="57"/>
      <c r="N20" s="57"/>
      <c r="O20" s="57"/>
      <c r="P20" s="57"/>
    </row>
    <row r="21">
      <c r="A21" s="61"/>
      <c r="B21" s="61"/>
      <c r="C21" s="61"/>
      <c r="D21" s="61"/>
      <c r="E21" s="195"/>
      <c r="F21" s="196"/>
      <c r="G21" s="196"/>
      <c r="H21" s="57"/>
      <c r="I21" s="57"/>
      <c r="J21" s="57"/>
      <c r="K21" s="57"/>
      <c r="L21" s="57"/>
      <c r="M21" s="57"/>
      <c r="N21" s="57"/>
      <c r="O21" s="57"/>
      <c r="P21" s="57"/>
    </row>
    <row r="22">
      <c r="A22" s="61"/>
      <c r="B22" s="61"/>
      <c r="C22" s="61"/>
      <c r="D22" s="61"/>
      <c r="E22" s="195"/>
      <c r="F22" s="196"/>
      <c r="G22" s="196"/>
      <c r="H22" s="57"/>
      <c r="I22" s="57"/>
      <c r="J22" s="57"/>
      <c r="K22" s="57"/>
      <c r="L22" s="57"/>
      <c r="M22" s="57"/>
      <c r="N22" s="57"/>
      <c r="O22" s="57"/>
      <c r="P22" s="57"/>
    </row>
    <row r="23">
      <c r="A23" s="61"/>
      <c r="B23" s="61"/>
      <c r="C23" s="61"/>
      <c r="D23" s="61"/>
      <c r="E23" s="195"/>
      <c r="F23" s="196"/>
      <c r="G23" s="196"/>
      <c r="H23" s="57"/>
      <c r="I23" s="57"/>
      <c r="J23" s="57"/>
      <c r="K23" s="57"/>
      <c r="L23" s="57"/>
      <c r="M23" s="57"/>
      <c r="N23" s="57"/>
      <c r="O23" s="57"/>
      <c r="P23" s="57"/>
    </row>
    <row r="24">
      <c r="A24" s="61"/>
      <c r="B24" s="61"/>
      <c r="C24" s="61"/>
      <c r="D24" s="61"/>
      <c r="E24" s="195"/>
      <c r="F24" s="196"/>
      <c r="G24" s="196"/>
      <c r="H24" s="57"/>
      <c r="I24" s="57"/>
      <c r="J24" s="57"/>
      <c r="K24" s="57"/>
      <c r="L24" s="57"/>
      <c r="M24" s="57"/>
      <c r="N24" s="57"/>
      <c r="O24" s="57"/>
      <c r="P24" s="57"/>
    </row>
    <row r="25">
      <c r="A25" s="61"/>
      <c r="B25" s="61"/>
      <c r="C25" s="61"/>
      <c r="D25" s="61"/>
      <c r="E25" s="195"/>
      <c r="F25" s="196"/>
      <c r="G25" s="196"/>
      <c r="H25" s="57"/>
      <c r="I25" s="57"/>
      <c r="J25" s="57"/>
      <c r="K25" s="57"/>
      <c r="L25" s="57"/>
      <c r="M25" s="57"/>
      <c r="N25" s="57"/>
      <c r="O25" s="57"/>
      <c r="P25" s="57"/>
    </row>
    <row r="26">
      <c r="A26" s="61"/>
      <c r="B26" s="61"/>
      <c r="C26" s="61"/>
      <c r="D26" s="61"/>
      <c r="E26" s="195"/>
      <c r="F26" s="196"/>
      <c r="G26" s="196"/>
      <c r="H26" s="57"/>
      <c r="I26" s="57"/>
      <c r="J26" s="57"/>
      <c r="K26" s="57"/>
      <c r="L26" s="57"/>
      <c r="M26" s="57"/>
      <c r="N26" s="57"/>
      <c r="O26" s="57"/>
      <c r="P26" s="57"/>
    </row>
    <row r="27">
      <c r="A27" s="77"/>
      <c r="B27" s="77"/>
      <c r="C27" s="77"/>
      <c r="D27" s="7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>
      <c r="A28" s="77"/>
      <c r="B28" s="77"/>
      <c r="C28" s="77"/>
      <c r="D28" s="7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>
      <c r="A29" s="77"/>
      <c r="B29" s="77"/>
      <c r="C29" s="77"/>
      <c r="D29" s="7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>
      <c r="A30" s="77"/>
      <c r="B30" s="77"/>
      <c r="C30" s="77"/>
      <c r="D30" s="7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>
      <c r="A31" s="77"/>
      <c r="B31" s="77"/>
      <c r="C31" s="77"/>
      <c r="D31" s="77"/>
      <c r="E31" s="57"/>
      <c r="F31" s="57"/>
      <c r="G31" s="57"/>
      <c r="H31" s="57"/>
      <c r="I31" s="57"/>
      <c r="J31" s="57"/>
      <c r="K31" s="57"/>
      <c r="L31" s="57"/>
      <c r="M31" s="57"/>
      <c r="N31" s="197" t="s">
        <v>173</v>
      </c>
      <c r="O31" s="57"/>
      <c r="P31" s="57"/>
    </row>
    <row r="32">
      <c r="A32" s="57"/>
      <c r="B32" s="57"/>
      <c r="C32" s="57"/>
      <c r="D32" s="57"/>
      <c r="E32" s="198"/>
      <c r="F32" s="198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>
      <c r="A33" s="57"/>
      <c r="B33" s="57"/>
      <c r="C33" s="57"/>
      <c r="D33" s="57"/>
      <c r="E33" s="67"/>
      <c r="F33" s="67"/>
      <c r="G33" s="67"/>
      <c r="H33" s="67"/>
      <c r="I33" s="57"/>
      <c r="J33" s="57"/>
      <c r="K33" s="57"/>
      <c r="L33" s="57"/>
      <c r="M33" s="57"/>
      <c r="N33" s="57"/>
      <c r="O33" s="57"/>
      <c r="P33" s="57"/>
    </row>
    <row r="34">
      <c r="A34" s="57"/>
      <c r="B34" s="57"/>
      <c r="C34" s="57"/>
      <c r="D34" s="57"/>
      <c r="E34" s="67"/>
      <c r="F34" s="67"/>
      <c r="G34" s="67"/>
      <c r="H34" s="67"/>
      <c r="I34" s="57"/>
      <c r="J34" s="57"/>
      <c r="K34" s="57"/>
      <c r="L34" s="57"/>
      <c r="M34" s="57"/>
      <c r="N34" s="57"/>
      <c r="O34" s="57"/>
      <c r="P34" s="57"/>
    </row>
    <row r="35">
      <c r="A35" s="57"/>
      <c r="B35" s="57"/>
      <c r="C35" s="57"/>
      <c r="D35" s="61" t="s">
        <v>174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>
      <c r="A37" s="57"/>
      <c r="B37" s="57"/>
      <c r="C37" s="57"/>
      <c r="D37" s="57"/>
      <c r="E37" s="199"/>
      <c r="F37" s="199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>
      <c r="A38" s="77"/>
      <c r="B38" s="77"/>
      <c r="C38" s="77"/>
      <c r="D38" s="77"/>
      <c r="E38" s="77"/>
      <c r="F38" s="200"/>
      <c r="G38" s="200"/>
      <c r="H38" s="200"/>
      <c r="I38" s="200"/>
      <c r="J38" s="200"/>
      <c r="K38" s="57"/>
      <c r="L38" s="57"/>
      <c r="M38" s="57"/>
      <c r="N38" s="57"/>
      <c r="O38" s="57"/>
      <c r="P38" s="57"/>
    </row>
    <row r="39">
      <c r="A39" s="77"/>
      <c r="B39" s="77"/>
      <c r="C39" s="77"/>
      <c r="D39" s="77"/>
      <c r="E39" s="77"/>
      <c r="F39" s="201"/>
      <c r="G39" s="201"/>
      <c r="H39" s="201"/>
      <c r="I39" s="202"/>
      <c r="J39" s="200"/>
      <c r="K39" s="57"/>
      <c r="L39" s="57"/>
      <c r="M39" s="57"/>
      <c r="N39" s="57"/>
      <c r="O39" s="57"/>
      <c r="P39" s="57"/>
    </row>
    <row r="40">
      <c r="A40" s="77"/>
      <c r="B40" s="77"/>
      <c r="C40" s="77"/>
      <c r="D40" s="77"/>
      <c r="E40" s="77"/>
      <c r="F40" s="200"/>
      <c r="G40" s="200"/>
      <c r="H40" s="200"/>
      <c r="I40" s="200"/>
      <c r="J40" s="200"/>
      <c r="K40" s="57"/>
      <c r="L40" s="57"/>
      <c r="M40" s="57"/>
      <c r="N40" s="57"/>
      <c r="O40" s="57"/>
      <c r="P40" s="57"/>
    </row>
    <row r="41">
      <c r="A41" s="77"/>
      <c r="B41" s="77"/>
      <c r="C41" s="77"/>
      <c r="D41" s="77"/>
      <c r="E41" s="7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</row>
    <row r="42">
      <c r="A42" s="77"/>
      <c r="B42" s="77"/>
      <c r="C42" s="77"/>
      <c r="D42" s="77"/>
      <c r="E42" s="77"/>
      <c r="F42" s="203"/>
      <c r="G42" s="204"/>
      <c r="H42" s="204"/>
      <c r="I42" s="204"/>
      <c r="J42" s="204"/>
      <c r="K42" s="204"/>
      <c r="L42" s="57"/>
      <c r="M42" s="57"/>
      <c r="N42" s="57"/>
      <c r="O42" s="57"/>
      <c r="P42" s="57"/>
    </row>
    <row r="43">
      <c r="A43" s="77"/>
      <c r="B43" s="77"/>
      <c r="C43" s="77"/>
      <c r="D43" s="77"/>
      <c r="E43" s="77"/>
      <c r="F43" s="203"/>
      <c r="G43" s="204"/>
      <c r="H43" s="204"/>
      <c r="I43" s="204"/>
      <c r="J43" s="204"/>
      <c r="K43" s="204"/>
      <c r="L43" s="57"/>
      <c r="M43" s="57"/>
      <c r="N43" s="57"/>
      <c r="O43" s="57"/>
      <c r="P43" s="57"/>
    </row>
    <row r="44">
      <c r="A44" s="77"/>
      <c r="B44" s="77"/>
      <c r="C44" s="77"/>
      <c r="D44" s="77"/>
      <c r="E44" s="77"/>
      <c r="F44" s="205"/>
      <c r="G44" s="205"/>
      <c r="H44" s="205"/>
      <c r="I44" s="205"/>
      <c r="J44" s="205"/>
      <c r="K44" s="57"/>
      <c r="L44" s="57"/>
      <c r="M44" s="57"/>
      <c r="N44" s="57"/>
      <c r="O44" s="57"/>
      <c r="P44" s="57"/>
    </row>
    <row r="45">
      <c r="A45" s="77"/>
      <c r="B45" s="77"/>
      <c r="C45" s="77"/>
      <c r="D45" s="77"/>
      <c r="E45" s="77"/>
      <c r="F45" s="206"/>
      <c r="G45" s="205"/>
      <c r="H45" s="205"/>
      <c r="I45" s="205"/>
      <c r="J45" s="205"/>
      <c r="K45" s="57"/>
      <c r="L45" s="57"/>
      <c r="M45" s="57"/>
      <c r="N45" s="57"/>
      <c r="O45" s="57"/>
      <c r="P45" s="57"/>
    </row>
    <row r="46">
      <c r="A46" s="77"/>
      <c r="B46" s="77"/>
      <c r="C46" s="77"/>
      <c r="D46" s="77"/>
      <c r="E46" s="77"/>
      <c r="F46" s="207"/>
      <c r="G46" s="205"/>
      <c r="H46" s="205"/>
      <c r="I46" s="205"/>
      <c r="J46" s="205"/>
      <c r="K46" s="57"/>
      <c r="L46" s="57"/>
      <c r="M46" s="57"/>
      <c r="N46" s="57"/>
      <c r="O46" s="57"/>
      <c r="P46" s="57"/>
    </row>
    <row r="47">
      <c r="A47" s="77"/>
      <c r="B47" s="77"/>
      <c r="C47" s="77"/>
      <c r="D47" s="77"/>
      <c r="E47" s="7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</row>
    <row r="48">
      <c r="A48" s="77"/>
      <c r="B48" s="77"/>
      <c r="C48" s="77"/>
      <c r="D48" s="77"/>
      <c r="E48" s="77"/>
      <c r="F48" s="90"/>
      <c r="G48" s="208"/>
      <c r="H48" s="208"/>
      <c r="I48" s="208"/>
      <c r="J48" s="208"/>
      <c r="K48" s="57"/>
      <c r="L48" s="57"/>
      <c r="M48" s="57"/>
      <c r="N48" s="57"/>
      <c r="O48" s="57"/>
      <c r="P48" s="57"/>
    </row>
    <row r="49">
      <c r="A49" s="77"/>
      <c r="B49" s="77"/>
      <c r="C49" s="77"/>
      <c r="D49" s="77"/>
      <c r="E49" s="77"/>
      <c r="F49" s="57"/>
      <c r="G49" s="209"/>
      <c r="H49" s="57"/>
      <c r="I49" s="57"/>
      <c r="J49" s="57"/>
      <c r="K49" s="57"/>
      <c r="L49" s="57"/>
      <c r="M49" s="57"/>
      <c r="N49" s="57"/>
      <c r="O49" s="57"/>
      <c r="P49" s="57"/>
    </row>
    <row r="50">
      <c r="A50" s="77"/>
      <c r="B50" s="77"/>
      <c r="C50" s="77"/>
      <c r="D50" s="77"/>
      <c r="E50" s="77"/>
      <c r="F50" s="210"/>
      <c r="G50" s="210"/>
      <c r="H50" s="210"/>
      <c r="I50" s="210"/>
      <c r="J50" s="210"/>
      <c r="K50" s="57"/>
      <c r="L50" s="57"/>
      <c r="M50" s="57"/>
      <c r="N50" s="57"/>
      <c r="O50" s="57"/>
      <c r="P50" s="57"/>
    </row>
    <row r="51">
      <c r="A51" s="77"/>
      <c r="B51" s="77"/>
      <c r="C51" s="77"/>
      <c r="D51" s="77"/>
      <c r="E51" s="77"/>
      <c r="F51" s="211"/>
      <c r="G51" s="210"/>
      <c r="H51" s="210"/>
      <c r="I51" s="210"/>
      <c r="J51" s="210"/>
      <c r="K51" s="57"/>
      <c r="L51" s="57"/>
      <c r="M51" s="57"/>
      <c r="N51" s="57"/>
      <c r="O51" s="57"/>
      <c r="P51" s="57"/>
    </row>
    <row r="52">
      <c r="A52" s="77"/>
      <c r="B52" s="77"/>
      <c r="C52" s="77"/>
      <c r="D52" s="77"/>
      <c r="E52" s="77"/>
      <c r="F52" s="210"/>
      <c r="G52" s="210"/>
      <c r="H52" s="210"/>
      <c r="I52" s="210"/>
      <c r="J52" s="210"/>
      <c r="K52" s="57"/>
      <c r="L52" s="57"/>
      <c r="M52" s="57"/>
      <c r="N52" s="57"/>
      <c r="O52" s="57"/>
      <c r="P52" s="57"/>
    </row>
    <row r="53">
      <c r="A53" s="77"/>
      <c r="B53" s="77"/>
      <c r="C53" s="77"/>
      <c r="D53" s="77"/>
      <c r="E53" s="77"/>
      <c r="F53" s="90"/>
      <c r="G53" s="57"/>
      <c r="H53" s="57"/>
      <c r="I53" s="57"/>
      <c r="J53" s="57"/>
      <c r="K53" s="57"/>
      <c r="L53" s="57"/>
      <c r="M53" s="57"/>
      <c r="N53" s="57"/>
      <c r="O53" s="57"/>
      <c r="P53" s="57"/>
    </row>
    <row r="54">
      <c r="A54" s="77"/>
      <c r="B54" s="77"/>
      <c r="C54" s="77"/>
      <c r="D54" s="77"/>
      <c r="E54" s="77"/>
      <c r="F54" s="90"/>
      <c r="G54" s="57"/>
      <c r="H54" s="57"/>
      <c r="I54" s="57"/>
      <c r="J54" s="57"/>
      <c r="K54" s="57"/>
      <c r="L54" s="57"/>
      <c r="M54" s="57"/>
      <c r="N54" s="57"/>
      <c r="O54" s="57"/>
      <c r="P54" s="57"/>
    </row>
    <row r="55">
      <c r="A55" s="77"/>
      <c r="B55" s="77"/>
      <c r="C55" s="77"/>
      <c r="D55" s="77"/>
      <c r="E55" s="7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</row>
    <row r="56">
      <c r="A56" s="77"/>
      <c r="B56" s="77"/>
      <c r="C56" s="77"/>
      <c r="D56" s="77"/>
      <c r="E56" s="7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</row>
    <row r="57">
      <c r="A57" s="77"/>
      <c r="B57" s="77"/>
      <c r="C57" s="77"/>
      <c r="D57" s="61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</row>
    <row r="58">
      <c r="A58" s="77"/>
      <c r="B58" s="77"/>
      <c r="C58" s="77"/>
      <c r="D58" s="61" t="s">
        <v>175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</row>
    <row r="59">
      <c r="A59" s="77"/>
      <c r="B59" s="77"/>
      <c r="C59" s="77"/>
      <c r="D59" s="61" t="s">
        <v>176</v>
      </c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</row>
    <row r="60">
      <c r="A60" s="77"/>
      <c r="B60" s="77"/>
      <c r="C60" s="77"/>
      <c r="D60" s="212" t="s">
        <v>177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</row>
    <row r="61">
      <c r="A61" s="77"/>
      <c r="B61" s="77"/>
      <c r="C61" s="7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</row>
    <row r="62">
      <c r="A62" s="77"/>
      <c r="B62" s="77"/>
      <c r="C62" s="7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>
      <c r="A63" s="77"/>
      <c r="B63" s="77"/>
      <c r="C63" s="7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</row>
    <row r="64">
      <c r="A64" s="77"/>
      <c r="B64" s="77"/>
      <c r="C64" s="7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</row>
    <row r="65">
      <c r="A65" s="77"/>
      <c r="B65" s="77"/>
      <c r="C65" s="7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</row>
    <row r="66">
      <c r="A66" s="77"/>
      <c r="B66" s="77"/>
      <c r="C66" s="7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</row>
    <row r="67">
      <c r="A67" s="77"/>
      <c r="B67" s="77"/>
      <c r="C67" s="7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</row>
    <row r="68">
      <c r="A68" s="77"/>
      <c r="B68" s="77"/>
      <c r="C68" s="7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</row>
    <row r="69">
      <c r="A69" s="77"/>
      <c r="B69" s="77"/>
      <c r="C69" s="7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</row>
    <row r="70">
      <c r="A70" s="77"/>
      <c r="B70" s="77"/>
      <c r="C70" s="7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</row>
    <row r="71">
      <c r="A71" s="77"/>
      <c r="B71" s="77"/>
      <c r="C71" s="7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</row>
    <row r="72">
      <c r="A72" s="77"/>
      <c r="B72" s="77"/>
      <c r="C72" s="7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213"/>
    </row>
    <row r="73">
      <c r="A73" s="77"/>
      <c r="B73" s="77"/>
      <c r="C73" s="7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</row>
    <row r="74">
      <c r="A74" s="77"/>
      <c r="B74" s="77"/>
      <c r="C74" s="7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</row>
    <row r="75">
      <c r="A75" s="77"/>
      <c r="B75" s="77"/>
      <c r="C75" s="7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</row>
    <row r="76">
      <c r="A76" s="77"/>
      <c r="B76" s="77"/>
      <c r="C76" s="7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</row>
    <row r="77">
      <c r="A77" s="77"/>
      <c r="B77" s="77"/>
      <c r="C77" s="7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</row>
    <row r="78">
      <c r="A78" s="77"/>
      <c r="B78" s="77"/>
      <c r="C78" s="7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</row>
    <row r="79">
      <c r="A79" s="77"/>
      <c r="B79" s="77"/>
      <c r="C79" s="7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</row>
    <row r="80">
      <c r="A80" s="77"/>
      <c r="B80" s="77"/>
      <c r="C80" s="7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</row>
    <row r="81">
      <c r="A81" s="77"/>
      <c r="B81" s="77"/>
      <c r="C81" s="7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</row>
    <row r="82">
      <c r="A82" s="77"/>
      <c r="B82" s="77"/>
      <c r="C82" s="7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</row>
    <row r="83">
      <c r="A83" s="77"/>
      <c r="B83" s="77"/>
      <c r="C83" s="7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</row>
    <row r="84">
      <c r="A84" s="77"/>
      <c r="B84" s="77"/>
      <c r="C84" s="7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</row>
    <row r="85">
      <c r="A85" s="77"/>
      <c r="B85" s="77"/>
      <c r="C85" s="7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</row>
    <row r="86">
      <c r="A86" s="214"/>
      <c r="B86" s="214"/>
      <c r="C86" s="214"/>
      <c r="D86" s="215" t="s">
        <v>178</v>
      </c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</row>
    <row r="87">
      <c r="A87" s="77"/>
      <c r="B87" s="77"/>
      <c r="C87" s="7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</row>
    <row r="88">
      <c r="A88" s="77"/>
      <c r="B88" s="77"/>
      <c r="C88" s="77"/>
      <c r="D88" s="61" t="s">
        <v>179</v>
      </c>
      <c r="E88" s="57"/>
      <c r="F88" s="57"/>
      <c r="G88" s="57"/>
      <c r="H88" s="57"/>
      <c r="I88" s="61" t="s">
        <v>180</v>
      </c>
      <c r="J88" s="57"/>
      <c r="K88" s="57"/>
      <c r="L88" s="57"/>
      <c r="M88" s="57"/>
      <c r="N88" s="57"/>
      <c r="O88" s="57"/>
      <c r="P88" s="57"/>
    </row>
    <row r="89">
      <c r="A89" s="77"/>
      <c r="B89" s="77"/>
      <c r="C89" s="77"/>
      <c r="D89" s="61" t="s">
        <v>181</v>
      </c>
      <c r="E89" s="57"/>
      <c r="F89" s="57"/>
      <c r="G89" s="57"/>
      <c r="H89" s="57"/>
      <c r="I89" s="61" t="s">
        <v>182</v>
      </c>
      <c r="J89" s="57"/>
      <c r="K89" s="57"/>
      <c r="L89" s="57"/>
      <c r="M89" s="57"/>
      <c r="N89" s="57"/>
      <c r="O89" s="57"/>
      <c r="P89" s="57"/>
    </row>
    <row r="90">
      <c r="A90" s="217"/>
      <c r="B90" s="217"/>
      <c r="C90" s="217"/>
      <c r="D90" s="57"/>
      <c r="E90" s="57"/>
      <c r="F90" s="57"/>
      <c r="G90" s="57"/>
      <c r="H90" s="57"/>
      <c r="I90" s="61" t="s">
        <v>183</v>
      </c>
      <c r="J90" s="57"/>
      <c r="K90" s="57"/>
      <c r="L90" s="57"/>
      <c r="M90" s="57"/>
      <c r="N90" s="57"/>
      <c r="O90" s="57"/>
      <c r="P90" s="57"/>
    </row>
    <row r="91">
      <c r="A91" s="77"/>
      <c r="B91" s="77"/>
      <c r="C91" s="77"/>
      <c r="D91" s="61" t="s">
        <v>184</v>
      </c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</row>
    <row r="92">
      <c r="A92" s="77"/>
      <c r="B92" s="77"/>
      <c r="C92" s="77"/>
      <c r="D92" s="61" t="s">
        <v>185</v>
      </c>
      <c r="E92" s="57"/>
      <c r="F92" s="57"/>
      <c r="G92" s="57"/>
      <c r="H92" s="57"/>
      <c r="I92" s="61" t="s">
        <v>186</v>
      </c>
      <c r="J92" s="57"/>
      <c r="K92" s="57"/>
      <c r="L92" s="57"/>
      <c r="M92" s="57"/>
      <c r="N92" s="57"/>
      <c r="O92" s="57"/>
      <c r="P92" s="57"/>
      <c r="R92" s="11" t="s">
        <v>187</v>
      </c>
    </row>
    <row r="93">
      <c r="A93" s="77"/>
      <c r="B93" s="77"/>
      <c r="C93" s="77"/>
      <c r="D93" s="61" t="s">
        <v>188</v>
      </c>
      <c r="E93" s="57"/>
      <c r="F93" s="57"/>
      <c r="G93" s="57"/>
      <c r="H93" s="57"/>
      <c r="I93" s="61" t="s">
        <v>189</v>
      </c>
      <c r="J93" s="57"/>
      <c r="K93" s="57"/>
      <c r="L93" s="57"/>
      <c r="M93" s="57"/>
      <c r="N93" s="57"/>
      <c r="O93" s="57"/>
      <c r="P93" s="57"/>
    </row>
    <row r="94">
      <c r="A94" s="77"/>
      <c r="B94" s="77"/>
      <c r="C94" s="7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</row>
    <row r="95">
      <c r="A95" s="77"/>
      <c r="B95" s="77"/>
      <c r="C95" s="7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</row>
    <row r="96">
      <c r="A96" s="218"/>
      <c r="B96" s="218"/>
      <c r="C96" s="218"/>
      <c r="D96" s="219" t="s">
        <v>190</v>
      </c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</row>
    <row r="97">
      <c r="A97" s="220"/>
      <c r="B97" s="220"/>
      <c r="C97" s="77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57"/>
      <c r="P97" s="222"/>
    </row>
    <row r="98">
      <c r="A98" s="77"/>
      <c r="B98" s="77"/>
      <c r="C98" s="77"/>
      <c r="D98" s="224" t="s">
        <v>3</v>
      </c>
      <c r="E98" s="226" t="s">
        <v>192</v>
      </c>
      <c r="F98" s="221"/>
      <c r="G98" s="224" t="s">
        <v>33</v>
      </c>
      <c r="H98" s="226" t="s">
        <v>193</v>
      </c>
      <c r="I98" s="221"/>
      <c r="J98" s="221"/>
      <c r="K98" s="221"/>
      <c r="L98" s="221"/>
      <c r="M98" s="221"/>
      <c r="N98" s="221"/>
      <c r="O98" s="57"/>
      <c r="P98" s="57"/>
    </row>
    <row r="99">
      <c r="A99" s="77"/>
      <c r="B99" s="77"/>
      <c r="C99" s="77"/>
      <c r="D99" s="224" t="s">
        <v>194</v>
      </c>
      <c r="E99" s="226" t="s">
        <v>195</v>
      </c>
      <c r="F99" s="221"/>
      <c r="G99" s="224" t="s">
        <v>5</v>
      </c>
      <c r="H99" s="226" t="s">
        <v>196</v>
      </c>
      <c r="I99" s="221"/>
      <c r="J99" s="221"/>
      <c r="K99" s="221"/>
      <c r="L99" s="221"/>
      <c r="M99" s="221"/>
      <c r="N99" s="221"/>
      <c r="O99" s="57"/>
      <c r="P99" s="57"/>
    </row>
    <row r="100">
      <c r="A100" s="77"/>
      <c r="B100" s="77"/>
      <c r="C100" s="77"/>
      <c r="D100" s="224" t="s">
        <v>25</v>
      </c>
      <c r="E100" s="226" t="s">
        <v>197</v>
      </c>
      <c r="F100" s="221"/>
      <c r="G100" s="224" t="s">
        <v>8</v>
      </c>
      <c r="H100" s="226" t="s">
        <v>198</v>
      </c>
      <c r="I100" s="221"/>
      <c r="J100" s="221"/>
      <c r="K100" s="221"/>
      <c r="L100" s="221"/>
      <c r="M100" s="221"/>
      <c r="N100" s="221"/>
      <c r="O100" s="57"/>
      <c r="P100" s="57"/>
    </row>
    <row r="101">
      <c r="A101" s="77"/>
      <c r="B101" s="77"/>
      <c r="C101" s="77"/>
      <c r="D101" s="224" t="s">
        <v>0</v>
      </c>
      <c r="E101" s="226" t="s">
        <v>199</v>
      </c>
      <c r="F101" s="221"/>
      <c r="G101" s="224" t="s">
        <v>28</v>
      </c>
      <c r="H101" s="226" t="s">
        <v>200</v>
      </c>
      <c r="I101" s="221"/>
      <c r="J101" s="221"/>
      <c r="K101" s="221"/>
      <c r="L101" s="221"/>
      <c r="M101" s="221"/>
      <c r="N101" s="221"/>
      <c r="O101" s="57"/>
      <c r="P101" s="57"/>
    </row>
    <row r="102">
      <c r="A102" s="77"/>
      <c r="B102" s="77"/>
      <c r="C102" s="77"/>
      <c r="D102" s="224" t="s">
        <v>7</v>
      </c>
      <c r="E102" s="226" t="s">
        <v>201</v>
      </c>
      <c r="F102" s="221"/>
      <c r="G102" s="224" t="s">
        <v>26</v>
      </c>
      <c r="H102" s="226" t="s">
        <v>202</v>
      </c>
      <c r="I102" s="221"/>
      <c r="J102" s="221"/>
      <c r="K102" s="221"/>
      <c r="L102" s="221"/>
      <c r="M102" s="221"/>
      <c r="N102" s="221"/>
      <c r="O102" s="57"/>
      <c r="P102" s="57"/>
    </row>
    <row r="103">
      <c r="A103" s="217"/>
      <c r="B103" s="217"/>
      <c r="C103" s="217"/>
      <c r="D103" s="224" t="s">
        <v>23</v>
      </c>
      <c r="E103" s="226" t="s">
        <v>203</v>
      </c>
      <c r="F103" s="221"/>
      <c r="G103" s="224" t="s">
        <v>204</v>
      </c>
      <c r="H103" s="226" t="s">
        <v>205</v>
      </c>
      <c r="I103" s="221"/>
      <c r="J103" s="221"/>
      <c r="K103" s="221"/>
      <c r="L103" s="221"/>
      <c r="M103" s="221"/>
      <c r="N103" s="221"/>
      <c r="O103" s="57"/>
      <c r="P103" s="57"/>
    </row>
    <row r="104">
      <c r="A104" s="77"/>
      <c r="B104" s="77"/>
      <c r="C104" s="77"/>
      <c r="D104" s="224" t="s">
        <v>32</v>
      </c>
      <c r="E104" s="226" t="s">
        <v>206</v>
      </c>
      <c r="F104" s="221"/>
      <c r="G104" s="224" t="s">
        <v>207</v>
      </c>
      <c r="H104" s="226" t="s">
        <v>208</v>
      </c>
      <c r="I104" s="221"/>
      <c r="J104" s="221"/>
      <c r="K104" s="221"/>
      <c r="L104" s="221"/>
      <c r="M104" s="221"/>
      <c r="N104" s="221"/>
      <c r="O104" s="57"/>
      <c r="P104" s="57"/>
    </row>
    <row r="105">
      <c r="A105" s="77"/>
      <c r="B105" s="77"/>
      <c r="C105" s="77"/>
      <c r="D105" s="224" t="s">
        <v>31</v>
      </c>
      <c r="E105" s="226" t="s">
        <v>209</v>
      </c>
      <c r="F105" s="221"/>
      <c r="G105" s="224" t="s">
        <v>210</v>
      </c>
      <c r="H105" s="226" t="s">
        <v>211</v>
      </c>
      <c r="I105" s="221"/>
      <c r="J105" s="221"/>
      <c r="K105" s="221"/>
      <c r="L105" s="221"/>
      <c r="M105" s="221"/>
      <c r="N105" s="221"/>
      <c r="O105" s="57"/>
      <c r="P105" s="57"/>
    </row>
    <row r="106">
      <c r="A106" s="77"/>
      <c r="B106" s="77"/>
      <c r="C106" s="77"/>
      <c r="D106" s="224" t="s">
        <v>4</v>
      </c>
      <c r="E106" s="226" t="s">
        <v>212</v>
      </c>
      <c r="F106" s="221"/>
      <c r="G106" s="221"/>
      <c r="H106" s="221"/>
      <c r="I106" s="221"/>
      <c r="J106" s="221"/>
      <c r="K106" s="221"/>
      <c r="L106" s="221"/>
      <c r="M106" s="221"/>
      <c r="N106" s="221"/>
      <c r="O106" s="57"/>
      <c r="P106" s="57"/>
    </row>
    <row r="107">
      <c r="A107" s="77"/>
      <c r="B107" s="77"/>
      <c r="C107" s="77"/>
      <c r="D107" s="237"/>
      <c r="E107" s="237"/>
      <c r="F107" s="237"/>
      <c r="G107" s="238"/>
      <c r="H107" s="238"/>
      <c r="I107" s="238"/>
      <c r="J107" s="221"/>
      <c r="K107" s="221"/>
      <c r="L107" s="221"/>
      <c r="M107" s="221"/>
      <c r="N107" s="221"/>
      <c r="O107" s="57"/>
      <c r="P107" s="57"/>
    </row>
    <row r="108">
      <c r="A108" s="11"/>
      <c r="B108" s="11"/>
      <c r="C108" s="11"/>
      <c r="G108" s="239"/>
      <c r="H108" s="239"/>
      <c r="I108" s="239"/>
      <c r="J108" s="239"/>
      <c r="K108" s="239"/>
      <c r="L108" s="239"/>
      <c r="M108" s="239"/>
      <c r="N108" s="239"/>
    </row>
    <row r="109">
      <c r="A109" s="11"/>
      <c r="B109" s="11"/>
      <c r="C109" s="11"/>
      <c r="G109" s="239"/>
      <c r="H109" s="239"/>
      <c r="I109" s="239"/>
      <c r="J109" s="239"/>
      <c r="K109" s="239"/>
      <c r="L109" s="239"/>
      <c r="M109" s="239"/>
      <c r="N109" s="239"/>
    </row>
    <row r="110">
      <c r="A110" s="11"/>
      <c r="B110" s="11"/>
      <c r="C110" s="11"/>
      <c r="G110" s="239"/>
      <c r="H110" s="239"/>
      <c r="I110" s="239"/>
      <c r="J110" s="239"/>
      <c r="K110" s="239"/>
      <c r="L110" s="239"/>
      <c r="M110" s="239"/>
      <c r="N110" s="239"/>
    </row>
    <row r="111">
      <c r="A111" s="11"/>
      <c r="B111" s="11"/>
      <c r="C111" s="11"/>
      <c r="G111" s="239"/>
      <c r="H111" s="239"/>
      <c r="I111" s="239"/>
      <c r="J111" s="239"/>
      <c r="K111" s="239"/>
      <c r="L111" s="239"/>
      <c r="M111" s="239"/>
      <c r="N111" s="239"/>
    </row>
    <row r="112">
      <c r="A112" s="11"/>
      <c r="B112" s="11"/>
      <c r="C112" s="11"/>
      <c r="G112" s="239"/>
      <c r="H112" s="239"/>
      <c r="I112" s="239"/>
      <c r="J112" s="239"/>
      <c r="K112" s="239"/>
      <c r="L112" s="239"/>
      <c r="M112" s="239"/>
      <c r="N112" s="239"/>
    </row>
    <row r="113">
      <c r="A113" s="11"/>
      <c r="B113" s="11"/>
      <c r="C113" s="11"/>
      <c r="G113" s="239"/>
      <c r="H113" s="239"/>
      <c r="I113" s="239"/>
      <c r="J113" s="239"/>
      <c r="K113" s="239"/>
      <c r="L113" s="239"/>
      <c r="M113" s="239"/>
      <c r="N113" s="239"/>
    </row>
    <row r="114">
      <c r="G114" s="239"/>
      <c r="H114" s="239"/>
      <c r="I114" s="239"/>
      <c r="J114" s="239"/>
      <c r="K114" s="239"/>
      <c r="L114" s="239"/>
      <c r="M114" s="239"/>
      <c r="N114" s="239"/>
    </row>
    <row r="115">
      <c r="A115" s="11"/>
      <c r="B115" s="11"/>
      <c r="C115" s="11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</row>
    <row r="116">
      <c r="A116" s="11"/>
      <c r="B116" s="11"/>
      <c r="C116" s="11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</row>
    <row r="117"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</row>
    <row r="118"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</row>
    <row r="119">
      <c r="A119" s="11"/>
      <c r="B119" s="11"/>
      <c r="C119" s="11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</row>
    <row r="120"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</row>
    <row r="121"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</row>
    <row r="122"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</row>
    <row r="123"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</row>
    <row r="124"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</row>
    <row r="125"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</row>
    <row r="126"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</row>
    <row r="127"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</row>
    <row r="128"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</row>
    <row r="129"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</row>
    <row r="130"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</row>
    <row r="131"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</row>
    <row r="132"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</row>
    <row r="133"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</row>
    <row r="134"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</row>
    <row r="135"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</row>
    <row r="136"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</row>
    <row r="137"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</row>
    <row r="138"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</row>
  </sheetData>
  <mergeCells count="4">
    <mergeCell ref="C2:O2"/>
    <mergeCell ref="C6:L6"/>
    <mergeCell ref="C7:L7"/>
    <mergeCell ref="C8:K8"/>
  </mergeCells>
  <printOptions horizontalCentered="1" verticalCentered="1"/>
  <pageMargins bottom="0.03937007874015748" footer="0.0" header="0.0" left="0.0" right="0.0" top="0.03937007874015748"/>
  <pageSetup paperSize="5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19.5"/>
    <col customWidth="1" min="4" max="4" width="42.25"/>
    <col customWidth="1" min="7" max="7" width="14.25"/>
    <col customWidth="1" min="8" max="8" width="16.75"/>
    <col customWidth="1" min="9" max="9" width="14.13"/>
  </cols>
  <sheetData>
    <row r="1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</row>
    <row r="2">
      <c r="A2" s="58"/>
      <c r="B2" s="59" t="s">
        <v>39</v>
      </c>
      <c r="C2" s="60"/>
      <c r="D2" s="60"/>
      <c r="E2" s="60"/>
      <c r="F2" s="60"/>
      <c r="G2" s="58"/>
      <c r="H2" s="58"/>
      <c r="I2" s="58"/>
      <c r="J2" s="58"/>
      <c r="K2" s="58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</row>
    <row r="19">
      <c r="A19" s="57"/>
      <c r="B19" s="61" t="s">
        <v>40</v>
      </c>
      <c r="C19" s="62"/>
      <c r="D19" s="62"/>
      <c r="E19" s="62"/>
      <c r="F19" s="63"/>
      <c r="G19" s="63"/>
      <c r="H19" s="63"/>
      <c r="I19" s="63"/>
      <c r="J19" s="63"/>
      <c r="K19" s="63"/>
      <c r="L19" s="64"/>
    </row>
    <row r="20">
      <c r="A20" s="57"/>
      <c r="B20" s="61" t="s">
        <v>41</v>
      </c>
      <c r="C20" s="62"/>
      <c r="D20" s="62"/>
      <c r="E20" s="62"/>
      <c r="F20" s="63"/>
      <c r="G20" s="63"/>
      <c r="H20" s="63"/>
      <c r="I20" s="63"/>
      <c r="J20" s="63"/>
      <c r="K20" s="63"/>
      <c r="L20" s="64"/>
    </row>
    <row r="21">
      <c r="A21" s="57"/>
      <c r="B21" s="61" t="s">
        <v>42</v>
      </c>
      <c r="C21" s="63"/>
      <c r="D21" s="62"/>
      <c r="E21" s="62"/>
      <c r="F21" s="63"/>
      <c r="G21" s="63"/>
      <c r="H21" s="63"/>
      <c r="I21" s="63"/>
      <c r="J21" s="63"/>
      <c r="K21" s="63"/>
      <c r="L21" s="64"/>
    </row>
    <row r="22">
      <c r="A22" s="57"/>
      <c r="B22" s="61" t="s">
        <v>43</v>
      </c>
      <c r="C22" s="63"/>
      <c r="D22" s="62"/>
      <c r="E22" s="62"/>
      <c r="F22" s="63"/>
      <c r="G22" s="63"/>
      <c r="H22" s="63"/>
      <c r="I22" s="63"/>
      <c r="J22" s="63"/>
      <c r="K22" s="63"/>
      <c r="L22" s="64"/>
    </row>
    <row r="23">
      <c r="A23" s="57"/>
      <c r="B23" s="61" t="s">
        <v>44</v>
      </c>
      <c r="C23" s="63"/>
      <c r="D23" s="62"/>
      <c r="E23" s="62"/>
      <c r="F23" s="63"/>
      <c r="G23" s="63"/>
      <c r="H23" s="63"/>
      <c r="I23" s="63"/>
      <c r="J23" s="63"/>
      <c r="K23" s="63"/>
      <c r="L23" s="64"/>
    </row>
    <row r="24">
      <c r="A24" s="57"/>
      <c r="B24" s="61" t="s">
        <v>45</v>
      </c>
      <c r="C24" s="62"/>
      <c r="D24" s="62"/>
      <c r="E24" s="62"/>
      <c r="F24" s="63"/>
      <c r="G24" s="57"/>
      <c r="H24" s="57"/>
      <c r="I24" s="57"/>
      <c r="J24" s="57"/>
      <c r="K24" s="57"/>
    </row>
    <row r="25">
      <c r="A25" s="57"/>
      <c r="B25" s="61" t="s">
        <v>46</v>
      </c>
      <c r="C25" s="57"/>
      <c r="D25" s="57"/>
      <c r="E25" s="57"/>
      <c r="F25" s="57"/>
      <c r="G25" s="57"/>
      <c r="H25" s="57"/>
      <c r="I25" s="57"/>
      <c r="J25" s="57"/>
      <c r="K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</row>
    <row r="28">
      <c r="A28" s="58"/>
      <c r="B28" s="65" t="s">
        <v>47</v>
      </c>
      <c r="C28" s="66"/>
      <c r="D28" s="66"/>
      <c r="E28" s="66"/>
      <c r="F28" s="66"/>
      <c r="G28" s="66"/>
      <c r="H28" s="66"/>
      <c r="I28" s="66"/>
      <c r="J28" s="58"/>
      <c r="K28" s="58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</row>
    <row r="31">
      <c r="A31" s="67"/>
      <c r="B31" s="68" t="s">
        <v>48</v>
      </c>
      <c r="E31" s="57"/>
      <c r="F31" s="69" t="str">
        <f>"Margen Bruto General "&amp; B31</f>
        <v>Margen Bruto General Escenario B (PV 2025 VS CV 2024)</v>
      </c>
      <c r="K31" s="69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>
      <c r="A33" s="67"/>
      <c r="B33" s="67"/>
      <c r="C33" s="67"/>
      <c r="D33" s="67"/>
      <c r="E33" s="67"/>
      <c r="F33" s="57"/>
      <c r="G33" s="57"/>
      <c r="H33" s="57"/>
      <c r="I33" s="57"/>
      <c r="J33" s="57"/>
      <c r="K33" s="67"/>
    </row>
    <row r="34">
      <c r="A34" s="67"/>
      <c r="B34" s="70" t="s">
        <v>49</v>
      </c>
      <c r="C34" s="71">
        <f>IF($B$31="2025 (Real)",(AVERAGE('Maestro de productos 2025'!$D$189:$D$196)),IF($B$31="Escenario A (PV 2025+10% VS CV 2025)",(AVERAGE('Maestro de productos 2025'!$D$189:$D$196)*1.1),(AVERAGE('Maestro de productos 2025'!$D$189:$D$196))))</f>
        <v>17.625</v>
      </c>
      <c r="D34" s="72"/>
      <c r="E34" s="73"/>
      <c r="F34" s="74"/>
      <c r="G34" s="57"/>
      <c r="H34" s="57"/>
      <c r="I34" s="57"/>
      <c r="J34" s="57"/>
      <c r="K34" s="57"/>
      <c r="L34" s="75"/>
    </row>
    <row r="35">
      <c r="A35" s="67"/>
      <c r="B35" s="76"/>
      <c r="C35" s="73"/>
      <c r="D35" s="73"/>
      <c r="E35" s="73"/>
      <c r="F35" s="73"/>
      <c r="G35" s="77" t="s">
        <v>50</v>
      </c>
      <c r="H35" s="78">
        <f>README!$G$14</f>
        <v>0.5926497652</v>
      </c>
      <c r="I35" s="57"/>
      <c r="J35" s="57"/>
      <c r="K35" s="67"/>
    </row>
    <row r="36">
      <c r="A36" s="67"/>
      <c r="B36" s="70" t="s">
        <v>51</v>
      </c>
      <c r="C36" s="79">
        <f>IF($B$31="2025 (Real)",AVERAGE('Maestro de productos 2025'!$E$189:$E$196),IF($B$31="Escenario A (PV 2025+10% VS CV 2025)",AVERAGE('Maestro de productos 2025'!$E$189:$E$196),AVERAGE('Maestro de productos 2024'!$E$189:$E$196)))</f>
        <v>6.119578865</v>
      </c>
      <c r="D36" s="73"/>
      <c r="E36" s="80"/>
      <c r="F36" s="73"/>
      <c r="G36" s="57" t="str">
        <f>$B$31</f>
        <v>Escenario B (PV 2025 VS CV 2024)</v>
      </c>
      <c r="H36" s="81">
        <f>$C$38</f>
        <v>0.656319564</v>
      </c>
      <c r="I36" s="57"/>
      <c r="J36" s="57"/>
      <c r="K36" s="67"/>
    </row>
    <row r="37" ht="15.75" customHeight="1">
      <c r="A37" s="67"/>
      <c r="B37" s="76"/>
      <c r="C37" s="73"/>
      <c r="D37" s="80"/>
      <c r="E37" s="73"/>
      <c r="F37" s="73"/>
      <c r="G37" s="57"/>
      <c r="H37" s="57"/>
      <c r="I37" s="57"/>
      <c r="J37" s="57"/>
      <c r="K37" s="57"/>
      <c r="L37" s="75"/>
    </row>
    <row r="38">
      <c r="A38" s="67"/>
      <c r="B38" s="82" t="s">
        <v>23</v>
      </c>
      <c r="C38" s="83">
        <f>IF($B$31="2025 (Real)",README!G14,IF($B$31="Escenario A (PV 2025+10% VS CV 2025)",(('Dashboard de rentabilidad'!$C$33-'Dashboard de rentabilidad'!$D$31)/'Dashboard de rentabilidad'!$C$33),('Dashboard de rentabilidad'!$P$58-'Dashboard de rentabilidad'!$Q$58)/'Dashboard de rentabilidad'!$P$58))</f>
        <v>0.656319564</v>
      </c>
      <c r="D38" s="73"/>
      <c r="E38" s="73"/>
      <c r="F38" s="73"/>
      <c r="G38" s="67"/>
      <c r="H38" s="67"/>
      <c r="I38" s="67"/>
      <c r="J38" s="67"/>
      <c r="K38" s="67"/>
      <c r="L38" s="75"/>
    </row>
    <row r="39">
      <c r="A39" s="67"/>
      <c r="B39" s="84"/>
      <c r="C39" s="73"/>
      <c r="D39" s="73"/>
      <c r="E39" s="73"/>
      <c r="F39" s="73"/>
      <c r="G39" s="67"/>
      <c r="H39" s="67"/>
      <c r="I39" s="67"/>
      <c r="J39" s="67"/>
      <c r="K39" s="67"/>
      <c r="L39" s="75"/>
    </row>
    <row r="40">
      <c r="A40" s="67"/>
      <c r="B40" s="85" t="s">
        <v>52</v>
      </c>
      <c r="C40" s="86" t="str">
        <f>IF($B$31="2025 (Real)","Margen bajo",IF($B$31="Escenario A (PV 2025+10% VS CV 2025)","Margen recuperado con solo aumentar 10% el PV","La inflación fue la causa raíz de la baja del MGB"))</f>
        <v>La inflación fue la causa raíz de la baja del MGB</v>
      </c>
      <c r="G40" s="67"/>
      <c r="H40" s="67"/>
      <c r="I40" s="67"/>
      <c r="J40" s="67"/>
      <c r="K40" s="67"/>
      <c r="L40" s="75"/>
    </row>
    <row r="41">
      <c r="A41" s="87"/>
      <c r="B41" s="87"/>
      <c r="C41" s="87"/>
      <c r="D41" s="87"/>
      <c r="E41" s="87"/>
      <c r="F41" s="87"/>
      <c r="G41" s="88"/>
      <c r="H41" s="87"/>
      <c r="I41" s="87"/>
      <c r="J41" s="87"/>
      <c r="K41" s="87"/>
      <c r="L41" s="89"/>
    </row>
    <row r="42">
      <c r="A42" s="87"/>
      <c r="B42" s="87"/>
      <c r="C42" s="87"/>
      <c r="D42" s="87"/>
      <c r="E42" s="87"/>
      <c r="F42" s="87"/>
      <c r="G42" s="88"/>
      <c r="H42" s="87"/>
      <c r="I42" s="87"/>
      <c r="J42" s="87"/>
      <c r="K42" s="87"/>
      <c r="L42" s="89"/>
    </row>
    <row r="43">
      <c r="A43" s="57"/>
      <c r="B43" s="90" t="s">
        <v>53</v>
      </c>
      <c r="C43" s="91"/>
      <c r="D43" s="91"/>
      <c r="E43" s="91"/>
      <c r="F43" s="57"/>
      <c r="G43" s="92"/>
      <c r="H43" s="57"/>
      <c r="I43" s="57"/>
      <c r="J43" s="57"/>
      <c r="K43" s="57"/>
    </row>
    <row r="44">
      <c r="A44" s="57"/>
      <c r="B44" s="90" t="s">
        <v>54</v>
      </c>
      <c r="C44" s="93"/>
      <c r="D44" s="93"/>
      <c r="E44" s="93"/>
      <c r="F44" s="57"/>
      <c r="G44" s="92"/>
      <c r="H44" s="57"/>
      <c r="I44" s="57"/>
      <c r="J44" s="57"/>
      <c r="K44" s="57"/>
    </row>
    <row r="45">
      <c r="A45" s="57"/>
      <c r="B45" s="90" t="s">
        <v>55</v>
      </c>
      <c r="C45" s="93"/>
      <c r="D45" s="93"/>
      <c r="E45" s="93"/>
      <c r="F45" s="57"/>
      <c r="G45" s="92"/>
      <c r="H45" s="57"/>
      <c r="I45" s="57"/>
      <c r="J45" s="57"/>
      <c r="K45" s="57"/>
    </row>
    <row r="46">
      <c r="A46" s="57"/>
      <c r="B46" s="90" t="s">
        <v>56</v>
      </c>
      <c r="C46" s="93"/>
      <c r="D46" s="93"/>
      <c r="E46" s="93"/>
      <c r="F46" s="57"/>
      <c r="G46" s="57"/>
      <c r="H46" s="57"/>
      <c r="I46" s="57"/>
      <c r="J46" s="57"/>
      <c r="K46" s="57"/>
    </row>
    <row r="47">
      <c r="A47" s="57"/>
      <c r="B47" s="90" t="s">
        <v>57</v>
      </c>
      <c r="C47" s="93"/>
      <c r="D47" s="93"/>
      <c r="E47" s="93"/>
      <c r="F47" s="57"/>
      <c r="G47" s="57"/>
      <c r="H47" s="57"/>
      <c r="I47" s="57"/>
      <c r="J47" s="57"/>
      <c r="K47" s="57"/>
    </row>
    <row r="48">
      <c r="A48" s="57"/>
      <c r="B48" s="57"/>
      <c r="C48" s="94"/>
      <c r="D48" s="94"/>
      <c r="E48" s="94"/>
      <c r="F48" s="57"/>
      <c r="G48" s="57"/>
      <c r="H48" s="57"/>
      <c r="I48" s="57"/>
      <c r="J48" s="57"/>
      <c r="K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</row>
    <row r="51">
      <c r="A51" s="57"/>
      <c r="B51" s="95" t="s">
        <v>58</v>
      </c>
      <c r="C51" s="57"/>
      <c r="D51" s="57"/>
      <c r="E51" s="57"/>
      <c r="F51" s="57"/>
      <c r="G51" s="57"/>
      <c r="H51" s="57"/>
      <c r="I51" s="57"/>
      <c r="J51" s="57"/>
      <c r="K51" s="57"/>
    </row>
    <row r="52">
      <c r="A52" s="57"/>
      <c r="B52" s="95" t="s">
        <v>59</v>
      </c>
      <c r="C52" s="57"/>
      <c r="D52" s="57"/>
      <c r="E52" s="57"/>
      <c r="F52" s="57"/>
      <c r="G52" s="57"/>
      <c r="H52" s="57"/>
      <c r="I52" s="57"/>
      <c r="J52" s="57"/>
      <c r="K52" s="57"/>
    </row>
    <row r="53">
      <c r="A53" s="57"/>
      <c r="B53" s="95" t="s">
        <v>60</v>
      </c>
      <c r="C53" s="57"/>
      <c r="D53" s="57"/>
      <c r="E53" s="57"/>
      <c r="F53" s="57"/>
      <c r="G53" s="57"/>
      <c r="H53" s="57"/>
      <c r="I53" s="57"/>
      <c r="J53" s="57"/>
      <c r="K53" s="57"/>
    </row>
    <row r="54">
      <c r="A54" s="57"/>
      <c r="B54" s="95" t="s">
        <v>61</v>
      </c>
      <c r="C54" s="57"/>
      <c r="D54" s="57"/>
      <c r="E54" s="57"/>
      <c r="F54" s="57"/>
      <c r="G54" s="57"/>
      <c r="H54" s="57"/>
      <c r="I54" s="57"/>
      <c r="J54" s="57"/>
      <c r="K54" s="57"/>
    </row>
    <row r="55">
      <c r="A55" s="57"/>
      <c r="B55" s="96"/>
      <c r="C55" s="57"/>
      <c r="D55" s="57"/>
      <c r="E55" s="57"/>
      <c r="F55" s="57"/>
      <c r="G55" s="57"/>
      <c r="H55" s="57"/>
      <c r="I55" s="57"/>
      <c r="J55" s="57"/>
      <c r="K55" s="57"/>
    </row>
    <row r="56">
      <c r="A56" s="57"/>
      <c r="B56" s="96"/>
      <c r="C56" s="57"/>
      <c r="D56" s="57"/>
      <c r="E56" s="57"/>
      <c r="F56" s="57"/>
      <c r="G56" s="57"/>
      <c r="H56" s="57"/>
      <c r="I56" s="57"/>
      <c r="J56" s="57"/>
      <c r="K56" s="57"/>
    </row>
    <row r="57">
      <c r="A57" s="57"/>
      <c r="B57" s="96"/>
      <c r="C57" s="57"/>
      <c r="D57" s="57"/>
      <c r="E57" s="57"/>
      <c r="F57" s="57"/>
      <c r="G57" s="57"/>
      <c r="H57" s="57"/>
      <c r="I57" s="57"/>
      <c r="J57" s="57"/>
      <c r="K57" s="57"/>
    </row>
    <row r="58">
      <c r="A58" s="58"/>
      <c r="B58" s="65" t="s">
        <v>62</v>
      </c>
      <c r="C58" s="58"/>
      <c r="D58" s="58"/>
      <c r="E58" s="58"/>
      <c r="F58" s="58"/>
      <c r="G58" s="58"/>
      <c r="H58" s="58"/>
      <c r="I58" s="58"/>
      <c r="J58" s="58"/>
      <c r="K58" s="58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77" t="s">
        <v>63</v>
      </c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</row>
    <row r="61">
      <c r="A61" s="57"/>
      <c r="B61" s="97" t="s">
        <v>1</v>
      </c>
      <c r="C61" s="97" t="s">
        <v>23</v>
      </c>
      <c r="D61" s="97" t="s">
        <v>64</v>
      </c>
      <c r="E61" s="97" t="s">
        <v>65</v>
      </c>
      <c r="F61" s="98"/>
      <c r="G61" s="98"/>
      <c r="H61" s="57"/>
      <c r="I61" s="57"/>
      <c r="J61" s="57"/>
      <c r="K61" s="57"/>
    </row>
    <row r="62" ht="30.0" customHeight="1">
      <c r="A62" s="57"/>
      <c r="B62" s="99" t="s">
        <v>66</v>
      </c>
      <c r="C62" s="100">
        <f>'Maestro de productos 2025'!M189/'Maestro de productos 2025'!J189</f>
        <v>0.592825601</v>
      </c>
      <c r="D62" s="101" t="str">
        <f>IFS(
  OR(C62 &lt; 0.45,'Maestro de productos 2025'!G189 &lt; 'Maestro de productos 2025'!$G$198), "🟧 Crítico (Revisar Costos o Rotación)",
  AND(C62 &gt;= 0.6,'Maestro de productos 2025'!G189  &gt;= 'Maestro de productos 2025'!$G$198), "🟪 Excelente (Alta Rentabilidad y Ventas)",
  TRUE, "🟨 Estable / Alerta (Monitorear Estrategia)"
)</f>
        <v>🟨 Estable / Alerta (Monitorear Estrategia)</v>
      </c>
      <c r="E62" s="102" t="s">
        <v>67</v>
      </c>
      <c r="F62" s="98"/>
      <c r="G62" s="98"/>
      <c r="H62" s="57"/>
      <c r="I62" s="57"/>
      <c r="J62" s="57"/>
      <c r="K62" s="57"/>
    </row>
    <row r="63" ht="30.0" customHeight="1">
      <c r="A63" s="57"/>
      <c r="B63" s="99" t="s">
        <v>68</v>
      </c>
      <c r="C63" s="100">
        <f>'Maestro de productos 2025'!M190/'Maestro de productos 2025'!J190</f>
        <v>0.5894197426</v>
      </c>
      <c r="D63" s="101" t="str">
        <f>IFS(
  OR(C63 &lt; 0.45,'Maestro de productos 2025'!G190 &lt; 'Maestro de productos 2025'!$G$198), "🟧 Crítico (Revisar Costos o Rotación)",
  AND(C63 &gt;= 0.6,'Maestro de productos 2025'!G190  &gt;= 'Maestro de productos 2025'!$G$198), "🟪 Excelente (Alta Rentabilidad y Ventas)",
  TRUE, "🟨 Estable / Alerta (Monitorear Estrategia)"
)</f>
        <v>🟨 Estable / Alerta (Monitorear Estrategia)</v>
      </c>
      <c r="E63" s="102" t="s">
        <v>69</v>
      </c>
      <c r="F63" s="98"/>
      <c r="G63" s="98"/>
      <c r="H63" s="57"/>
      <c r="I63" s="57"/>
      <c r="J63" s="57"/>
      <c r="K63" s="57"/>
      <c r="L63" s="33"/>
    </row>
    <row r="64" ht="30.0" customHeight="1">
      <c r="A64" s="57"/>
      <c r="B64" s="99" t="s">
        <v>70</v>
      </c>
      <c r="C64" s="100">
        <f>'Maestro de productos 2025'!M191/'Maestro de productos 2025'!J191</f>
        <v>0.5963438272</v>
      </c>
      <c r="D64" s="101" t="str">
        <f>IFS(
  OR(C64 &lt; 0.45,'Maestro de productos 2025'!G191 &lt; 'Maestro de productos 2025'!$G$198), "🟧 Crítico (Revisar Costos o Rotación)",
  AND(C64 &gt;= 0.6,'Maestro de productos 2025'!G191  &gt;= 'Maestro de productos 2025'!$G$198), "🟪 Excelente (Alta Rentabilidad y Ventas)",
  TRUE, "🟨 Estable / Alerta (Monitorear Estrategia)"
)</f>
        <v>🟨 Estable / Alerta (Monitorear Estrategia)</v>
      </c>
      <c r="E64" s="102" t="s">
        <v>71</v>
      </c>
      <c r="F64" s="98"/>
      <c r="G64" s="98"/>
      <c r="H64" s="57"/>
      <c r="I64" s="57"/>
      <c r="J64" s="57"/>
      <c r="K64" s="57"/>
      <c r="L64" s="33"/>
    </row>
    <row r="65" ht="30.0" customHeight="1">
      <c r="A65" s="57"/>
      <c r="B65" s="99" t="s">
        <v>72</v>
      </c>
      <c r="C65" s="100">
        <f>'Maestro de productos 2025'!M192/'Maestro de productos 2025'!J192</f>
        <v>0.5554600714</v>
      </c>
      <c r="D65" s="101" t="str">
        <f>IFS(
  OR(C65 &lt; 0.45,'Maestro de productos 2025'!G192 &lt; 'Maestro de productos 2025'!$G$198), "🟧 Crítico (Revisar Costos o Rotación)",
  AND(C65 &gt;= 0.6,'Maestro de productos 2025'!G192  &gt;= 'Maestro de productos 2025'!$G$198), "🟪 Excelente (Alta Rentabilidad y Ventas)",
  TRUE, "🟨 Estable / Alerta (Monitorear Estrategia)"
)</f>
        <v>🟨 Estable / Alerta (Monitorear Estrategia)</v>
      </c>
      <c r="E65" s="102" t="s">
        <v>73</v>
      </c>
      <c r="F65" s="98"/>
      <c r="G65" s="98"/>
      <c r="H65" s="57"/>
      <c r="I65" s="57"/>
      <c r="J65" s="57"/>
      <c r="K65" s="57"/>
      <c r="L65" s="33"/>
    </row>
    <row r="66" ht="30.0" customHeight="1">
      <c r="A66" s="57"/>
      <c r="B66" s="99" t="s">
        <v>74</v>
      </c>
      <c r="C66" s="100">
        <f>'Maestro de productos 2025'!M193/'Maestro de productos 2025'!J193</f>
        <v>0.60193566</v>
      </c>
      <c r="D66" s="101" t="str">
        <f>IFS(
  OR(C66 &lt; 0.45,'Maestro de productos 2025'!G193 &lt; 'Maestro de productos 2025'!$G$198), "🟧 Crítico (Revisar Costos o Rotación)",
  AND(C66 &gt;= 0.6,'Maestro de productos 2025'!G193  &gt;= 'Maestro de productos 2025'!$G$198), "🟪 Excelente (Alta Rentabilidad y Ventas)",
  TRUE, "🟨 Estable / Alerta (Monitorear Estrategia)"
)</f>
        <v>🟪 Excelente (Alta Rentabilidad y Ventas)</v>
      </c>
      <c r="E66" s="103" t="s">
        <v>75</v>
      </c>
      <c r="F66" s="104"/>
      <c r="G66" s="105"/>
      <c r="H66" s="57"/>
      <c r="I66" s="57"/>
      <c r="J66" s="57"/>
      <c r="K66" s="57"/>
      <c r="L66" s="33"/>
    </row>
    <row r="67" ht="30.0" customHeight="1">
      <c r="A67" s="57"/>
      <c r="B67" s="99" t="s">
        <v>76</v>
      </c>
      <c r="C67" s="100">
        <f>'Maestro de productos 2025'!M194/'Maestro de productos 2025'!J194</f>
        <v>0.5987923789</v>
      </c>
      <c r="D67" s="101" t="str">
        <f>IFS(
  OR(C67 &lt; 0.45,'Maestro de productos 2025'!G194 &lt; 'Maestro de productos 2025'!$G$198), "🟧 Crítico (Revisar Costos o Rotación)",
  AND(C67 &gt;= 0.6,'Maestro de productos 2025'!G194  &gt;= 'Maestro de productos 2025'!$G$198), "🟪 Excelente (Alta Rentabilidad y Ventas)",
  TRUE, "🟨 Estable / Alerta (Monitorear Estrategia)"
)</f>
        <v>🟧 Crítico (Revisar Costos o Rotación)</v>
      </c>
      <c r="E67" s="102" t="s">
        <v>77</v>
      </c>
      <c r="F67" s="98"/>
      <c r="G67" s="98"/>
      <c r="H67" s="57"/>
      <c r="I67" s="57"/>
      <c r="J67" s="57"/>
      <c r="K67" s="57"/>
      <c r="L67" s="33"/>
    </row>
    <row r="68" ht="30.0" customHeight="1">
      <c r="A68" s="57"/>
      <c r="B68" s="99" t="s">
        <v>78</v>
      </c>
      <c r="C68" s="100">
        <f>'Maestro de productos 2025'!M195/'Maestro de productos 2025'!J195</f>
        <v>0.5883836207</v>
      </c>
      <c r="D68" s="101" t="str">
        <f>IFS(
  OR(C68 &lt; 0.45,'Maestro de productos 2025'!G195 &lt; 'Maestro de productos 2025'!$G$198), "🟧 Crítico (Revisar Costos o Rotación)",
  AND(C68 &gt;= 0.6,'Maestro de productos 2025'!G195  &gt;= 'Maestro de productos 2025'!$G$198), "🟪 Excelente (Alta Rentabilidad y Ventas)",
  TRUE, "🟨 Estable / Alerta (Monitorear Estrategia)"
)</f>
        <v>🟧 Crítico (Revisar Costos o Rotación)</v>
      </c>
      <c r="E68" s="102" t="s">
        <v>77</v>
      </c>
      <c r="F68" s="98"/>
      <c r="G68" s="98"/>
      <c r="H68" s="57"/>
      <c r="I68" s="57"/>
      <c r="J68" s="57"/>
      <c r="K68" s="57"/>
      <c r="L68" s="33"/>
    </row>
    <row r="69" ht="30.0" customHeight="1">
      <c r="A69" s="57"/>
      <c r="B69" s="106" t="s">
        <v>79</v>
      </c>
      <c r="C69" s="107">
        <f>'Maestro de productos 2025'!M196/'Maestro de productos 2025'!J196</f>
        <v>0.6055119963</v>
      </c>
      <c r="D69" s="108" t="str">
        <f>IFS(
  OR(C69 &lt; 0.45,'Maestro de productos 2025'!G196 &lt; 'Maestro de productos 2025'!$G$198), "🟧 Crítico (Revisar Costos o Rotación)",
  AND(C69 &gt;= 0.6,'Maestro de productos 2025'!G196  &gt;= 'Maestro de productos 2025'!$G$198), "🟪 Excelente (Alta Rentabilidad y Ventas)",
  TRUE, "🟨 Estable / Alerta (Monitorear Estrategia)"
)</f>
        <v>🟪 Excelente (Alta Rentabilidad y Ventas)</v>
      </c>
      <c r="E69" s="109" t="s">
        <v>71</v>
      </c>
      <c r="H69" s="57"/>
      <c r="I69" s="57"/>
      <c r="J69" s="57"/>
      <c r="K69" s="57"/>
      <c r="L69" s="33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33"/>
    </row>
    <row r="71">
      <c r="A71" s="57"/>
      <c r="B71" s="61" t="s">
        <v>80</v>
      </c>
      <c r="C71" s="57"/>
      <c r="D71" s="57"/>
      <c r="E71" s="57"/>
      <c r="F71" s="57"/>
      <c r="G71" s="57"/>
      <c r="H71" s="57"/>
      <c r="I71" s="57"/>
      <c r="J71" s="57"/>
      <c r="K71" s="57"/>
    </row>
    <row r="72">
      <c r="A72" s="57"/>
      <c r="B72" s="61" t="s">
        <v>81</v>
      </c>
      <c r="C72" s="57"/>
      <c r="D72" s="57"/>
      <c r="E72" s="57"/>
      <c r="F72" s="57"/>
      <c r="G72" s="57"/>
      <c r="H72" s="57"/>
      <c r="I72" s="57"/>
      <c r="J72" s="57"/>
      <c r="K72" s="57"/>
    </row>
    <row r="73">
      <c r="A73" s="57"/>
      <c r="B73" s="61" t="s">
        <v>82</v>
      </c>
      <c r="C73" s="57"/>
      <c r="D73" s="57"/>
      <c r="E73" s="57"/>
      <c r="F73" s="57"/>
      <c r="G73" s="57"/>
      <c r="H73" s="57"/>
      <c r="I73" s="57"/>
      <c r="J73" s="57"/>
      <c r="K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</row>
    <row r="75">
      <c r="A75" s="57"/>
      <c r="B75" s="61" t="s">
        <v>83</v>
      </c>
      <c r="C75" s="57"/>
      <c r="D75" s="57"/>
      <c r="E75" s="57"/>
      <c r="F75" s="57"/>
      <c r="G75" s="57"/>
      <c r="H75" s="57"/>
      <c r="I75" s="57"/>
      <c r="J75" s="57"/>
      <c r="K75" s="57"/>
    </row>
    <row r="76">
      <c r="A76" s="57"/>
      <c r="B76" s="61" t="s">
        <v>84</v>
      </c>
      <c r="C76" s="57"/>
      <c r="D76" s="57"/>
      <c r="E76" s="57"/>
      <c r="F76" s="57"/>
      <c r="G76" s="57"/>
      <c r="H76" s="57"/>
      <c r="I76" s="57"/>
      <c r="J76" s="57"/>
      <c r="K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</row>
    <row r="80">
      <c r="A80" s="58"/>
      <c r="B80" s="65" t="s">
        <v>85</v>
      </c>
      <c r="C80" s="58"/>
      <c r="D80" s="58"/>
      <c r="E80" s="58"/>
      <c r="F80" s="58"/>
      <c r="G80" s="58"/>
      <c r="H80" s="58"/>
      <c r="I80" s="58"/>
      <c r="J80" s="58"/>
      <c r="K80" s="58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</row>
    <row r="82">
      <c r="A82" s="57"/>
      <c r="B82" s="61" t="s">
        <v>86</v>
      </c>
      <c r="C82" s="67"/>
      <c r="D82" s="57"/>
      <c r="E82" s="57"/>
      <c r="F82" s="57"/>
      <c r="G82" s="57"/>
      <c r="H82" s="57"/>
      <c r="I82" s="57"/>
      <c r="J82" s="57"/>
      <c r="K82" s="57"/>
    </row>
    <row r="83">
      <c r="A83" s="57"/>
      <c r="B83" s="61" t="s">
        <v>87</v>
      </c>
      <c r="C83" s="67"/>
      <c r="D83" s="57"/>
      <c r="E83" s="57"/>
      <c r="F83" s="57"/>
      <c r="G83" s="57"/>
      <c r="H83" s="57"/>
      <c r="I83" s="57"/>
      <c r="J83" s="57"/>
      <c r="K83" s="57"/>
    </row>
    <row r="84">
      <c r="A84" s="57"/>
      <c r="B84" s="67"/>
      <c r="C84" s="67"/>
      <c r="D84" s="57"/>
      <c r="E84" s="57"/>
      <c r="F84" s="57"/>
      <c r="G84" s="57"/>
      <c r="H84" s="57"/>
      <c r="I84" s="57"/>
      <c r="J84" s="57"/>
      <c r="K84" s="57"/>
    </row>
    <row r="85">
      <c r="A85" s="57"/>
      <c r="B85" s="110" t="s">
        <v>88</v>
      </c>
      <c r="C85" s="67"/>
      <c r="D85" s="57"/>
      <c r="E85" s="57"/>
      <c r="F85" s="57"/>
      <c r="G85" s="57"/>
      <c r="H85" s="57"/>
      <c r="I85" s="57"/>
      <c r="J85" s="57"/>
      <c r="K85" s="57"/>
    </row>
    <row r="86">
      <c r="A86" s="57"/>
      <c r="B86" s="61" t="s">
        <v>89</v>
      </c>
      <c r="C86" s="67"/>
      <c r="D86" s="57"/>
      <c r="E86" s="57"/>
      <c r="F86" s="57"/>
      <c r="G86" s="57"/>
      <c r="H86" s="57"/>
      <c r="I86" s="57"/>
      <c r="J86" s="57"/>
      <c r="K86" s="57"/>
    </row>
    <row r="87">
      <c r="A87" s="57"/>
      <c r="B87" s="61" t="s">
        <v>90</v>
      </c>
      <c r="C87" s="67"/>
      <c r="D87" s="57"/>
      <c r="E87" s="57"/>
      <c r="F87" s="57"/>
      <c r="G87" s="57"/>
      <c r="H87" s="57"/>
      <c r="I87" s="57"/>
      <c r="J87" s="57"/>
      <c r="K87" s="57"/>
    </row>
    <row r="88">
      <c r="A88" s="57"/>
      <c r="B88" s="61" t="s">
        <v>91</v>
      </c>
      <c r="C88" s="67"/>
      <c r="D88" s="57"/>
      <c r="E88" s="57"/>
      <c r="F88" s="57"/>
      <c r="G88" s="57"/>
      <c r="H88" s="57"/>
      <c r="I88" s="57"/>
      <c r="J88" s="57"/>
      <c r="K88" s="57"/>
    </row>
    <row r="89">
      <c r="A89" s="57"/>
      <c r="B89" s="61" t="s">
        <v>92</v>
      </c>
      <c r="C89" s="67"/>
      <c r="D89" s="57"/>
      <c r="E89" s="57"/>
      <c r="F89" s="57"/>
      <c r="G89" s="57"/>
      <c r="H89" s="57"/>
      <c r="I89" s="57"/>
      <c r="J89" s="57"/>
      <c r="K89" s="57"/>
    </row>
    <row r="90">
      <c r="A90" s="57"/>
      <c r="B90" s="67"/>
      <c r="C90" s="67"/>
      <c r="D90" s="57"/>
      <c r="E90" s="57"/>
      <c r="F90" s="57"/>
      <c r="G90" s="57"/>
      <c r="H90" s="57"/>
      <c r="I90" s="57"/>
      <c r="J90" s="57"/>
      <c r="K90" s="57"/>
    </row>
    <row r="91">
      <c r="A91" s="57"/>
      <c r="B91" s="110" t="s">
        <v>93</v>
      </c>
      <c r="C91" s="67"/>
      <c r="D91" s="57"/>
      <c r="E91" s="57"/>
      <c r="F91" s="57"/>
      <c r="G91" s="57"/>
      <c r="H91" s="57"/>
      <c r="I91" s="57"/>
      <c r="J91" s="57"/>
      <c r="K91" s="57"/>
    </row>
    <row r="92">
      <c r="A92" s="57"/>
      <c r="B92" s="61" t="s">
        <v>94</v>
      </c>
      <c r="C92" s="67"/>
      <c r="D92" s="57"/>
      <c r="E92" s="57"/>
      <c r="F92" s="57"/>
      <c r="G92" s="57"/>
      <c r="H92" s="57"/>
      <c r="I92" s="57"/>
      <c r="J92" s="57"/>
      <c r="K92" s="57"/>
    </row>
    <row r="93">
      <c r="A93" s="57"/>
      <c r="B93" s="61" t="s">
        <v>95</v>
      </c>
      <c r="C93" s="67"/>
      <c r="D93" s="57"/>
      <c r="E93" s="57"/>
      <c r="F93" s="57"/>
      <c r="G93" s="57"/>
      <c r="H93" s="57"/>
      <c r="I93" s="57"/>
      <c r="J93" s="57"/>
      <c r="K93" s="57"/>
    </row>
    <row r="94">
      <c r="A94" s="57"/>
      <c r="B94" s="67"/>
      <c r="C94" s="67"/>
      <c r="D94" s="57"/>
      <c r="E94" s="57"/>
      <c r="F94" s="57"/>
      <c r="G94" s="57"/>
      <c r="H94" s="57"/>
      <c r="I94" s="57"/>
      <c r="J94" s="57"/>
      <c r="K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112"/>
      <c r="K95" s="112"/>
    </row>
    <row r="96">
      <c r="A96" s="113"/>
      <c r="B96" s="114"/>
      <c r="C96" s="114"/>
      <c r="D96" s="114"/>
      <c r="E96" s="114"/>
      <c r="F96" s="114"/>
      <c r="G96" s="114"/>
      <c r="H96" s="114"/>
      <c r="I96" s="114"/>
      <c r="J96" s="114"/>
      <c r="K96" s="114"/>
    </row>
    <row r="97">
      <c r="A97" s="57"/>
      <c r="B97" s="112"/>
      <c r="C97" s="112"/>
      <c r="D97" s="112"/>
      <c r="E97" s="112"/>
      <c r="F97" s="112"/>
      <c r="G97" s="112"/>
      <c r="H97" s="112"/>
      <c r="I97" s="112"/>
      <c r="J97" s="112"/>
      <c r="K97" s="112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1">
      <c r="L101" s="117"/>
      <c r="M101" s="117"/>
      <c r="N101" s="117"/>
      <c r="O101" s="117"/>
    </row>
    <row r="102">
      <c r="L102" s="117"/>
      <c r="M102" s="117"/>
      <c r="N102" s="117"/>
      <c r="O102" s="117"/>
    </row>
    <row r="103">
      <c r="L103" s="117"/>
      <c r="M103" s="117"/>
      <c r="N103" s="117"/>
      <c r="O103" s="117"/>
    </row>
    <row r="104">
      <c r="L104" s="117"/>
      <c r="M104" s="117"/>
      <c r="N104" s="117"/>
      <c r="O104" s="117"/>
    </row>
    <row r="105">
      <c r="L105" s="117"/>
      <c r="M105" s="117"/>
      <c r="N105" s="117"/>
      <c r="O105" s="117"/>
    </row>
    <row r="106">
      <c r="L106" s="117"/>
      <c r="M106" s="117"/>
      <c r="N106" s="117"/>
      <c r="O106" s="117"/>
    </row>
    <row r="107">
      <c r="L107" s="117"/>
      <c r="M107" s="117"/>
      <c r="N107" s="117"/>
      <c r="O107" s="117"/>
    </row>
    <row r="108">
      <c r="L108" s="117"/>
      <c r="M108" s="117"/>
      <c r="N108" s="117"/>
      <c r="O108" s="117"/>
    </row>
    <row r="109">
      <c r="L109" s="117"/>
      <c r="M109" s="117"/>
      <c r="N109" s="117"/>
      <c r="O109" s="117"/>
    </row>
    <row r="110">
      <c r="L110" s="117"/>
      <c r="M110" s="117"/>
      <c r="N110" s="117"/>
      <c r="O110" s="117"/>
    </row>
    <row r="111">
      <c r="L111" s="117"/>
      <c r="M111" s="117"/>
      <c r="N111" s="117"/>
      <c r="O111" s="117"/>
    </row>
    <row r="112">
      <c r="L112" s="117"/>
      <c r="M112" s="117"/>
      <c r="N112" s="117"/>
      <c r="O112" s="117"/>
    </row>
    <row r="113">
      <c r="L113" s="117"/>
      <c r="M113" s="117"/>
      <c r="N113" s="117"/>
      <c r="O113" s="117"/>
    </row>
    <row r="114">
      <c r="L114" s="117"/>
      <c r="M114" s="117"/>
      <c r="N114" s="117"/>
      <c r="O114" s="117"/>
    </row>
    <row r="115">
      <c r="L115" s="117"/>
      <c r="M115" s="117"/>
      <c r="N115" s="117"/>
      <c r="O115" s="117"/>
    </row>
    <row r="116"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</row>
  </sheetData>
  <mergeCells count="11">
    <mergeCell ref="E65:G65"/>
    <mergeCell ref="E67:G67"/>
    <mergeCell ref="E68:G68"/>
    <mergeCell ref="E69:G69"/>
    <mergeCell ref="B31:D31"/>
    <mergeCell ref="F31:J31"/>
    <mergeCell ref="C40:F40"/>
    <mergeCell ref="E61:G61"/>
    <mergeCell ref="E62:G62"/>
    <mergeCell ref="E63:G63"/>
    <mergeCell ref="E64:G64"/>
  </mergeCells>
  <conditionalFormatting sqref="D62:D69">
    <cfRule type="cellIs" dxfId="0" priority="1" operator="equal">
      <formula>"🟪 Excelente (Alta Rentabilidad y Ventas)"</formula>
    </cfRule>
  </conditionalFormatting>
  <conditionalFormatting sqref="D62:D69">
    <cfRule type="cellIs" dxfId="1" priority="2" operator="equal">
      <formula>"🟨 Estable / Alerta (Monitorear Estrategia)"</formula>
    </cfRule>
  </conditionalFormatting>
  <conditionalFormatting sqref="D62:D69">
    <cfRule type="cellIs" dxfId="2" priority="3" operator="equal">
      <formula>"🟧 Crítico (Revisar Costos o Rotación)"</formula>
    </cfRule>
  </conditionalFormatting>
  <conditionalFormatting sqref="C62:C69">
    <cfRule type="cellIs" dxfId="2" priority="4" operator="lessThan">
      <formula>"45%"</formula>
    </cfRule>
  </conditionalFormatting>
  <conditionalFormatting sqref="C62:C69">
    <cfRule type="cellIs" dxfId="0" priority="5" operator="greaterThanOrEqual">
      <formula>"60%"</formula>
    </cfRule>
  </conditionalFormatting>
  <conditionalFormatting sqref="C62:C69">
    <cfRule type="cellIs" dxfId="1" priority="6" operator="between">
      <formula>"45%"</formula>
      <formula>"60%"</formula>
    </cfRule>
  </conditionalFormatting>
  <dataValidations>
    <dataValidation type="list" allowBlank="1" showErrorMessage="1" sqref="B31">
      <formula1>"2025 (Real),Escenario A (PV 2025+10% VS CV 2025),Escenario B (PV 2025 VS CV 2024)"</formula1>
    </dataValidation>
  </dataValidation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8.88"/>
    <col customWidth="1" min="4" max="4" width="9.38"/>
    <col customWidth="1" min="5" max="5" width="8.25"/>
    <col customWidth="1" min="6" max="6" width="10.13"/>
    <col customWidth="1" min="7" max="7" width="8.13"/>
    <col customWidth="1" min="8" max="8" width="8.38"/>
    <col customWidth="1" min="9" max="9" width="11.75"/>
    <col customWidth="1" min="10" max="10" width="15.0"/>
    <col customWidth="1" min="11" max="11" width="13.38"/>
    <col customWidth="1" min="12" max="12" width="12.63"/>
    <col customWidth="1" min="13" max="13" width="16.13"/>
    <col customWidth="1" min="14" max="14" width="12.75"/>
    <col customWidth="1" min="15" max="15" width="13.63"/>
    <col customWidth="1" min="16" max="16" width="14.13"/>
    <col customWidth="1" min="17" max="17" width="12.38"/>
    <col customWidth="1" min="18" max="18" width="15.25"/>
    <col customWidth="1" min="19" max="19" width="10.0"/>
    <col customWidth="1" min="20" max="20" width="13.0"/>
    <col customWidth="1" min="21" max="21" width="11.63"/>
    <col customWidth="1" min="22" max="22" width="10.88"/>
    <col customWidth="1" min="23" max="23" width="15.63"/>
    <col customWidth="1" min="24" max="33" width="1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6" t="s">
        <v>7</v>
      </c>
      <c r="H1" s="7" t="s">
        <v>8</v>
      </c>
      <c r="I1" s="8" t="s">
        <v>9</v>
      </c>
      <c r="J1" s="9" t="s">
        <v>10</v>
      </c>
      <c r="K1" s="10" t="s">
        <v>11</v>
      </c>
      <c r="L1" s="13" t="s">
        <v>12</v>
      </c>
      <c r="M1" s="9" t="s">
        <v>13</v>
      </c>
      <c r="N1" s="15" t="s">
        <v>14</v>
      </c>
      <c r="O1" s="16" t="s">
        <v>15</v>
      </c>
      <c r="P1" s="15" t="s">
        <v>16</v>
      </c>
      <c r="Q1" s="15" t="s">
        <v>17</v>
      </c>
      <c r="R1" s="18" t="s">
        <v>18</v>
      </c>
      <c r="S1" s="20" t="s">
        <v>19</v>
      </c>
      <c r="T1" s="21" t="s">
        <v>20</v>
      </c>
      <c r="U1" s="7" t="s">
        <v>21</v>
      </c>
      <c r="V1" s="7" t="s">
        <v>22</v>
      </c>
      <c r="W1" s="7" t="s">
        <v>24</v>
      </c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>
      <c r="A2" s="26" t="str">
        <f t="array" ref="A2">XLOOKUP($B2,'Maestro de productos 2024'!$A$3:$A$163,'Maestro de productos 2024'!$B$3:$B$163,0)</f>
        <v>ID-3824</v>
      </c>
      <c r="B2" s="27" t="s">
        <v>34</v>
      </c>
      <c r="C2" s="30">
        <f t="array" ref="C2">XLOOKUP(B2,'Maestro de productos 2024'!$B$189:$B$196,'Maestro de productos 2024'!$D$189:$D$196,"No encontrado",0)</f>
        <v>10</v>
      </c>
      <c r="D2" s="30">
        <f t="array" ref="D2">XLOOKUP(B2,'Maestro de productos 2024'!$B$189:$B$196,'Maestro de productos 2024'!$E$189:$E$196,"No encontrado",0)</f>
        <v>3.337551282</v>
      </c>
      <c r="E2" s="31">
        <f t="shared" ref="E2:E78" si="1">C2-D2</f>
        <v>6.662448718</v>
      </c>
      <c r="F2" s="32">
        <f>('Base de datos transacciones'!$H2)*$D2</f>
        <v>106.801641</v>
      </c>
      <c r="G2" s="32">
        <f>'Base de datos transacciones'!$H2*$C2</f>
        <v>320</v>
      </c>
      <c r="H2" s="32">
        <f t="shared" ref="H2:H78" si="2">G2-F2</f>
        <v>213.198359</v>
      </c>
      <c r="I2" s="34">
        <f t="shared" ref="I2:I5" si="3">SUM(G2)</f>
        <v>320</v>
      </c>
      <c r="J2" s="35"/>
      <c r="K2" s="35">
        <f t="shared" ref="K2:K5" si="4">(I2-(SUM(F2)))/I2</f>
        <v>0.6662448718</v>
      </c>
      <c r="L2" s="34">
        <f t="shared" ref="L2:L5" si="5">I2-(SUM(F2))</f>
        <v>213.198359</v>
      </c>
      <c r="M2" s="35"/>
      <c r="N2" s="36"/>
      <c r="O2" s="37"/>
      <c r="P2" s="38"/>
      <c r="Q2" s="38"/>
      <c r="R2" s="39"/>
      <c r="S2" s="40"/>
      <c r="T2" s="22"/>
      <c r="U2" s="41"/>
      <c r="V2" s="4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>
      <c r="A3" s="43" t="str">
        <f t="array" ref="A3">XLOOKUP($B3,'Maestro de productos 2024'!$A$3:$A$163,'Maestro de productos 2024'!$B$3:$B$163,0)</f>
        <v>ID-3824</v>
      </c>
      <c r="B3" s="44" t="s">
        <v>34</v>
      </c>
      <c r="C3" s="45">
        <f t="array" ref="C3">XLOOKUP(B3,'Maestro de productos 2024'!$B$189:$B$196,'Maestro de productos 2024'!$D$189:$D$196,"No encontrado",0)</f>
        <v>10</v>
      </c>
      <c r="D3" s="45">
        <f t="array" ref="D3">XLOOKUP(B3,'Maestro de productos 2024'!$B$189:$B$196,'Maestro de productos 2024'!$E$189:$E$196,"No encontrado",0)</f>
        <v>3.337551282</v>
      </c>
      <c r="E3" s="46">
        <f t="shared" si="1"/>
        <v>6.662448718</v>
      </c>
      <c r="F3" s="47">
        <f>('Base de datos transacciones'!$H3)*$D3</f>
        <v>213.6032821</v>
      </c>
      <c r="G3" s="47">
        <f>'Base de datos transacciones'!$H3*$C3</f>
        <v>640</v>
      </c>
      <c r="H3" s="47">
        <f t="shared" si="2"/>
        <v>426.3967179</v>
      </c>
      <c r="I3" s="48">
        <f t="shared" si="3"/>
        <v>640</v>
      </c>
      <c r="J3" s="50">
        <f t="shared" ref="J3:J5" si="6">((I3-I2)/I2)</f>
        <v>1</v>
      </c>
      <c r="K3" s="50">
        <f t="shared" si="4"/>
        <v>0.6662448718</v>
      </c>
      <c r="L3" s="48">
        <f t="shared" si="5"/>
        <v>426.3967179</v>
      </c>
      <c r="M3" s="50">
        <f t="shared" ref="M3:M5" si="7">((L3-L2)/L2)</f>
        <v>1</v>
      </c>
      <c r="N3" s="36">
        <f>SUM(G2:G3)</f>
        <v>960</v>
      </c>
      <c r="O3" s="51"/>
      <c r="P3" s="52">
        <f>(N3-SUM(F2:F3))/N3</f>
        <v>0.6662448718</v>
      </c>
      <c r="Q3" s="53">
        <f>N3-(SUM(F2:F3))</f>
        <v>639.5950769</v>
      </c>
      <c r="R3" s="54"/>
      <c r="S3" s="40"/>
      <c r="T3" s="22"/>
      <c r="U3" s="41"/>
      <c r="V3" s="4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>
      <c r="A4" s="26" t="str">
        <f t="array" ref="A4">XLOOKUP($B4,'Maestro de productos 2024'!$A$3:$A$163,'Maestro de productos 2024'!$B$3:$B$163,0)</f>
        <v>ID-3826</v>
      </c>
      <c r="B4" s="27" t="s">
        <v>35</v>
      </c>
      <c r="C4" s="30">
        <f t="array" ref="C4">XLOOKUP(B4,'Maestro de productos 2024'!$B$189:$B$196,'Maestro de productos 2024'!$D$189:$D$196,"No encontrado",0)</f>
        <v>20</v>
      </c>
      <c r="D4" s="30">
        <f t="array" ref="D4">XLOOKUP(B4,'Maestro de productos 2024'!$B$189:$B$196,'Maestro de productos 2024'!$E$189:$E$196,"No encontrado",0)</f>
        <v>7.103972222</v>
      </c>
      <c r="E4" s="31">
        <f t="shared" si="1"/>
        <v>12.89602778</v>
      </c>
      <c r="F4" s="32">
        <f>('Base de datos transacciones'!$H4)*$D4</f>
        <v>127.8715</v>
      </c>
      <c r="G4" s="32">
        <f>'Base de datos transacciones'!$H4*$C4</f>
        <v>360</v>
      </c>
      <c r="H4" s="32">
        <f t="shared" si="2"/>
        <v>232.1285</v>
      </c>
      <c r="I4" s="34">
        <f t="shared" si="3"/>
        <v>360</v>
      </c>
      <c r="J4" s="35">
        <f t="shared" si="6"/>
        <v>-0.4375</v>
      </c>
      <c r="K4" s="35">
        <f t="shared" si="4"/>
        <v>0.6448013889</v>
      </c>
      <c r="L4" s="34">
        <f t="shared" si="5"/>
        <v>232.1285</v>
      </c>
      <c r="M4" s="35">
        <f t="shared" si="7"/>
        <v>-0.4556043932</v>
      </c>
      <c r="N4" s="36"/>
      <c r="O4" s="51"/>
      <c r="P4" s="38"/>
      <c r="Q4" s="38"/>
      <c r="R4" s="39"/>
      <c r="S4" s="40"/>
      <c r="T4" s="22"/>
      <c r="U4" s="41"/>
      <c r="V4" s="42"/>
      <c r="W4" s="27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>
      <c r="A5" s="43" t="str">
        <f t="array" ref="A5">XLOOKUP($B5,'Maestro de productos 2024'!$A$3:$A$163,'Maestro de productos 2024'!$B$3:$B$163,0)</f>
        <v>ID-3827</v>
      </c>
      <c r="B5" s="44" t="s">
        <v>36</v>
      </c>
      <c r="C5" s="45">
        <f t="array" ref="C5">XLOOKUP(B5,'Maestro de productos 2024'!$B$189:$B$196,'Maestro de productos 2024'!$D$189:$D$196,"No encontrado",0)</f>
        <v>7</v>
      </c>
      <c r="D5" s="45">
        <f t="array" ref="D5">XLOOKUP(B5,'Maestro de productos 2024'!$B$189:$B$196,'Maestro de productos 2024'!$E$189:$E$196,"No encontrado",0)</f>
        <v>2.623460073</v>
      </c>
      <c r="E5" s="46">
        <f t="shared" si="1"/>
        <v>4.376539927</v>
      </c>
      <c r="F5" s="47">
        <f>('Base de datos transacciones'!$H5)*$D5</f>
        <v>91.82110256</v>
      </c>
      <c r="G5" s="47">
        <f>'Base de datos transacciones'!$H5*$C5</f>
        <v>245</v>
      </c>
      <c r="H5" s="47">
        <f t="shared" si="2"/>
        <v>153.1788974</v>
      </c>
      <c r="I5" s="48">
        <f t="shared" si="3"/>
        <v>245</v>
      </c>
      <c r="J5" s="50">
        <f t="shared" si="6"/>
        <v>-0.3194444444</v>
      </c>
      <c r="K5" s="50">
        <f t="shared" si="4"/>
        <v>0.6252199895</v>
      </c>
      <c r="L5" s="48">
        <f t="shared" si="5"/>
        <v>153.1788974</v>
      </c>
      <c r="M5" s="50">
        <f t="shared" si="7"/>
        <v>-0.3401116303</v>
      </c>
      <c r="N5" s="36"/>
      <c r="O5" s="51"/>
      <c r="P5" s="38"/>
      <c r="Q5" s="38"/>
      <c r="R5" s="39"/>
      <c r="S5" s="40"/>
      <c r="T5" s="22"/>
      <c r="U5" s="41"/>
      <c r="V5" s="4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>
      <c r="A6" s="26" t="str">
        <f t="array" ref="A6">XLOOKUP($B6,'Maestro de productos 2024'!$A$3:$A$163,'Maestro de productos 2024'!$B$3:$B$163,0)</f>
        <v>ID-3824</v>
      </c>
      <c r="B6" s="27" t="s">
        <v>34</v>
      </c>
      <c r="C6" s="30">
        <f t="array" ref="C6">XLOOKUP(B6,'Maestro de productos 2024'!$B$189:$B$196,'Maestro de productos 2024'!$D$189:$D$196,"No encontrado",0)</f>
        <v>10</v>
      </c>
      <c r="D6" s="30">
        <f t="array" ref="D6">XLOOKUP(B6,'Maestro de productos 2024'!$B$189:$B$196,'Maestro de productos 2024'!$E$189:$E$196,"No encontrado",0)</f>
        <v>3.337551282</v>
      </c>
      <c r="E6" s="31">
        <f t="shared" si="1"/>
        <v>6.662448718</v>
      </c>
      <c r="F6" s="32">
        <f>('Base de datos transacciones'!$H6)*$D6</f>
        <v>213.6032821</v>
      </c>
      <c r="G6" s="32">
        <f>'Base de datos transacciones'!$H6*$C6</f>
        <v>640</v>
      </c>
      <c r="H6" s="32">
        <f t="shared" si="2"/>
        <v>426.3967179</v>
      </c>
      <c r="I6" s="34"/>
      <c r="J6" s="35"/>
      <c r="K6" s="35"/>
      <c r="L6" s="34"/>
      <c r="M6" s="35"/>
      <c r="N6" s="36"/>
      <c r="O6" s="51"/>
      <c r="P6" s="38"/>
      <c r="Q6" s="38"/>
      <c r="R6" s="39"/>
      <c r="S6" s="40"/>
      <c r="T6" s="22"/>
      <c r="U6" s="41"/>
      <c r="V6" s="4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>
      <c r="A7" s="26" t="str">
        <f t="array" ref="A7">XLOOKUP($B7,'Maestro de productos 2024'!$A$3:$A$163,'Maestro de productos 2024'!$B$3:$B$163,0)</f>
        <v>ID-3825</v>
      </c>
      <c r="B7" s="27" t="s">
        <v>37</v>
      </c>
      <c r="C7" s="30">
        <f t="array" ref="C7">XLOOKUP(B7,'Maestro de productos 2024'!$B$189:$B$196,'Maestro de productos 2024'!$D$189:$D$196,"No encontrado",0)</f>
        <v>20</v>
      </c>
      <c r="D7" s="30">
        <f t="array" ref="D7">XLOOKUP(B7,'Maestro de productos 2024'!$B$189:$B$196,'Maestro de productos 2024'!$E$189:$E$196,"No encontrado",0)</f>
        <v>7.609146242</v>
      </c>
      <c r="E7" s="31">
        <f t="shared" si="1"/>
        <v>12.39085376</v>
      </c>
      <c r="F7" s="32">
        <f>('Base de datos transacciones'!$H7)*$D7</f>
        <v>121.7463399</v>
      </c>
      <c r="G7" s="32">
        <f>'Base de datos transacciones'!$H7*$C7</f>
        <v>320</v>
      </c>
      <c r="H7" s="32">
        <f t="shared" si="2"/>
        <v>198.2536601</v>
      </c>
      <c r="I7" s="34">
        <f>SUM(G6:G7)</f>
        <v>960</v>
      </c>
      <c r="J7" s="35">
        <f>((I7-I5)/I5)</f>
        <v>2.918367347</v>
      </c>
      <c r="K7" s="35">
        <f>(I7-(SUM(F6:F7)))/I7</f>
        <v>0.6506774772</v>
      </c>
      <c r="L7" s="34">
        <f>I7-(SUM(F6:F7))</f>
        <v>624.6503781</v>
      </c>
      <c r="M7" s="35">
        <f>((L7-L5)/L5)</f>
        <v>3.07791405</v>
      </c>
      <c r="N7" s="36"/>
      <c r="O7" s="51"/>
      <c r="P7" s="38"/>
      <c r="Q7" s="38"/>
      <c r="R7" s="39"/>
      <c r="S7" s="40"/>
      <c r="T7" s="22"/>
      <c r="U7" s="41"/>
      <c r="V7" s="4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>
      <c r="A8" s="43" t="str">
        <f t="array" ref="A8">XLOOKUP($B8,'Maestro de productos 2024'!$A$3:$A$163,'Maestro de productos 2024'!$B$3:$B$163,0)</f>
        <v>ID-3826</v>
      </c>
      <c r="B8" s="44" t="s">
        <v>35</v>
      </c>
      <c r="C8" s="45">
        <f t="array" ref="C8">XLOOKUP(B8,'Maestro de productos 2024'!$B$189:$B$196,'Maestro de productos 2024'!$D$189:$D$196,"No encontrado",0)</f>
        <v>20</v>
      </c>
      <c r="D8" s="45">
        <f t="array" ref="D8">XLOOKUP(B8,'Maestro de productos 2024'!$B$189:$B$196,'Maestro de productos 2024'!$E$189:$E$196,"No encontrado",0)</f>
        <v>7.103972222</v>
      </c>
      <c r="E8" s="46">
        <f t="shared" si="1"/>
        <v>12.89602778</v>
      </c>
      <c r="F8" s="47">
        <f>('Base de datos transacciones'!$H8)*$D8</f>
        <v>255.743</v>
      </c>
      <c r="G8" s="47">
        <f>'Base de datos transacciones'!$H8*$C8</f>
        <v>720</v>
      </c>
      <c r="H8" s="47">
        <f t="shared" si="2"/>
        <v>464.257</v>
      </c>
      <c r="I8" s="48"/>
      <c r="J8" s="50"/>
      <c r="K8" s="50"/>
      <c r="L8" s="48"/>
      <c r="M8" s="50"/>
      <c r="N8" s="36"/>
      <c r="O8" s="51"/>
      <c r="P8" s="38"/>
      <c r="Q8" s="38"/>
      <c r="R8" s="39"/>
      <c r="S8" s="40"/>
      <c r="T8" s="22"/>
      <c r="U8" s="41"/>
      <c r="V8" s="4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>
      <c r="A9" s="43" t="str">
        <f t="array" ref="A9">XLOOKUP($B9,'Maestro de productos 2024'!$A$3:$A$163,'Maestro de productos 2024'!$B$3:$B$163,0)</f>
        <v>ID-3827</v>
      </c>
      <c r="B9" s="44" t="s">
        <v>36</v>
      </c>
      <c r="C9" s="45">
        <f t="array" ref="C9">XLOOKUP(B9,'Maestro de productos 2024'!$B$189:$B$196,'Maestro de productos 2024'!$D$189:$D$196,"No encontrado",0)</f>
        <v>7</v>
      </c>
      <c r="D9" s="45">
        <f t="array" ref="D9">XLOOKUP(B9,'Maestro de productos 2024'!$B$189:$B$196,'Maestro de productos 2024'!$E$189:$E$196,"No encontrado",0)</f>
        <v>2.623460073</v>
      </c>
      <c r="E9" s="46">
        <f t="shared" si="1"/>
        <v>4.376539927</v>
      </c>
      <c r="F9" s="47">
        <f>('Base de datos transacciones'!$H9)*$D9</f>
        <v>91.82110256</v>
      </c>
      <c r="G9" s="47">
        <f>'Base de datos transacciones'!$H9*$C9</f>
        <v>245</v>
      </c>
      <c r="H9" s="47">
        <f t="shared" si="2"/>
        <v>153.1788974</v>
      </c>
      <c r="I9" s="48">
        <f>SUM(G8:G9)</f>
        <v>965</v>
      </c>
      <c r="J9" s="50">
        <f>((I9-I7)/I7)</f>
        <v>0.005208333333</v>
      </c>
      <c r="K9" s="50">
        <f>(I9-(SUM(F8:F9)))/I9</f>
        <v>0.6398299455</v>
      </c>
      <c r="L9" s="48">
        <f>I9-(SUM(F8:F9))</f>
        <v>617.4358974</v>
      </c>
      <c r="M9" s="50">
        <f>((L9-L7)/L7)</f>
        <v>-0.01154962984</v>
      </c>
      <c r="N9" s="36">
        <f>SUM(G4:G9)</f>
        <v>2530</v>
      </c>
      <c r="O9" s="51">
        <f>((N9-N3)/N3)</f>
        <v>1.635416667</v>
      </c>
      <c r="P9" s="52">
        <f>(N9-SUM(F4:F9))/N9</f>
        <v>0.6432386059</v>
      </c>
      <c r="Q9" s="53">
        <f>N9-(SUM(F4:F9))</f>
        <v>1627.393673</v>
      </c>
      <c r="R9" s="54">
        <f>((Q9-Q3)/Q3)</f>
        <v>1.544412444</v>
      </c>
      <c r="S9" s="40"/>
      <c r="T9" s="22"/>
      <c r="U9" s="41"/>
      <c r="V9" s="4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>
      <c r="A10" s="26" t="str">
        <f t="array" ref="A10">XLOOKUP($B10,'Maestro de productos 2024'!$A$3:$A$163,'Maestro de productos 2024'!$B$3:$B$163,0)</f>
        <v>ID-3828</v>
      </c>
      <c r="B10" s="27" t="s">
        <v>38</v>
      </c>
      <c r="C10" s="30">
        <f t="array" ref="C10">XLOOKUP(B10,'Maestro de productos 2024'!$B$189:$B$196,'Maestro de productos 2024'!$D$189:$D$196,"No encontrado",0)</f>
        <v>20</v>
      </c>
      <c r="D10" s="30">
        <f t="array" ref="D10">XLOOKUP(B10,'Maestro de productos 2024'!$B$189:$B$196,'Maestro de productos 2024'!$E$189:$E$196,"No encontrado",0)</f>
        <v>7.301064103</v>
      </c>
      <c r="E10" s="31">
        <f t="shared" si="1"/>
        <v>12.6989359</v>
      </c>
      <c r="F10" s="32">
        <f>('Base de datos transacciones'!$H10)*$D10</f>
        <v>175.2255385</v>
      </c>
      <c r="G10" s="32">
        <f>'Base de datos transacciones'!$H10*$C10</f>
        <v>480</v>
      </c>
      <c r="H10" s="32">
        <f t="shared" si="2"/>
        <v>304.7744615</v>
      </c>
      <c r="I10" s="34"/>
      <c r="J10" s="35"/>
      <c r="K10" s="35"/>
      <c r="L10" s="34"/>
      <c r="M10" s="35"/>
      <c r="N10" s="36"/>
      <c r="O10" s="51"/>
      <c r="P10" s="38"/>
      <c r="Q10" s="38"/>
      <c r="R10" s="39"/>
      <c r="S10" s="40"/>
      <c r="T10" s="22"/>
      <c r="U10" s="41"/>
      <c r="V10" s="4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>
      <c r="A11" s="26" t="str">
        <f t="array" ref="A11">XLOOKUP($B11,'Maestro de productos 2024'!$A$3:$A$163,'Maestro de productos 2024'!$B$3:$B$163,0)</f>
        <v>ID-3824</v>
      </c>
      <c r="B11" s="27" t="s">
        <v>34</v>
      </c>
      <c r="C11" s="30">
        <f t="array" ref="C11">XLOOKUP(B11,'Maestro de productos 2024'!$B$189:$B$196,'Maestro de productos 2024'!$D$189:$D$196,"No encontrado",0)</f>
        <v>10</v>
      </c>
      <c r="D11" s="30">
        <f t="array" ref="D11">XLOOKUP(B11,'Maestro de productos 2024'!$B$189:$B$196,'Maestro de productos 2024'!$E$189:$E$196,"No encontrado",0)</f>
        <v>3.337551282</v>
      </c>
      <c r="E11" s="31">
        <f t="shared" si="1"/>
        <v>6.662448718</v>
      </c>
      <c r="F11" s="32">
        <f>('Base de datos transacciones'!$H11)*$D11</f>
        <v>100.1265385</v>
      </c>
      <c r="G11" s="32">
        <f>'Base de datos transacciones'!$H11*$C11</f>
        <v>300</v>
      </c>
      <c r="H11" s="32">
        <f t="shared" si="2"/>
        <v>199.8734615</v>
      </c>
      <c r="I11" s="34">
        <f>SUM(G10:G11)</f>
        <v>780</v>
      </c>
      <c r="J11" s="35">
        <f>((I11-I9)/I9)</f>
        <v>-0.1917098446</v>
      </c>
      <c r="K11" s="35">
        <f>(I11-(SUM(F10:F11)))/I11</f>
        <v>0.6469845168</v>
      </c>
      <c r="L11" s="34">
        <f>I11-(SUM(F10:F11))</f>
        <v>504.6479231</v>
      </c>
      <c r="M11" s="35">
        <f>((L11-L9)/L9)</f>
        <v>-0.1826715532</v>
      </c>
      <c r="N11" s="36"/>
      <c r="O11" s="51"/>
      <c r="P11" s="38"/>
      <c r="Q11" s="38"/>
      <c r="R11" s="39"/>
      <c r="S11" s="40"/>
      <c r="T11" s="22"/>
      <c r="U11" s="41"/>
      <c r="V11" s="4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>
      <c r="A12" s="43" t="str">
        <f t="array" ref="A12">XLOOKUP($B12,'Maestro de productos 2024'!$A$3:$A$163,'Maestro de productos 2024'!$B$3:$B$163,0)</f>
        <v>ID-3825</v>
      </c>
      <c r="B12" s="44" t="s">
        <v>37</v>
      </c>
      <c r="C12" s="45">
        <f t="array" ref="C12">XLOOKUP(B12,'Maestro de productos 2024'!$B$189:$B$196,'Maestro de productos 2024'!$D$189:$D$196,"No encontrado",0)</f>
        <v>20</v>
      </c>
      <c r="D12" s="45">
        <f t="array" ref="D12">XLOOKUP(B12,'Maestro de productos 2024'!$B$189:$B$196,'Maestro de productos 2024'!$E$189:$E$196,"No encontrado",0)</f>
        <v>7.609146242</v>
      </c>
      <c r="E12" s="46">
        <f t="shared" si="1"/>
        <v>12.39085376</v>
      </c>
      <c r="F12" s="47">
        <f>('Base de datos transacciones'!$H12)*$D12</f>
        <v>121.7463399</v>
      </c>
      <c r="G12" s="47">
        <f>'Base de datos transacciones'!$H12*$C12</f>
        <v>320</v>
      </c>
      <c r="H12" s="47">
        <f t="shared" si="2"/>
        <v>198.2536601</v>
      </c>
      <c r="I12" s="48"/>
      <c r="J12" s="50"/>
      <c r="K12" s="50"/>
      <c r="L12" s="48"/>
      <c r="M12" s="50"/>
      <c r="N12" s="36"/>
      <c r="O12" s="51"/>
      <c r="P12" s="38"/>
      <c r="Q12" s="38"/>
      <c r="R12" s="39"/>
      <c r="S12" s="40"/>
      <c r="T12" s="22"/>
      <c r="U12" s="41"/>
      <c r="V12" s="4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>
      <c r="A13" s="43" t="str">
        <f t="array" ref="A13">XLOOKUP($B13,'Maestro de productos 2024'!$A$3:$A$163,'Maestro de productos 2024'!$B$3:$B$163,0)</f>
        <v>ID-3824</v>
      </c>
      <c r="B13" s="44" t="s">
        <v>34</v>
      </c>
      <c r="C13" s="45">
        <f t="array" ref="C13">XLOOKUP(B13,'Maestro de productos 2024'!$B$189:$B$196,'Maestro de productos 2024'!$D$189:$D$196,"No encontrado",0)</f>
        <v>10</v>
      </c>
      <c r="D13" s="45">
        <f t="array" ref="D13">XLOOKUP(B13,'Maestro de productos 2024'!$B$189:$B$196,'Maestro de productos 2024'!$E$189:$E$196,"No encontrado",0)</f>
        <v>3.337551282</v>
      </c>
      <c r="E13" s="46">
        <f t="shared" si="1"/>
        <v>6.662448718</v>
      </c>
      <c r="F13" s="47">
        <f>('Base de datos transacciones'!$H13)*$D13</f>
        <v>106.801641</v>
      </c>
      <c r="G13" s="47">
        <f>'Base de datos transacciones'!$H13*$C13</f>
        <v>320</v>
      </c>
      <c r="H13" s="47">
        <f t="shared" si="2"/>
        <v>213.198359</v>
      </c>
      <c r="I13" s="48">
        <f>SUM(G12:G13)</f>
        <v>640</v>
      </c>
      <c r="J13" s="50">
        <f>((I13-I11)/I11)</f>
        <v>-0.1794871795</v>
      </c>
      <c r="K13" s="50">
        <f>(I13-(SUM(F12:F13)))/I13</f>
        <v>0.6428937799</v>
      </c>
      <c r="L13" s="48">
        <f>I13-(SUM(F12:F13))</f>
        <v>411.4520191</v>
      </c>
      <c r="M13" s="50">
        <f>((L13-L11)/L11)</f>
        <v>-0.1846750967</v>
      </c>
      <c r="N13" s="36"/>
      <c r="O13" s="51"/>
      <c r="P13" s="38"/>
      <c r="Q13" s="38"/>
      <c r="R13" s="39"/>
      <c r="S13" s="40"/>
      <c r="T13" s="22"/>
      <c r="U13" s="41"/>
      <c r="V13" s="4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>
      <c r="A14" s="26" t="str">
        <f t="array" ref="A14">XLOOKUP($B14,'Maestro de productos 2024'!$A$3:$A$163,'Maestro de productos 2024'!$B$3:$B$163,0)</f>
        <v>ID-3826</v>
      </c>
      <c r="B14" s="27" t="s">
        <v>35</v>
      </c>
      <c r="C14" s="30">
        <f t="array" ref="C14">XLOOKUP(B14,'Maestro de productos 2024'!$B$189:$B$196,'Maestro de productos 2024'!$D$189:$D$196,"No encontrado",0)</f>
        <v>20</v>
      </c>
      <c r="D14" s="30">
        <f t="array" ref="D14">XLOOKUP(B14,'Maestro de productos 2024'!$B$189:$B$196,'Maestro de productos 2024'!$E$189:$E$196,"No encontrado",0)</f>
        <v>7.103972222</v>
      </c>
      <c r="E14" s="31">
        <f t="shared" si="1"/>
        <v>12.89602778</v>
      </c>
      <c r="F14" s="32">
        <f>('Base de datos transacciones'!$H14)*$D14</f>
        <v>127.8715</v>
      </c>
      <c r="G14" s="32">
        <f>'Base de datos transacciones'!$H14*$C14</f>
        <v>360</v>
      </c>
      <c r="H14" s="32">
        <f t="shared" si="2"/>
        <v>232.1285</v>
      </c>
      <c r="I14" s="34"/>
      <c r="J14" s="35"/>
      <c r="K14" s="35"/>
      <c r="L14" s="34"/>
      <c r="M14" s="35"/>
      <c r="N14" s="36"/>
      <c r="O14" s="51"/>
      <c r="P14" s="38"/>
      <c r="Q14" s="38"/>
      <c r="R14" s="39"/>
      <c r="S14" s="40"/>
      <c r="T14" s="22"/>
      <c r="U14" s="41"/>
      <c r="V14" s="4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>
      <c r="A15" s="26" t="str">
        <f t="array" ref="A15">XLOOKUP($B15,'Maestro de productos 2024'!$A$3:$A$163,'Maestro de productos 2024'!$B$3:$B$163,0)</f>
        <v>ID-3828</v>
      </c>
      <c r="B15" s="27" t="s">
        <v>38</v>
      </c>
      <c r="C15" s="30">
        <f t="array" ref="C15">XLOOKUP(B15,'Maestro de productos 2024'!$B$189:$B$196,'Maestro de productos 2024'!$D$189:$D$196,"No encontrado",0)</f>
        <v>20</v>
      </c>
      <c r="D15" s="30">
        <f t="array" ref="D15">XLOOKUP(B15,'Maestro de productos 2024'!$B$189:$B$196,'Maestro de productos 2024'!$E$189:$E$196,"No encontrado",0)</f>
        <v>7.301064103</v>
      </c>
      <c r="E15" s="31">
        <f t="shared" si="1"/>
        <v>12.6989359</v>
      </c>
      <c r="F15" s="32">
        <f>('Base de datos transacciones'!$H15)*$D15</f>
        <v>175.2255385</v>
      </c>
      <c r="G15" s="32">
        <f>'Base de datos transacciones'!$H15*$C15</f>
        <v>480</v>
      </c>
      <c r="H15" s="32">
        <f t="shared" si="2"/>
        <v>304.7744615</v>
      </c>
      <c r="I15" s="34">
        <f>SUM(G14:G15)</f>
        <v>840</v>
      </c>
      <c r="J15" s="35">
        <f>((I15-I13)/I13)</f>
        <v>0.3125</v>
      </c>
      <c r="K15" s="35">
        <f>(I15-(SUM(F14:F15)))/I15</f>
        <v>0.6391701923</v>
      </c>
      <c r="L15" s="34">
        <f>I15-(SUM(F14:F15))</f>
        <v>536.9029615</v>
      </c>
      <c r="M15" s="35">
        <f>((L15-L13)/L13)</f>
        <v>0.3048981087</v>
      </c>
      <c r="N15" s="36"/>
      <c r="O15" s="51"/>
      <c r="P15" s="38"/>
      <c r="Q15" s="38"/>
      <c r="R15" s="39"/>
      <c r="S15" s="40"/>
      <c r="T15" s="22"/>
      <c r="U15" s="41"/>
      <c r="V15" s="4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>
      <c r="A16" s="43" t="str">
        <f t="array" ref="A16">XLOOKUP($B16,'Maestro de productos 2024'!$A$3:$A$163,'Maestro de productos 2024'!$B$3:$B$163,0)</f>
        <v>ID-3828</v>
      </c>
      <c r="B16" s="44" t="s">
        <v>38</v>
      </c>
      <c r="C16" s="45">
        <f t="array" ref="C16">XLOOKUP(B16,'Maestro de productos 2024'!$B$189:$B$196,'Maestro de productos 2024'!$D$189:$D$196,"No encontrado",0)</f>
        <v>20</v>
      </c>
      <c r="D16" s="45">
        <f t="array" ref="D16">XLOOKUP(B16,'Maestro de productos 2024'!$B$189:$B$196,'Maestro de productos 2024'!$E$189:$E$196,"No encontrado",0)</f>
        <v>7.301064103</v>
      </c>
      <c r="E16" s="46">
        <f t="shared" si="1"/>
        <v>12.6989359</v>
      </c>
      <c r="F16" s="47">
        <f>('Base de datos transacciones'!$H16)*$D16</f>
        <v>87.61276923</v>
      </c>
      <c r="G16" s="47">
        <f>'Base de datos transacciones'!$H16*$C16</f>
        <v>240</v>
      </c>
      <c r="H16" s="47">
        <f t="shared" si="2"/>
        <v>152.3872308</v>
      </c>
      <c r="I16" s="48"/>
      <c r="J16" s="50"/>
      <c r="K16" s="50"/>
      <c r="L16" s="48"/>
      <c r="M16" s="50"/>
      <c r="N16" s="36"/>
      <c r="O16" s="51"/>
      <c r="P16" s="38"/>
      <c r="Q16" s="38"/>
      <c r="R16" s="39"/>
      <c r="S16" s="40"/>
      <c r="T16" s="22"/>
      <c r="U16" s="41"/>
      <c r="V16" s="4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>
      <c r="A17" s="43" t="str">
        <f t="array" ref="A17">XLOOKUP($B17,'Maestro de productos 2024'!$A$3:$A$163,'Maestro de productos 2024'!$B$3:$B$163,0)</f>
        <v>ID-3824</v>
      </c>
      <c r="B17" s="44" t="s">
        <v>34</v>
      </c>
      <c r="C17" s="45">
        <f t="array" ref="C17">XLOOKUP(B17,'Maestro de productos 2024'!$B$189:$B$196,'Maestro de productos 2024'!$D$189:$D$196,"No encontrado",0)</f>
        <v>10</v>
      </c>
      <c r="D17" s="45">
        <f t="array" ref="D17">XLOOKUP(B17,'Maestro de productos 2024'!$B$189:$B$196,'Maestro de productos 2024'!$E$189:$E$196,"No encontrado",0)</f>
        <v>3.337551282</v>
      </c>
      <c r="E17" s="46">
        <f t="shared" si="1"/>
        <v>6.662448718</v>
      </c>
      <c r="F17" s="47">
        <f>('Base de datos transacciones'!$H17)*$D17</f>
        <v>96.78898718</v>
      </c>
      <c r="G17" s="47">
        <f>'Base de datos transacciones'!$H17*$C17</f>
        <v>290</v>
      </c>
      <c r="H17" s="47">
        <f t="shared" si="2"/>
        <v>193.2110128</v>
      </c>
      <c r="I17" s="48">
        <f>SUM(G16:G17)</f>
        <v>530</v>
      </c>
      <c r="J17" s="50">
        <f>((I17-I15)/I15)</f>
        <v>-0.369047619</v>
      </c>
      <c r="K17" s="50">
        <f>(I17-(SUM(F16:F17)))/I17</f>
        <v>0.6520721577</v>
      </c>
      <c r="L17" s="48">
        <f>I17-(SUM(F16:F17))</f>
        <v>345.5982436</v>
      </c>
      <c r="M17" s="50">
        <f>((L17-L15)/L15)</f>
        <v>-0.3563115342</v>
      </c>
      <c r="N17" s="36"/>
      <c r="O17" s="51"/>
      <c r="P17" s="38"/>
      <c r="Q17" s="38"/>
      <c r="R17" s="39"/>
      <c r="S17" s="40"/>
      <c r="T17" s="22"/>
      <c r="U17" s="41"/>
      <c r="V17" s="4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>
      <c r="A18" s="26" t="str">
        <f t="array" ref="A18">XLOOKUP($B18,'Maestro de productos 2024'!$A$3:$A$163,'Maestro de productos 2024'!$B$3:$B$163,0)</f>
        <v>ID-3825</v>
      </c>
      <c r="B18" s="27" t="s">
        <v>37</v>
      </c>
      <c r="C18" s="30">
        <f t="array" ref="C18">XLOOKUP(B18,'Maestro de productos 2024'!$B$189:$B$196,'Maestro de productos 2024'!$D$189:$D$196,"No encontrado",0)</f>
        <v>20</v>
      </c>
      <c r="D18" s="30">
        <f t="array" ref="D18">XLOOKUP(B18,'Maestro de productos 2024'!$B$189:$B$196,'Maestro de productos 2024'!$E$189:$E$196,"No encontrado",0)</f>
        <v>7.609146242</v>
      </c>
      <c r="E18" s="31">
        <f t="shared" si="1"/>
        <v>12.39085376</v>
      </c>
      <c r="F18" s="32">
        <f>('Base de datos transacciones'!$H18)*$D18</f>
        <v>106.5280474</v>
      </c>
      <c r="G18" s="32">
        <f>'Base de datos transacciones'!$H18*$C18</f>
        <v>280</v>
      </c>
      <c r="H18" s="32">
        <f t="shared" si="2"/>
        <v>173.4719526</v>
      </c>
      <c r="I18" s="34"/>
      <c r="J18" s="35"/>
      <c r="K18" s="35"/>
      <c r="L18" s="34"/>
      <c r="M18" s="35"/>
      <c r="N18" s="36"/>
      <c r="O18" s="51"/>
      <c r="P18" s="38"/>
      <c r="Q18" s="38"/>
      <c r="R18" s="39"/>
      <c r="S18" s="40"/>
      <c r="T18" s="22"/>
      <c r="U18" s="41"/>
      <c r="V18" s="4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>
      <c r="A19" s="26" t="str">
        <f t="array" ref="A19">XLOOKUP($B19,'Maestro de productos 2024'!$A$3:$A$163,'Maestro de productos 2024'!$B$3:$B$163,0)</f>
        <v>ID-3827</v>
      </c>
      <c r="B19" s="27" t="s">
        <v>36</v>
      </c>
      <c r="C19" s="30">
        <f t="array" ref="C19">XLOOKUP(B19,'Maestro de productos 2024'!$B$189:$B$196,'Maestro de productos 2024'!$D$189:$D$196,"No encontrado",0)</f>
        <v>7</v>
      </c>
      <c r="D19" s="30">
        <f t="array" ref="D19">XLOOKUP(B19,'Maestro de productos 2024'!$B$189:$B$196,'Maestro de productos 2024'!$E$189:$E$196,"No encontrado",0)</f>
        <v>2.623460073</v>
      </c>
      <c r="E19" s="31">
        <f t="shared" si="1"/>
        <v>4.376539927</v>
      </c>
      <c r="F19" s="32">
        <f>('Base de datos transacciones'!$H19)*$D19</f>
        <v>91.82110256</v>
      </c>
      <c r="G19" s="32">
        <f>'Base de datos transacciones'!$H19*$C19</f>
        <v>245</v>
      </c>
      <c r="H19" s="32">
        <f t="shared" si="2"/>
        <v>153.1788974</v>
      </c>
      <c r="I19" s="34">
        <f>SUM(G18:G19)</f>
        <v>525</v>
      </c>
      <c r="J19" s="35">
        <f>((I19-I17)/I17)</f>
        <v>-0.009433962264</v>
      </c>
      <c r="K19" s="35">
        <f>(I19-(SUM(F18:F19)))/I19</f>
        <v>0.6221920953</v>
      </c>
      <c r="L19" s="34">
        <f>I19-(SUM(F18:F19))</f>
        <v>326.6508501</v>
      </c>
      <c r="M19" s="35">
        <f>((L19-L17)/L17)</f>
        <v>-0.05482491272</v>
      </c>
      <c r="N19" s="36">
        <f>SUM(G10:G19)</f>
        <v>3315</v>
      </c>
      <c r="O19" s="51">
        <f>((N19-N9)/N9)</f>
        <v>0.3102766798</v>
      </c>
      <c r="P19" s="52">
        <f>(N19-SUM(F10:F19))/N19</f>
        <v>0.6411016583</v>
      </c>
      <c r="Q19" s="53">
        <f>N19-(SUM(F10:F19))</f>
        <v>2125.251997</v>
      </c>
      <c r="R19" s="54">
        <f>((Q19-Q9)/Q9)</f>
        <v>0.3059237188</v>
      </c>
      <c r="S19" s="40"/>
      <c r="T19" s="22"/>
      <c r="U19" s="41"/>
      <c r="V19" s="4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>
      <c r="A20" s="43" t="str">
        <f t="array" ref="A20">XLOOKUP($B20,'Maestro de productos 2024'!$A$3:$A$163,'Maestro de productos 2024'!$B$3:$B$163,0)</f>
        <v>ID-3827</v>
      </c>
      <c r="B20" s="44" t="s">
        <v>36</v>
      </c>
      <c r="C20" s="45">
        <f t="array" ref="C20">XLOOKUP(B20,'Maestro de productos 2024'!$B$189:$B$196,'Maestro de productos 2024'!$D$189:$D$196,"No encontrado",0)</f>
        <v>7</v>
      </c>
      <c r="D20" s="45">
        <f t="array" ref="D20">XLOOKUP(B20,'Maestro de productos 2024'!$B$189:$B$196,'Maestro de productos 2024'!$E$189:$E$196,"No encontrado",0)</f>
        <v>2.623460073</v>
      </c>
      <c r="E20" s="46">
        <f t="shared" si="1"/>
        <v>4.376539927</v>
      </c>
      <c r="F20" s="47">
        <f>('Base de datos transacciones'!$H20)*$D20</f>
        <v>89.19764249</v>
      </c>
      <c r="G20" s="47">
        <f>'Base de datos transacciones'!$H20*$C20</f>
        <v>238</v>
      </c>
      <c r="H20" s="47">
        <f t="shared" si="2"/>
        <v>148.8023575</v>
      </c>
      <c r="I20" s="48"/>
      <c r="J20" s="50"/>
      <c r="K20" s="50"/>
      <c r="L20" s="48"/>
      <c r="M20" s="50"/>
      <c r="N20" s="36"/>
      <c r="O20" s="51"/>
      <c r="P20" s="38"/>
      <c r="Q20" s="38"/>
      <c r="R20" s="39"/>
      <c r="S20" s="40"/>
      <c r="T20" s="22"/>
      <c r="U20" s="41"/>
      <c r="V20" s="4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>
      <c r="A21" s="43" t="str">
        <f t="array" ref="A21">XLOOKUP($B21,'Maestro de productos 2024'!$A$3:$A$163,'Maestro de productos 2024'!$B$3:$B$163,0)</f>
        <v>ID-3826</v>
      </c>
      <c r="B21" s="44" t="s">
        <v>35</v>
      </c>
      <c r="C21" s="45">
        <f t="array" ref="C21">XLOOKUP(B21,'Maestro de productos 2024'!$B$189:$B$196,'Maestro de productos 2024'!$D$189:$D$196,"No encontrado",0)</f>
        <v>20</v>
      </c>
      <c r="D21" s="45">
        <f t="array" ref="D21">XLOOKUP(B21,'Maestro de productos 2024'!$B$189:$B$196,'Maestro de productos 2024'!$E$189:$E$196,"No encontrado",0)</f>
        <v>7.103972222</v>
      </c>
      <c r="E21" s="46">
        <f t="shared" si="1"/>
        <v>12.89602778</v>
      </c>
      <c r="F21" s="47">
        <f>('Base de datos transacciones'!$H21)*$D21</f>
        <v>127.8715</v>
      </c>
      <c r="G21" s="47">
        <f>'Base de datos transacciones'!$H21*$C21</f>
        <v>360</v>
      </c>
      <c r="H21" s="47">
        <f t="shared" si="2"/>
        <v>232.1285</v>
      </c>
      <c r="I21" s="48">
        <f>SUM(G20:G21)</f>
        <v>598</v>
      </c>
      <c r="J21" s="50">
        <f>((I21-I19)/I19)</f>
        <v>0.139047619</v>
      </c>
      <c r="K21" s="50">
        <f>(I21-(SUM(F20:F21)))/I21</f>
        <v>0.6370081229</v>
      </c>
      <c r="L21" s="48">
        <f>I21-(SUM(F20:F21))</f>
        <v>380.9308575</v>
      </c>
      <c r="M21" s="50">
        <f>((L21-L19)/L19)</f>
        <v>0.1661713339</v>
      </c>
      <c r="N21" s="36"/>
      <c r="O21" s="51"/>
      <c r="P21" s="38"/>
      <c r="Q21" s="38"/>
      <c r="R21" s="39"/>
      <c r="S21" s="40"/>
      <c r="T21" s="22"/>
      <c r="U21" s="41"/>
      <c r="V21" s="4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>
      <c r="A22" s="26" t="str">
        <f t="array" ref="A22">XLOOKUP($B22,'Maestro de productos 2024'!$A$3:$A$163,'Maestro de productos 2024'!$B$3:$B$163,0)</f>
        <v>ID-3828</v>
      </c>
      <c r="B22" s="27" t="s">
        <v>38</v>
      </c>
      <c r="C22" s="30">
        <f t="array" ref="C22">XLOOKUP(B22,'Maestro de productos 2024'!$B$189:$B$196,'Maestro de productos 2024'!$D$189:$D$196,"No encontrado",0)</f>
        <v>20</v>
      </c>
      <c r="D22" s="30">
        <f t="array" ref="D22">XLOOKUP(B22,'Maestro de productos 2024'!$B$189:$B$196,'Maestro de productos 2024'!$E$189:$E$196,"No encontrado",0)</f>
        <v>7.301064103</v>
      </c>
      <c r="E22" s="31">
        <f t="shared" si="1"/>
        <v>12.6989359</v>
      </c>
      <c r="F22" s="32">
        <f>('Base de datos transacciones'!$H22)*$D22</f>
        <v>175.2255385</v>
      </c>
      <c r="G22" s="32">
        <f>'Base de datos transacciones'!$H22*$C22</f>
        <v>480</v>
      </c>
      <c r="H22" s="32">
        <f t="shared" si="2"/>
        <v>304.7744615</v>
      </c>
      <c r="I22" s="34"/>
      <c r="J22" s="35"/>
      <c r="K22" s="35"/>
      <c r="L22" s="34"/>
      <c r="M22" s="35"/>
      <c r="N22" s="36"/>
      <c r="O22" s="51"/>
      <c r="P22" s="38"/>
      <c r="Q22" s="38"/>
      <c r="R22" s="39"/>
      <c r="S22" s="40"/>
      <c r="T22" s="22"/>
      <c r="U22" s="41"/>
      <c r="V22" s="4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>
      <c r="A23" s="26" t="str">
        <f t="array" ref="A23">XLOOKUP($B23,'Maestro de productos 2024'!$A$3:$A$163,'Maestro de productos 2024'!$B$3:$B$163,0)</f>
        <v>ID-3824</v>
      </c>
      <c r="B23" s="27" t="s">
        <v>34</v>
      </c>
      <c r="C23" s="30">
        <f t="array" ref="C23">XLOOKUP(B23,'Maestro de productos 2024'!$B$189:$B$196,'Maestro de productos 2024'!$D$189:$D$196,"No encontrado",0)</f>
        <v>10</v>
      </c>
      <c r="D23" s="30">
        <f t="array" ref="D23">XLOOKUP(B23,'Maestro de productos 2024'!$B$189:$B$196,'Maestro de productos 2024'!$E$189:$E$196,"No encontrado",0)</f>
        <v>3.337551282</v>
      </c>
      <c r="E23" s="31">
        <f t="shared" si="1"/>
        <v>6.662448718</v>
      </c>
      <c r="F23" s="32">
        <f>('Base de datos transacciones'!$H23)*$D23</f>
        <v>106.801641</v>
      </c>
      <c r="G23" s="32">
        <f>'Base de datos transacciones'!$H23*$C23</f>
        <v>320</v>
      </c>
      <c r="H23" s="32">
        <f t="shared" si="2"/>
        <v>213.198359</v>
      </c>
      <c r="I23" s="34">
        <f>SUM(G22:G23)</f>
        <v>800</v>
      </c>
      <c r="J23" s="35">
        <f>((I23-I21)/I21)</f>
        <v>0.3377926421</v>
      </c>
      <c r="K23" s="35">
        <f>(I23-(SUM(F22:F23)))/I23</f>
        <v>0.6474660256</v>
      </c>
      <c r="L23" s="34">
        <f>I23-(SUM(F22:F23))</f>
        <v>517.9728205</v>
      </c>
      <c r="M23" s="35">
        <f>((L23-L21)/L21)</f>
        <v>0.3597554787</v>
      </c>
      <c r="N23" s="36"/>
      <c r="O23" s="51"/>
      <c r="P23" s="38"/>
      <c r="Q23" s="38"/>
      <c r="R23" s="39"/>
      <c r="S23" s="40"/>
      <c r="T23" s="22"/>
      <c r="U23" s="41"/>
      <c r="V23" s="4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>
      <c r="A24" s="43" t="str">
        <f t="array" ref="A24">XLOOKUP($B24,'Maestro de productos 2024'!$A$3:$A$163,'Maestro de productos 2024'!$B$3:$B$163,0)</f>
        <v>ID-3826</v>
      </c>
      <c r="B24" s="44" t="s">
        <v>35</v>
      </c>
      <c r="C24" s="45">
        <f t="array" ref="C24">XLOOKUP(B24,'Maestro de productos 2024'!$B$189:$B$196,'Maestro de productos 2024'!$D$189:$D$196,"No encontrado",0)</f>
        <v>20</v>
      </c>
      <c r="D24" s="45">
        <f t="array" ref="D24">XLOOKUP(B24,'Maestro de productos 2024'!$B$189:$B$196,'Maestro de productos 2024'!$E$189:$E$196,"No encontrado",0)</f>
        <v>7.103972222</v>
      </c>
      <c r="E24" s="46">
        <f t="shared" si="1"/>
        <v>12.89602778</v>
      </c>
      <c r="F24" s="47">
        <f>('Base de datos transacciones'!$H24)*$D24</f>
        <v>255.743</v>
      </c>
      <c r="G24" s="47">
        <f>'Base de datos transacciones'!$H24*$C24</f>
        <v>720</v>
      </c>
      <c r="H24" s="47">
        <f t="shared" si="2"/>
        <v>464.257</v>
      </c>
      <c r="I24" s="48"/>
      <c r="J24" s="50"/>
      <c r="K24" s="50"/>
      <c r="L24" s="48"/>
      <c r="M24" s="50"/>
      <c r="N24" s="36"/>
      <c r="O24" s="51"/>
      <c r="P24" s="38"/>
      <c r="Q24" s="38"/>
      <c r="R24" s="39"/>
      <c r="S24" s="40"/>
      <c r="T24" s="22"/>
      <c r="U24" s="41"/>
      <c r="V24" s="4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>
      <c r="A25" s="43" t="str">
        <f t="array" ref="A25">XLOOKUP($B25,'Maestro de productos 2024'!$A$3:$A$163,'Maestro de productos 2024'!$B$3:$B$163,0)</f>
        <v>ID-3829</v>
      </c>
      <c r="B25" s="44" t="s">
        <v>97</v>
      </c>
      <c r="C25" s="45">
        <f t="array" ref="C25">XLOOKUP(B25,'Maestro de productos 2024'!$B$189:$B$196,'Maestro de productos 2024'!$D$189:$D$196,"No encontrado",0)</f>
        <v>7</v>
      </c>
      <c r="D25" s="45">
        <f t="array" ref="D25">XLOOKUP(B25,'Maestro de productos 2024'!$B$189:$B$196,'Maestro de productos 2024'!$E$189:$E$196,"No encontrado",0)</f>
        <v>2.98984359</v>
      </c>
      <c r="E25" s="46">
        <f t="shared" si="1"/>
        <v>4.01015641</v>
      </c>
      <c r="F25" s="47">
        <f>('Base de datos transacciones'!$H25)*$D25</f>
        <v>149.4921795</v>
      </c>
      <c r="G25" s="47">
        <f>'Base de datos transacciones'!$H25*$C25</f>
        <v>350</v>
      </c>
      <c r="H25" s="47">
        <f t="shared" si="2"/>
        <v>200.5078205</v>
      </c>
      <c r="I25" s="48">
        <f>SUM(G24:G25)</f>
        <v>1070</v>
      </c>
      <c r="J25" s="50">
        <f>((I25-I23)/I23)</f>
        <v>0.3375</v>
      </c>
      <c r="K25" s="50">
        <f>(I25-(SUM(F24:F25)))/I25</f>
        <v>0.6212755332</v>
      </c>
      <c r="L25" s="48">
        <f>I25-(SUM(F24:F25))</f>
        <v>664.7648205</v>
      </c>
      <c r="M25" s="50">
        <f>((L25-L23)/L23)</f>
        <v>0.2833971092</v>
      </c>
      <c r="N25" s="36"/>
      <c r="O25" s="51"/>
      <c r="P25" s="38"/>
      <c r="Q25" s="38"/>
      <c r="R25" s="39"/>
      <c r="S25" s="40"/>
      <c r="T25" s="22"/>
      <c r="U25" s="41"/>
      <c r="V25" s="4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>
      <c r="A26" s="26" t="str">
        <f t="array" ref="A26">XLOOKUP($B26,'Maestro de productos 2024'!$A$3:$A$163,'Maestro de productos 2024'!$B$3:$B$163,0)</f>
        <v>ID-3828</v>
      </c>
      <c r="B26" s="27" t="s">
        <v>38</v>
      </c>
      <c r="C26" s="30">
        <f t="array" ref="C26">XLOOKUP(B26,'Maestro de productos 2024'!$B$189:$B$196,'Maestro de productos 2024'!$D$189:$D$196,"No encontrado",0)</f>
        <v>20</v>
      </c>
      <c r="D26" s="30">
        <f t="array" ref="D26">XLOOKUP(B26,'Maestro de productos 2024'!$B$189:$B$196,'Maestro de productos 2024'!$E$189:$E$196,"No encontrado",0)</f>
        <v>7.301064103</v>
      </c>
      <c r="E26" s="31">
        <f t="shared" si="1"/>
        <v>12.6989359</v>
      </c>
      <c r="F26" s="32">
        <f>('Base de datos transacciones'!$H26)*$D26</f>
        <v>175.2255385</v>
      </c>
      <c r="G26" s="32">
        <f>'Base de datos transacciones'!$H26*$C26</f>
        <v>480</v>
      </c>
      <c r="H26" s="32">
        <f t="shared" si="2"/>
        <v>304.7744615</v>
      </c>
      <c r="I26" s="34"/>
      <c r="J26" s="35"/>
      <c r="K26" s="35"/>
      <c r="L26" s="34"/>
      <c r="M26" s="35"/>
      <c r="N26" s="36"/>
      <c r="O26" s="51"/>
      <c r="P26" s="38"/>
      <c r="Q26" s="38"/>
      <c r="R26" s="39"/>
      <c r="S26" s="40"/>
      <c r="T26" s="22"/>
      <c r="U26" s="41"/>
      <c r="V26" s="4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>
      <c r="A27" s="26" t="str">
        <f t="array" ref="A27">XLOOKUP($B27,'Maestro de productos 2024'!$A$3:$A$163,'Maestro de productos 2024'!$B$3:$B$163,0)</f>
        <v>ID-3826</v>
      </c>
      <c r="B27" s="27" t="s">
        <v>35</v>
      </c>
      <c r="C27" s="30">
        <f t="array" ref="C27">XLOOKUP(B27,'Maestro de productos 2024'!$B$189:$B$196,'Maestro de productos 2024'!$D$189:$D$196,"No encontrado",0)</f>
        <v>20</v>
      </c>
      <c r="D27" s="30">
        <f t="array" ref="D27">XLOOKUP(B27,'Maestro de productos 2024'!$B$189:$B$196,'Maestro de productos 2024'!$E$189:$E$196,"No encontrado",0)</f>
        <v>7.103972222</v>
      </c>
      <c r="E27" s="31">
        <f t="shared" si="1"/>
        <v>12.89602778</v>
      </c>
      <c r="F27" s="32">
        <f>('Base de datos transacciones'!$H27)*$D27</f>
        <v>106.5595833</v>
      </c>
      <c r="G27" s="32">
        <f>'Base de datos transacciones'!$H27*$C27</f>
        <v>300</v>
      </c>
      <c r="H27" s="32">
        <f t="shared" si="2"/>
        <v>193.4404167</v>
      </c>
      <c r="I27" s="34">
        <f>SUM(G26:G27)</f>
        <v>780</v>
      </c>
      <c r="J27" s="35">
        <f>((I27-I25)/I25)</f>
        <v>-0.2710280374</v>
      </c>
      <c r="K27" s="35">
        <f>(I27-(SUM(F26:F27)))/I27</f>
        <v>0.6387370233</v>
      </c>
      <c r="L27" s="34">
        <f>I27-(SUM(F26:F27))</f>
        <v>498.2148782</v>
      </c>
      <c r="M27" s="35">
        <f>((L27-L25)/L25)</f>
        <v>-0.2505396453</v>
      </c>
      <c r="N27" s="36">
        <f>SUM(G20:G27)</f>
        <v>3248</v>
      </c>
      <c r="O27" s="51">
        <f>((N27-N19)/N19)</f>
        <v>-0.02021116139</v>
      </c>
      <c r="P27" s="52">
        <f>(N27-SUM(F20:F27))/N27</f>
        <v>0.6348163106</v>
      </c>
      <c r="Q27" s="53">
        <f>N27-(SUM(F20:F27))</f>
        <v>2061.883377</v>
      </c>
      <c r="R27" s="54">
        <f>((Q27-Q19)/Q19)</f>
        <v>-0.02981699144</v>
      </c>
      <c r="S27" s="40"/>
      <c r="T27" s="22"/>
      <c r="U27" s="41"/>
      <c r="V27" s="4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>
      <c r="A28" s="43" t="str">
        <f t="array" ref="A28">XLOOKUP($B28,'Maestro de productos 2024'!$A$3:$A$163,'Maestro de productos 2024'!$B$3:$B$163,0)</f>
        <v>ID-3827</v>
      </c>
      <c r="B28" s="44" t="s">
        <v>36</v>
      </c>
      <c r="C28" s="45">
        <f t="array" ref="C28">XLOOKUP(B28,'Maestro de productos 2024'!$B$189:$B$196,'Maestro de productos 2024'!$D$189:$D$196,"No encontrado",0)</f>
        <v>7</v>
      </c>
      <c r="D28" s="45">
        <f t="array" ref="D28">XLOOKUP(B28,'Maestro de productos 2024'!$B$189:$B$196,'Maestro de productos 2024'!$E$189:$E$196,"No encontrado",0)</f>
        <v>2.623460073</v>
      </c>
      <c r="E28" s="46">
        <f t="shared" si="1"/>
        <v>4.376539927</v>
      </c>
      <c r="F28" s="47">
        <f>('Base de datos transacciones'!$H28)*$D28</f>
        <v>76.08034212</v>
      </c>
      <c r="G28" s="47">
        <f>'Base de datos transacciones'!$H28*$C28</f>
        <v>203</v>
      </c>
      <c r="H28" s="47">
        <f t="shared" si="2"/>
        <v>126.9196579</v>
      </c>
      <c r="I28" s="48"/>
      <c r="J28" s="50"/>
      <c r="K28" s="50"/>
      <c r="L28" s="48"/>
      <c r="M28" s="50"/>
      <c r="N28" s="36"/>
      <c r="O28" s="51"/>
      <c r="P28" s="38"/>
      <c r="Q28" s="38"/>
      <c r="R28" s="39"/>
      <c r="S28" s="40"/>
      <c r="T28" s="22"/>
      <c r="U28" s="41"/>
      <c r="V28" s="4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>
      <c r="A29" s="43" t="str">
        <f t="array" ref="A29">XLOOKUP($B29,'Maestro de productos 2024'!$A$3:$A$163,'Maestro de productos 2024'!$B$3:$B$163,0)</f>
        <v>ID-3825</v>
      </c>
      <c r="B29" s="44" t="s">
        <v>37</v>
      </c>
      <c r="C29" s="45">
        <f t="array" ref="C29">XLOOKUP(B29,'Maestro de productos 2024'!$B$189:$B$196,'Maestro de productos 2024'!$D$189:$D$196,"No encontrado",0)</f>
        <v>20</v>
      </c>
      <c r="D29" s="45">
        <f t="array" ref="D29">XLOOKUP(B29,'Maestro de productos 2024'!$B$189:$B$196,'Maestro de productos 2024'!$E$189:$E$196,"No encontrado",0)</f>
        <v>7.609146242</v>
      </c>
      <c r="E29" s="46">
        <f t="shared" si="1"/>
        <v>12.39085376</v>
      </c>
      <c r="F29" s="47">
        <f>('Base de datos transacciones'!$H29)*$D29</f>
        <v>121.7463399</v>
      </c>
      <c r="G29" s="47">
        <f>'Base de datos transacciones'!$H29*$C29</f>
        <v>320</v>
      </c>
      <c r="H29" s="47">
        <f t="shared" si="2"/>
        <v>198.2536601</v>
      </c>
      <c r="I29" s="48">
        <f>SUM(G28:G29)</f>
        <v>523</v>
      </c>
      <c r="J29" s="50">
        <f>((I29-I27)/I27)</f>
        <v>-0.3294871795</v>
      </c>
      <c r="K29" s="50">
        <f>(I29-(SUM(F28:F29)))/I29</f>
        <v>0.6217463059</v>
      </c>
      <c r="L29" s="48">
        <f>I29-(SUM(F28:F29))</f>
        <v>325.173318</v>
      </c>
      <c r="M29" s="50">
        <f>((L29-L27)/L27)</f>
        <v>-0.3473231486</v>
      </c>
      <c r="N29" s="36"/>
      <c r="O29" s="51"/>
      <c r="P29" s="38"/>
      <c r="Q29" s="38"/>
      <c r="R29" s="39"/>
      <c r="S29" s="40"/>
      <c r="T29" s="22"/>
      <c r="U29" s="41"/>
      <c r="V29" s="4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>
      <c r="A30" s="26" t="str">
        <f t="array" ref="A30">XLOOKUP($B30,'Maestro de productos 2024'!$A$3:$A$163,'Maestro de productos 2024'!$B$3:$B$163,0)</f>
        <v>ID-3824</v>
      </c>
      <c r="B30" s="27" t="s">
        <v>34</v>
      </c>
      <c r="C30" s="30">
        <f t="array" ref="C30">XLOOKUP(B30,'Maestro de productos 2024'!$B$189:$B$196,'Maestro de productos 2024'!$D$189:$D$196,"No encontrado",0)</f>
        <v>10</v>
      </c>
      <c r="D30" s="30">
        <f t="array" ref="D30">XLOOKUP(B30,'Maestro de productos 2024'!$B$189:$B$196,'Maestro de productos 2024'!$E$189:$E$196,"No encontrado",0)</f>
        <v>3.337551282</v>
      </c>
      <c r="E30" s="31">
        <f t="shared" si="1"/>
        <v>6.662448718</v>
      </c>
      <c r="F30" s="32">
        <f>('Base de datos transacciones'!$H30)*$D30</f>
        <v>106.801641</v>
      </c>
      <c r="G30" s="32">
        <f>'Base de datos transacciones'!$H30*$C30</f>
        <v>320</v>
      </c>
      <c r="H30" s="32">
        <f t="shared" si="2"/>
        <v>213.198359</v>
      </c>
      <c r="I30" s="34"/>
      <c r="J30" s="35"/>
      <c r="K30" s="35"/>
      <c r="L30" s="34"/>
      <c r="M30" s="35"/>
      <c r="N30" s="36"/>
      <c r="O30" s="51"/>
      <c r="P30" s="38"/>
      <c r="Q30" s="38"/>
      <c r="R30" s="39"/>
      <c r="S30" s="40"/>
      <c r="T30" s="22"/>
      <c r="U30" s="41"/>
      <c r="V30" s="4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>
      <c r="A31" s="26" t="str">
        <f t="array" ref="A31">XLOOKUP($B31,'Maestro de productos 2024'!$A$3:$A$163,'Maestro de productos 2024'!$B$3:$B$163,0)</f>
        <v>ID-3829</v>
      </c>
      <c r="B31" s="27" t="s">
        <v>97</v>
      </c>
      <c r="C31" s="30">
        <f t="array" ref="C31">XLOOKUP(B31,'Maestro de productos 2024'!$B$189:$B$196,'Maestro de productos 2024'!$D$189:$D$196,"No encontrado",0)</f>
        <v>7</v>
      </c>
      <c r="D31" s="30">
        <f t="array" ref="D31">XLOOKUP(B31,'Maestro de productos 2024'!$B$189:$B$196,'Maestro de productos 2024'!$E$189:$E$196,"No encontrado",0)</f>
        <v>2.98984359</v>
      </c>
      <c r="E31" s="31">
        <f t="shared" si="1"/>
        <v>4.01015641</v>
      </c>
      <c r="F31" s="32">
        <f>('Base de datos transacciones'!$H31)*$D31</f>
        <v>134.5429615</v>
      </c>
      <c r="G31" s="32">
        <f>'Base de datos transacciones'!$H31*$C31</f>
        <v>315</v>
      </c>
      <c r="H31" s="32">
        <f t="shared" si="2"/>
        <v>180.4570385</v>
      </c>
      <c r="I31" s="34">
        <f>SUM(G30:G31)</f>
        <v>635</v>
      </c>
      <c r="J31" s="35">
        <f>((I31-I29)/I29)</f>
        <v>0.2141491396</v>
      </c>
      <c r="K31" s="35">
        <f>(I31-(SUM(F30:F31)))/I31</f>
        <v>0.6199297597</v>
      </c>
      <c r="L31" s="34">
        <f>I31-(SUM(F30:F31))</f>
        <v>393.6553974</v>
      </c>
      <c r="M31" s="35">
        <f>((L31-L29)/L29)</f>
        <v>0.2106017795</v>
      </c>
      <c r="N31" s="36"/>
      <c r="O31" s="51"/>
      <c r="P31" s="38"/>
      <c r="Q31" s="38"/>
      <c r="R31" s="39"/>
      <c r="S31" s="40"/>
      <c r="T31" s="22"/>
      <c r="U31" s="41"/>
      <c r="V31" s="4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>
      <c r="A32" s="43" t="str">
        <f t="array" ref="A32">XLOOKUP($B32,'Maestro de productos 2024'!$A$3:$A$163,'Maestro de productos 2024'!$B$3:$B$163,0)</f>
        <v>ID-3828</v>
      </c>
      <c r="B32" s="44" t="s">
        <v>38</v>
      </c>
      <c r="C32" s="45">
        <f t="array" ref="C32">XLOOKUP(B32,'Maestro de productos 2024'!$B$189:$B$196,'Maestro de productos 2024'!$D$189:$D$196,"No encontrado",0)</f>
        <v>20</v>
      </c>
      <c r="D32" s="45">
        <f t="array" ref="D32">XLOOKUP(B32,'Maestro de productos 2024'!$B$189:$B$196,'Maestro de productos 2024'!$E$189:$E$196,"No encontrado",0)</f>
        <v>7.301064103</v>
      </c>
      <c r="E32" s="46">
        <f t="shared" si="1"/>
        <v>12.6989359</v>
      </c>
      <c r="F32" s="47">
        <f>('Base de datos transacciones'!$H32)*$D32</f>
        <v>175.2255385</v>
      </c>
      <c r="G32" s="47">
        <f>'Base de datos transacciones'!$H32*$C32</f>
        <v>480</v>
      </c>
      <c r="H32" s="47">
        <f t="shared" si="2"/>
        <v>304.7744615</v>
      </c>
      <c r="I32" s="48"/>
      <c r="J32" s="50"/>
      <c r="K32" s="50"/>
      <c r="L32" s="48"/>
      <c r="M32" s="50"/>
      <c r="N32" s="36"/>
      <c r="O32" s="51"/>
      <c r="P32" s="38"/>
      <c r="Q32" s="38"/>
      <c r="R32" s="39"/>
      <c r="S32" s="40"/>
      <c r="T32" s="22"/>
      <c r="U32" s="41"/>
      <c r="V32" s="4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>
      <c r="A33" s="43" t="str">
        <f t="array" ref="A33">XLOOKUP($B33,'Maestro de productos 2024'!$A$3:$A$163,'Maestro de productos 2024'!$B$3:$B$163,0)</f>
        <v>ID-3826</v>
      </c>
      <c r="B33" s="44" t="s">
        <v>35</v>
      </c>
      <c r="C33" s="45">
        <f t="array" ref="C33">XLOOKUP(B33,'Maestro de productos 2024'!$B$189:$B$196,'Maestro de productos 2024'!$D$189:$D$196,"No encontrado",0)</f>
        <v>20</v>
      </c>
      <c r="D33" s="45">
        <f t="array" ref="D33">XLOOKUP(B33,'Maestro de productos 2024'!$B$189:$B$196,'Maestro de productos 2024'!$E$189:$E$196,"No encontrado",0)</f>
        <v>7.103972222</v>
      </c>
      <c r="E33" s="46">
        <f t="shared" si="1"/>
        <v>12.89602778</v>
      </c>
      <c r="F33" s="47">
        <f>('Base de datos transacciones'!$H33)*$D33</f>
        <v>113.6635556</v>
      </c>
      <c r="G33" s="47">
        <f>'Base de datos transacciones'!$H33*$C33</f>
        <v>320</v>
      </c>
      <c r="H33" s="47">
        <f t="shared" si="2"/>
        <v>206.3364444</v>
      </c>
      <c r="I33" s="48">
        <f>SUM(G32:G33)</f>
        <v>800</v>
      </c>
      <c r="J33" s="50">
        <f>((I33-I31)/I31)</f>
        <v>0.2598425197</v>
      </c>
      <c r="K33" s="50">
        <f>(I33-(SUM(F32:F33)))/I33</f>
        <v>0.6388886325</v>
      </c>
      <c r="L33" s="48">
        <f>I33-(SUM(F32:F33))</f>
        <v>511.110906</v>
      </c>
      <c r="M33" s="50">
        <f>((L33-L31)/L31)</f>
        <v>0.2983713911</v>
      </c>
      <c r="N33" s="36"/>
      <c r="O33" s="51"/>
      <c r="P33" s="38"/>
      <c r="Q33" s="38"/>
      <c r="R33" s="39"/>
      <c r="S33" s="40"/>
      <c r="T33" s="22"/>
      <c r="U33" s="41"/>
      <c r="V33" s="4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>
      <c r="A34" s="26" t="str">
        <f t="array" ref="A34">XLOOKUP($B34,'Maestro de productos 2024'!$A$3:$A$163,'Maestro de productos 2024'!$B$3:$B$163,0)</f>
        <v>ID-3830</v>
      </c>
      <c r="B34" s="27" t="s">
        <v>108</v>
      </c>
      <c r="C34" s="30">
        <f t="array" ref="C34">XLOOKUP(B34,'Maestro de productos 2024'!$B$189:$B$196,'Maestro de productos 2024'!$D$189:$D$196,"No encontrado",0)</f>
        <v>25</v>
      </c>
      <c r="D34" s="30">
        <f t="array" ref="D34">XLOOKUP(B34,'Maestro de productos 2024'!$B$189:$B$196,'Maestro de productos 2024'!$E$189:$E$196,"No encontrado",0)</f>
        <v>10.93666667</v>
      </c>
      <c r="E34" s="31">
        <f t="shared" si="1"/>
        <v>14.06333333</v>
      </c>
      <c r="F34" s="32">
        <f>('Base de datos transacciones'!$H34)*$D34</f>
        <v>196.86</v>
      </c>
      <c r="G34" s="32">
        <f>'Base de datos transacciones'!$H34*$C34</f>
        <v>450</v>
      </c>
      <c r="H34" s="32">
        <f t="shared" si="2"/>
        <v>253.14</v>
      </c>
      <c r="I34" s="34"/>
      <c r="J34" s="35"/>
      <c r="K34" s="35"/>
      <c r="L34" s="34"/>
      <c r="M34" s="35"/>
      <c r="N34" s="36"/>
      <c r="O34" s="51"/>
      <c r="P34" s="38"/>
      <c r="Q34" s="38"/>
      <c r="R34" s="39"/>
      <c r="S34" s="40"/>
      <c r="T34" s="22"/>
      <c r="U34" s="41"/>
      <c r="V34" s="4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>
      <c r="A35" s="26" t="str">
        <f t="array" ref="A35">XLOOKUP($B35,'Maestro de productos 2024'!$A$3:$A$163,'Maestro de productos 2024'!$B$3:$B$163,0)</f>
        <v>ID-3827</v>
      </c>
      <c r="B35" s="27" t="s">
        <v>36</v>
      </c>
      <c r="C35" s="30">
        <f t="array" ref="C35">XLOOKUP(B35,'Maestro de productos 2024'!$B$189:$B$196,'Maestro de productos 2024'!$D$189:$D$196,"No encontrado",0)</f>
        <v>7</v>
      </c>
      <c r="D35" s="30">
        <f t="array" ref="D35">XLOOKUP(B35,'Maestro de productos 2024'!$B$189:$B$196,'Maestro de productos 2024'!$E$189:$E$196,"No encontrado",0)</f>
        <v>2.623460073</v>
      </c>
      <c r="E35" s="31">
        <f t="shared" si="1"/>
        <v>4.376539927</v>
      </c>
      <c r="F35" s="32">
        <f>('Base de datos transacciones'!$H35)*$D35</f>
        <v>78.7038022</v>
      </c>
      <c r="G35" s="32">
        <f>'Base de datos transacciones'!$H35*$C35</f>
        <v>210</v>
      </c>
      <c r="H35" s="32">
        <f t="shared" si="2"/>
        <v>131.2961978</v>
      </c>
      <c r="I35" s="34">
        <f>SUM(G34:G35)</f>
        <v>660</v>
      </c>
      <c r="J35" s="35">
        <f>((I35-I33)/I33)</f>
        <v>-0.175</v>
      </c>
      <c r="K35" s="35">
        <f>(I35-(SUM(F34:F35)))/I35</f>
        <v>0.5824790876</v>
      </c>
      <c r="L35" s="34">
        <f>I35-(SUM(F34:F35))</f>
        <v>384.4361978</v>
      </c>
      <c r="M35" s="35">
        <f>((L35-L33)/L33)</f>
        <v>-0.2478419198</v>
      </c>
      <c r="N35" s="36"/>
      <c r="O35" s="51"/>
      <c r="P35" s="38"/>
      <c r="Q35" s="38"/>
      <c r="R35" s="39"/>
      <c r="S35" s="40"/>
      <c r="T35" s="22"/>
      <c r="U35" s="41"/>
      <c r="V35" s="4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>
      <c r="A36" s="43" t="str">
        <f t="array" ref="A36">XLOOKUP($B36,'Maestro de productos 2024'!$A$3:$A$163,'Maestro de productos 2024'!$B$3:$B$163,0)</f>
        <v>ID-3825</v>
      </c>
      <c r="B36" s="44" t="s">
        <v>37</v>
      </c>
      <c r="C36" s="45">
        <f t="array" ref="C36">XLOOKUP(B36,'Maestro de productos 2024'!$B$189:$B$196,'Maestro de productos 2024'!$D$189:$D$196,"No encontrado",0)</f>
        <v>20</v>
      </c>
      <c r="D36" s="45">
        <f t="array" ref="D36">XLOOKUP(B36,'Maestro de productos 2024'!$B$189:$B$196,'Maestro de productos 2024'!$E$189:$E$196,"No encontrado",0)</f>
        <v>7.609146242</v>
      </c>
      <c r="E36" s="46">
        <f t="shared" si="1"/>
        <v>12.39085376</v>
      </c>
      <c r="F36" s="47">
        <f>('Base de datos transacciones'!$H36)*$D36</f>
        <v>121.7463399</v>
      </c>
      <c r="G36" s="47">
        <f>'Base de datos transacciones'!$H36*$C36</f>
        <v>320</v>
      </c>
      <c r="H36" s="47">
        <f t="shared" si="2"/>
        <v>198.2536601</v>
      </c>
      <c r="I36" s="48"/>
      <c r="J36" s="50"/>
      <c r="K36" s="50"/>
      <c r="L36" s="48"/>
      <c r="M36" s="50"/>
      <c r="N36" s="36">
        <f>SUM(G28:G36)</f>
        <v>2938</v>
      </c>
      <c r="O36" s="51">
        <f>((N36-N27)/N27)</f>
        <v>-0.09544334975</v>
      </c>
      <c r="P36" s="52">
        <f>(N36-SUM(F28:F36))/N36</f>
        <v>0.6169603401</v>
      </c>
      <c r="Q36" s="53">
        <f>N36-(SUM(F28:F36))</f>
        <v>1812.629479</v>
      </c>
      <c r="R36" s="54">
        <f>((Q36-Q27)/Q27)</f>
        <v>-0.1208865158</v>
      </c>
      <c r="S36" s="40"/>
      <c r="T36" s="22"/>
      <c r="U36" s="41"/>
      <c r="V36" s="4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>
      <c r="A37" s="43" t="str">
        <f t="array" ref="A37">XLOOKUP($B37,'Maestro de productos 2024'!$A$3:$A$163,'Maestro de productos 2024'!$B$3:$B$163,0)</f>
        <v>ID-3829</v>
      </c>
      <c r="B37" s="44" t="s">
        <v>97</v>
      </c>
      <c r="C37" s="45">
        <f t="array" ref="C37">XLOOKUP(B37,'Maestro de productos 2024'!$B$189:$B$196,'Maestro de productos 2024'!$D$189:$D$196,"No encontrado",0)</f>
        <v>7</v>
      </c>
      <c r="D37" s="45">
        <f t="array" ref="D37">XLOOKUP(B37,'Maestro de productos 2024'!$B$189:$B$196,'Maestro de productos 2024'!$E$189:$E$196,"No encontrado",0)</f>
        <v>2.98984359</v>
      </c>
      <c r="E37" s="46">
        <f t="shared" si="1"/>
        <v>4.01015641</v>
      </c>
      <c r="F37" s="47">
        <f>('Base de datos transacciones'!$H37)*$D37</f>
        <v>149.4921795</v>
      </c>
      <c r="G37" s="47">
        <f>'Base de datos transacciones'!$H37*$C37</f>
        <v>350</v>
      </c>
      <c r="H37" s="47">
        <f t="shared" si="2"/>
        <v>200.5078205</v>
      </c>
      <c r="I37" s="48">
        <f>SUM(G36:G37)</f>
        <v>670</v>
      </c>
      <c r="J37" s="50">
        <f>((I37-I35)/I35)</f>
        <v>0.01515151515</v>
      </c>
      <c r="K37" s="50">
        <f>(I37-(SUM(F36:F37)))/I37</f>
        <v>0.595166389</v>
      </c>
      <c r="L37" s="48">
        <f>I37-(SUM(F36:F37))</f>
        <v>398.7614806</v>
      </c>
      <c r="M37" s="50">
        <f>((L37-L35)/L35)</f>
        <v>0.03726309573</v>
      </c>
      <c r="N37" s="36"/>
      <c r="O37" s="51"/>
      <c r="P37" s="38"/>
      <c r="Q37" s="38"/>
      <c r="R37" s="39"/>
      <c r="S37" s="40"/>
      <c r="T37" s="22"/>
      <c r="U37" s="41"/>
      <c r="V37" s="4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>
      <c r="A38" s="26" t="str">
        <f t="array" ref="A38">XLOOKUP($B38,'Maestro de productos 2024'!$A$3:$A$163,'Maestro de productos 2024'!$B$3:$B$163,0)</f>
        <v>ID-3824</v>
      </c>
      <c r="B38" s="27" t="s">
        <v>34</v>
      </c>
      <c r="C38" s="30">
        <f t="array" ref="C38">XLOOKUP(B38,'Maestro de productos 2024'!$B$189:$B$196,'Maestro de productos 2024'!$D$189:$D$196,"No encontrado",0)</f>
        <v>10</v>
      </c>
      <c r="D38" s="30">
        <f t="array" ref="D38">XLOOKUP(B38,'Maestro de productos 2024'!$B$189:$B$196,'Maestro de productos 2024'!$E$189:$E$196,"No encontrado",0)</f>
        <v>3.337551282</v>
      </c>
      <c r="E38" s="31">
        <f t="shared" si="1"/>
        <v>6.662448718</v>
      </c>
      <c r="F38" s="32">
        <f>('Base de datos transacciones'!$H38)*$D38</f>
        <v>106.801641</v>
      </c>
      <c r="G38" s="32">
        <f>'Base de datos transacciones'!$H38*$C38</f>
        <v>320</v>
      </c>
      <c r="H38" s="32">
        <f t="shared" si="2"/>
        <v>213.198359</v>
      </c>
      <c r="I38" s="34"/>
      <c r="J38" s="35"/>
      <c r="K38" s="35"/>
      <c r="L38" s="34"/>
      <c r="M38" s="35"/>
      <c r="N38" s="36"/>
      <c r="O38" s="51"/>
      <c r="P38" s="38"/>
      <c r="Q38" s="38"/>
      <c r="R38" s="39"/>
      <c r="S38" s="40"/>
      <c r="T38" s="22"/>
      <c r="U38" s="41"/>
      <c r="V38" s="4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>
      <c r="A39" s="26" t="str">
        <f t="array" ref="A39">XLOOKUP($B39,'Maestro de productos 2024'!$A$3:$A$163,'Maestro de productos 2024'!$B$3:$B$163,0)</f>
        <v>ID-3828</v>
      </c>
      <c r="B39" s="27" t="s">
        <v>38</v>
      </c>
      <c r="C39" s="30">
        <f t="array" ref="C39">XLOOKUP(B39,'Maestro de productos 2024'!$B$189:$B$196,'Maestro de productos 2024'!$D$189:$D$196,"No encontrado",0)</f>
        <v>20</v>
      </c>
      <c r="D39" s="30">
        <f t="array" ref="D39">XLOOKUP(B39,'Maestro de productos 2024'!$B$189:$B$196,'Maestro de productos 2024'!$E$189:$E$196,"No encontrado",0)</f>
        <v>7.301064103</v>
      </c>
      <c r="E39" s="31">
        <f t="shared" si="1"/>
        <v>12.6989359</v>
      </c>
      <c r="F39" s="32">
        <f>('Base de datos transacciones'!$H39)*$D39</f>
        <v>175.2255385</v>
      </c>
      <c r="G39" s="32">
        <f>'Base de datos transacciones'!$H39*$C39</f>
        <v>480</v>
      </c>
      <c r="H39" s="32">
        <f t="shared" si="2"/>
        <v>304.7744615</v>
      </c>
      <c r="I39" s="34">
        <f>SUM(G38:G39)</f>
        <v>800</v>
      </c>
      <c r="J39" s="35">
        <f>((I39-I37)/I37)</f>
        <v>0.1940298507</v>
      </c>
      <c r="K39" s="35">
        <f>(I39-(SUM(F38:F39)))/I39</f>
        <v>0.6474660256</v>
      </c>
      <c r="L39" s="34">
        <f>I39-(SUM(F38:F39))</f>
        <v>517.9728205</v>
      </c>
      <c r="M39" s="35">
        <f>((L39-L37)/L37)</f>
        <v>0.2989540005</v>
      </c>
      <c r="N39" s="36"/>
      <c r="O39" s="51"/>
      <c r="P39" s="38"/>
      <c r="Q39" s="38"/>
      <c r="R39" s="39"/>
      <c r="S39" s="40"/>
      <c r="T39" s="22"/>
      <c r="U39" s="41"/>
      <c r="V39" s="4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>
      <c r="A40" s="43" t="str">
        <f t="array" ref="A40">XLOOKUP($B40,'Maestro de productos 2024'!$A$3:$A$163,'Maestro de productos 2024'!$B$3:$B$163,0)</f>
        <v>ID-3826</v>
      </c>
      <c r="B40" s="44" t="s">
        <v>35</v>
      </c>
      <c r="C40" s="45">
        <f t="array" ref="C40">XLOOKUP(B40,'Maestro de productos 2024'!$B$189:$B$196,'Maestro de productos 2024'!$D$189:$D$196,"No encontrado",0)</f>
        <v>20</v>
      </c>
      <c r="D40" s="45">
        <f t="array" ref="D40">XLOOKUP(B40,'Maestro de productos 2024'!$B$189:$B$196,'Maestro de productos 2024'!$E$189:$E$196,"No encontrado",0)</f>
        <v>7.103972222</v>
      </c>
      <c r="E40" s="46">
        <f t="shared" si="1"/>
        <v>12.89602778</v>
      </c>
      <c r="F40" s="47">
        <f>('Base de datos transacciones'!$H40)*$D40</f>
        <v>127.8715</v>
      </c>
      <c r="G40" s="47">
        <f>'Base de datos transacciones'!$H40*$C40</f>
        <v>360</v>
      </c>
      <c r="H40" s="47">
        <f t="shared" si="2"/>
        <v>232.1285</v>
      </c>
      <c r="I40" s="48"/>
      <c r="J40" s="50"/>
      <c r="K40" s="50"/>
      <c r="L40" s="48"/>
      <c r="M40" s="50"/>
      <c r="N40" s="36"/>
      <c r="O40" s="51"/>
      <c r="P40" s="38"/>
      <c r="Q40" s="38"/>
      <c r="R40" s="39"/>
      <c r="S40" s="40"/>
      <c r="T40" s="22"/>
      <c r="U40" s="41"/>
      <c r="V40" s="4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>
      <c r="A41" s="43" t="str">
        <f t="array" ref="A41">XLOOKUP($B41,'Maestro de productos 2024'!$A$3:$A$163,'Maestro de productos 2024'!$B$3:$B$163,0)</f>
        <v>ID-3830</v>
      </c>
      <c r="B41" s="44" t="s">
        <v>108</v>
      </c>
      <c r="C41" s="45">
        <f t="array" ref="C41">XLOOKUP(B41,'Maestro de productos 2024'!$B$189:$B$196,'Maestro de productos 2024'!$D$189:$D$196,"No encontrado",0)</f>
        <v>25</v>
      </c>
      <c r="D41" s="45">
        <f t="array" ref="D41">XLOOKUP(B41,'Maestro de productos 2024'!$B$189:$B$196,'Maestro de productos 2024'!$E$189:$E$196,"No encontrado",0)</f>
        <v>10.93666667</v>
      </c>
      <c r="E41" s="46">
        <f t="shared" si="1"/>
        <v>14.06333333</v>
      </c>
      <c r="F41" s="47">
        <f>('Base de datos transacciones'!$H41)*$D41</f>
        <v>174.9866667</v>
      </c>
      <c r="G41" s="47">
        <f>'Base de datos transacciones'!$H41*$C41</f>
        <v>400</v>
      </c>
      <c r="H41" s="47">
        <f t="shared" si="2"/>
        <v>225.0133333</v>
      </c>
      <c r="I41" s="48">
        <f>SUM(G40:G41)</f>
        <v>760</v>
      </c>
      <c r="J41" s="50">
        <f>((I41-I39)/I39)</f>
        <v>-0.05</v>
      </c>
      <c r="K41" s="50">
        <f>(I41-(SUM(F40:F41)))/I41</f>
        <v>0.6015024123</v>
      </c>
      <c r="L41" s="48">
        <f>I41-(SUM(F40:F41))</f>
        <v>457.1418333</v>
      </c>
      <c r="M41" s="50">
        <f>((L41-L39)/L39)</f>
        <v>-0.1174405003</v>
      </c>
      <c r="N41" s="36"/>
      <c r="O41" s="51"/>
      <c r="P41" s="38"/>
      <c r="Q41" s="38"/>
      <c r="R41" s="39"/>
      <c r="S41" s="40"/>
      <c r="T41" s="22"/>
      <c r="U41" s="41"/>
      <c r="V41" s="4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>
      <c r="A42" s="26" t="str">
        <f t="array" ref="A42">XLOOKUP($B42,'Maestro de productos 2024'!$A$3:$A$163,'Maestro de productos 2024'!$B$3:$B$163,0)</f>
        <v>ID-3825</v>
      </c>
      <c r="B42" s="27" t="s">
        <v>37</v>
      </c>
      <c r="C42" s="30">
        <f t="array" ref="C42">XLOOKUP(B42,'Maestro de productos 2024'!$B$189:$B$196,'Maestro de productos 2024'!$D$189:$D$196,"No encontrado",0)</f>
        <v>20</v>
      </c>
      <c r="D42" s="30">
        <f t="array" ref="D42">XLOOKUP(B42,'Maestro de productos 2024'!$B$189:$B$196,'Maestro de productos 2024'!$E$189:$E$196,"No encontrado",0)</f>
        <v>7.609146242</v>
      </c>
      <c r="E42" s="31">
        <f t="shared" si="1"/>
        <v>12.39085376</v>
      </c>
      <c r="F42" s="32">
        <f>('Base de datos transacciones'!$H42)*$D42</f>
        <v>121.7463399</v>
      </c>
      <c r="G42" s="32">
        <f>'Base de datos transacciones'!$H42*$C42</f>
        <v>320</v>
      </c>
      <c r="H42" s="32">
        <f t="shared" si="2"/>
        <v>198.2536601</v>
      </c>
      <c r="I42" s="34"/>
      <c r="J42" s="35"/>
      <c r="K42" s="35"/>
      <c r="L42" s="34"/>
      <c r="M42" s="35"/>
      <c r="N42" s="36"/>
      <c r="O42" s="51"/>
      <c r="P42" s="38"/>
      <c r="Q42" s="38"/>
      <c r="R42" s="39"/>
      <c r="S42" s="40"/>
      <c r="T42" s="22"/>
      <c r="U42" s="41"/>
      <c r="V42" s="4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>
      <c r="A43" s="26" t="str">
        <f t="array" ref="A43">XLOOKUP($B43,'Maestro de productos 2024'!$A$3:$A$163,'Maestro de productos 2024'!$B$3:$B$163,0)</f>
        <v>ID-3828</v>
      </c>
      <c r="B43" s="27" t="s">
        <v>38</v>
      </c>
      <c r="C43" s="30">
        <f t="array" ref="C43">XLOOKUP(B43,'Maestro de productos 2024'!$B$189:$B$196,'Maestro de productos 2024'!$D$189:$D$196,"No encontrado",0)</f>
        <v>20</v>
      </c>
      <c r="D43" s="30">
        <f t="array" ref="D43">XLOOKUP(B43,'Maestro de productos 2024'!$B$189:$B$196,'Maestro de productos 2024'!$E$189:$E$196,"No encontrado",0)</f>
        <v>7.301064103</v>
      </c>
      <c r="E43" s="31">
        <f t="shared" si="1"/>
        <v>12.6989359</v>
      </c>
      <c r="F43" s="32">
        <f>('Base de datos transacciones'!$H43)*$D43</f>
        <v>175.2255385</v>
      </c>
      <c r="G43" s="32">
        <f>'Base de datos transacciones'!$H43*$C43</f>
        <v>480</v>
      </c>
      <c r="H43" s="32">
        <f t="shared" si="2"/>
        <v>304.7744615</v>
      </c>
      <c r="I43" s="34">
        <f>SUM(G42:G43)</f>
        <v>800</v>
      </c>
      <c r="J43" s="35">
        <f>((I43-I41)/I41)</f>
        <v>0.05263157895</v>
      </c>
      <c r="K43" s="35">
        <f>(I43-(SUM(F42:F43)))/I43</f>
        <v>0.6287851521</v>
      </c>
      <c r="L43" s="34">
        <f>I43-(SUM(F42:F43))</f>
        <v>503.0281217</v>
      </c>
      <c r="M43" s="35">
        <f>((L43-L41)/L41)</f>
        <v>0.1003764805</v>
      </c>
      <c r="N43" s="36"/>
      <c r="O43" s="51"/>
      <c r="P43" s="38"/>
      <c r="Q43" s="38"/>
      <c r="R43" s="39"/>
      <c r="S43" s="40"/>
      <c r="T43" s="22"/>
      <c r="U43" s="41"/>
      <c r="V43" s="4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>
      <c r="A44" s="43" t="str">
        <f t="array" ref="A44">XLOOKUP($B44,'Maestro de productos 2024'!$A$3:$A$163,'Maestro de productos 2024'!$B$3:$B$163,0)</f>
        <v>ID-3829</v>
      </c>
      <c r="B44" s="44" t="s">
        <v>97</v>
      </c>
      <c r="C44" s="45">
        <f t="array" ref="C44">XLOOKUP(B44,'Maestro de productos 2024'!$B$189:$B$196,'Maestro de productos 2024'!$D$189:$D$196,"No encontrado",0)</f>
        <v>7</v>
      </c>
      <c r="D44" s="45">
        <f t="array" ref="D44">XLOOKUP(B44,'Maestro de productos 2024'!$B$189:$B$196,'Maestro de productos 2024'!$E$189:$E$196,"No encontrado",0)</f>
        <v>2.98984359</v>
      </c>
      <c r="E44" s="46">
        <f t="shared" si="1"/>
        <v>4.01015641</v>
      </c>
      <c r="F44" s="47">
        <f>('Base de datos transacciones'!$H44)*$D44</f>
        <v>149.4921795</v>
      </c>
      <c r="G44" s="47">
        <f>'Base de datos transacciones'!$H44*$C44</f>
        <v>350</v>
      </c>
      <c r="H44" s="47">
        <f t="shared" si="2"/>
        <v>200.5078205</v>
      </c>
      <c r="I44" s="48"/>
      <c r="J44" s="50"/>
      <c r="K44" s="50"/>
      <c r="L44" s="48"/>
      <c r="M44" s="50"/>
      <c r="N44" s="36"/>
      <c r="O44" s="51"/>
      <c r="P44" s="38"/>
      <c r="Q44" s="38"/>
      <c r="R44" s="39"/>
      <c r="S44" s="40"/>
      <c r="T44" s="22"/>
      <c r="U44" s="41"/>
      <c r="V44" s="4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>
      <c r="A45" s="43" t="str">
        <f t="array" ref="A45">XLOOKUP($B45,'Maestro de productos 2024'!$A$3:$A$163,'Maestro de productos 2024'!$B$3:$B$163,0)</f>
        <v>ID-3827</v>
      </c>
      <c r="B45" s="44" t="s">
        <v>36</v>
      </c>
      <c r="C45" s="45">
        <f t="array" ref="C45">XLOOKUP(B45,'Maestro de productos 2024'!$B$189:$B$196,'Maestro de productos 2024'!$D$189:$D$196,"No encontrado",0)</f>
        <v>7</v>
      </c>
      <c r="D45" s="45">
        <f t="array" ref="D45">XLOOKUP(B45,'Maestro de productos 2024'!$B$189:$B$196,'Maestro de productos 2024'!$E$189:$E$196,"No encontrado",0)</f>
        <v>2.623460073</v>
      </c>
      <c r="E45" s="46">
        <f t="shared" si="1"/>
        <v>4.376539927</v>
      </c>
      <c r="F45" s="47">
        <f>('Base de datos transacciones'!$H45)*$D45</f>
        <v>86.57418242</v>
      </c>
      <c r="G45" s="47">
        <f>'Base de datos transacciones'!$H45*$C45</f>
        <v>231</v>
      </c>
      <c r="H45" s="47">
        <f t="shared" si="2"/>
        <v>144.4258176</v>
      </c>
      <c r="I45" s="48">
        <f>SUM(G44:G45)</f>
        <v>581</v>
      </c>
      <c r="J45" s="50">
        <f>((I45-I43)/I43)</f>
        <v>-0.27375</v>
      </c>
      <c r="K45" s="50">
        <f>(I45-(SUM(F44:F45)))/I45</f>
        <v>0.5936895664</v>
      </c>
      <c r="L45" s="48">
        <f>I45-(SUM(F44:F45))</f>
        <v>344.9336381</v>
      </c>
      <c r="M45" s="50">
        <f>((L45-L43)/L43)</f>
        <v>-0.3142855772</v>
      </c>
      <c r="N45" s="36">
        <f>SUM(G37:G45)</f>
        <v>3291</v>
      </c>
      <c r="O45" s="51">
        <f>((N45-N36)/N36)</f>
        <v>0.1201497617</v>
      </c>
      <c r="P45" s="52">
        <f>(N45-SUM(F37:F45))/N45</f>
        <v>0.6148843009</v>
      </c>
      <c r="Q45" s="53">
        <f>N45-(SUM(F37:F45))</f>
        <v>2023.584234</v>
      </c>
      <c r="R45" s="54">
        <f>((Q45-Q36)/Q36)</f>
        <v>0.1163805164</v>
      </c>
      <c r="S45" s="40"/>
      <c r="T45" s="22"/>
      <c r="U45" s="41"/>
      <c r="V45" s="4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>
      <c r="A46" s="26" t="str">
        <f t="array" ref="A46">XLOOKUP($B46,'Maestro de productos 2024'!$A$3:$A$163,'Maestro de productos 2024'!$B$3:$B$163,0)</f>
        <v>ID-3824</v>
      </c>
      <c r="B46" s="27" t="s">
        <v>34</v>
      </c>
      <c r="C46" s="30">
        <f t="array" ref="C46">XLOOKUP(B46,'Maestro de productos 2024'!$B$189:$B$196,'Maestro de productos 2024'!$D$189:$D$196,"No encontrado",0)</f>
        <v>10</v>
      </c>
      <c r="D46" s="30">
        <f t="array" ref="D46">XLOOKUP(B46,'Maestro de productos 2024'!$B$189:$B$196,'Maestro de productos 2024'!$E$189:$E$196,"No encontrado",0)</f>
        <v>3.337551282</v>
      </c>
      <c r="E46" s="31">
        <f t="shared" si="1"/>
        <v>6.662448718</v>
      </c>
      <c r="F46" s="32">
        <f>('Base de datos transacciones'!$H46)*$D46</f>
        <v>93.4514359</v>
      </c>
      <c r="G46" s="32">
        <f>'Base de datos transacciones'!$H46*$C46</f>
        <v>280</v>
      </c>
      <c r="H46" s="32">
        <f t="shared" si="2"/>
        <v>186.5485641</v>
      </c>
      <c r="I46" s="34"/>
      <c r="J46" s="35"/>
      <c r="K46" s="35"/>
      <c r="L46" s="34"/>
      <c r="M46" s="35"/>
      <c r="N46" s="36"/>
      <c r="O46" s="51"/>
      <c r="P46" s="38"/>
      <c r="Q46" s="38"/>
      <c r="R46" s="39"/>
      <c r="S46" s="40"/>
      <c r="T46" s="22"/>
      <c r="U46" s="41"/>
      <c r="V46" s="4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>
      <c r="A47" s="26" t="str">
        <f t="array" ref="A47">XLOOKUP($B47,'Maestro de productos 2024'!$A$3:$A$163,'Maestro de productos 2024'!$B$3:$B$163,0)</f>
        <v>ID-3825</v>
      </c>
      <c r="B47" s="27" t="s">
        <v>37</v>
      </c>
      <c r="C47" s="30">
        <f t="array" ref="C47">XLOOKUP(B47,'Maestro de productos 2024'!$B$189:$B$196,'Maestro de productos 2024'!$D$189:$D$196,"No encontrado",0)</f>
        <v>20</v>
      </c>
      <c r="D47" s="30">
        <f t="array" ref="D47">XLOOKUP(B47,'Maestro de productos 2024'!$B$189:$B$196,'Maestro de productos 2024'!$E$189:$E$196,"No encontrado",0)</f>
        <v>7.609146242</v>
      </c>
      <c r="E47" s="31">
        <f t="shared" si="1"/>
        <v>12.39085376</v>
      </c>
      <c r="F47" s="32">
        <f>('Base de datos transacciones'!$H47)*$D47</f>
        <v>106.5280474</v>
      </c>
      <c r="G47" s="32">
        <f>'Base de datos transacciones'!$H47*$C47</f>
        <v>280</v>
      </c>
      <c r="H47" s="32">
        <f t="shared" si="2"/>
        <v>173.4719526</v>
      </c>
      <c r="I47" s="34">
        <f>SUM(G46:G47)</f>
        <v>560</v>
      </c>
      <c r="J47" s="35">
        <f>((I47-I45)/I45)</f>
        <v>-0.03614457831</v>
      </c>
      <c r="K47" s="35">
        <f>(I47-(SUM(F46:F47)))/I47</f>
        <v>0.6428937799</v>
      </c>
      <c r="L47" s="34">
        <f>I47-(SUM(F46:F47))</f>
        <v>360.0205167</v>
      </c>
      <c r="M47" s="35">
        <f>((L47-L45)/L45)</f>
        <v>0.04373849621</v>
      </c>
      <c r="N47" s="36"/>
      <c r="O47" s="51"/>
      <c r="P47" s="38"/>
      <c r="Q47" s="38"/>
      <c r="R47" s="39"/>
      <c r="S47" s="40"/>
      <c r="T47" s="22"/>
      <c r="U47" s="41"/>
      <c r="V47" s="4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>
      <c r="A48" s="26" t="str">
        <f t="array" ref="A48">XLOOKUP($B48,'Maestro de productos 2024'!$A$3:$A$163,'Maestro de productos 2024'!$B$3:$B$163,0)</f>
        <v>ID-3831</v>
      </c>
      <c r="B48" s="44" t="s">
        <v>109</v>
      </c>
      <c r="C48" s="45">
        <f t="array" ref="C48">XLOOKUP(B48,'Maestro de productos 2024'!$B$189:$B$196,'Maestro de productos 2024'!$D$189:$D$196,"No encontrado",0)</f>
        <v>20</v>
      </c>
      <c r="D48" s="45">
        <f t="array" ref="D48">XLOOKUP(B48,'Maestro de productos 2024'!$B$189:$B$196,'Maestro de productos 2024'!$E$189:$E$196,"No encontrado",0)</f>
        <v>7.05492674</v>
      </c>
      <c r="E48" s="46">
        <f t="shared" si="1"/>
        <v>12.94507326</v>
      </c>
      <c r="F48" s="47">
        <f>('Base de datos transacciones'!$H48)*$D48</f>
        <v>197.5379487</v>
      </c>
      <c r="G48" s="47">
        <f>'Base de datos transacciones'!$H48*$C48</f>
        <v>560</v>
      </c>
      <c r="H48" s="47">
        <f t="shared" si="2"/>
        <v>362.4620513</v>
      </c>
      <c r="I48" s="48"/>
      <c r="J48" s="50"/>
      <c r="K48" s="50"/>
      <c r="L48" s="48"/>
      <c r="M48" s="50"/>
      <c r="N48" s="36"/>
      <c r="O48" s="51"/>
      <c r="P48" s="38"/>
      <c r="Q48" s="38"/>
      <c r="R48" s="39"/>
      <c r="S48" s="40"/>
      <c r="T48" s="22"/>
      <c r="U48" s="41"/>
      <c r="V48" s="4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>
      <c r="A49" s="26" t="str">
        <f t="array" ref="A49">XLOOKUP($B49,'Maestro de productos 2024'!$A$3:$A$163,'Maestro de productos 2024'!$B$3:$B$163,0)</f>
        <v>ID-3826</v>
      </c>
      <c r="B49" s="44" t="s">
        <v>35</v>
      </c>
      <c r="C49" s="45">
        <f t="array" ref="C49">XLOOKUP(B49,'Maestro de productos 2024'!$B$189:$B$196,'Maestro de productos 2024'!$D$189:$D$196,"No encontrado",0)</f>
        <v>20</v>
      </c>
      <c r="D49" s="45">
        <f t="array" ref="D49">XLOOKUP(B49,'Maestro de productos 2024'!$B$189:$B$196,'Maestro de productos 2024'!$E$189:$E$196,"No encontrado",0)</f>
        <v>7.103972222</v>
      </c>
      <c r="E49" s="46">
        <f t="shared" si="1"/>
        <v>12.89602778</v>
      </c>
      <c r="F49" s="47">
        <f>('Base de datos transacciones'!$H49)*$D49</f>
        <v>127.8715</v>
      </c>
      <c r="G49" s="47">
        <f>'Base de datos transacciones'!$H49*$C49</f>
        <v>360</v>
      </c>
      <c r="H49" s="47">
        <f t="shared" si="2"/>
        <v>232.1285</v>
      </c>
      <c r="I49" s="48">
        <f>SUM(G48:G49)</f>
        <v>920</v>
      </c>
      <c r="J49" s="50">
        <f>((I49-I47)/I47)</f>
        <v>0.6428571429</v>
      </c>
      <c r="K49" s="50">
        <f>(I49-(SUM(F48:F49)))/I49</f>
        <v>0.6462940775</v>
      </c>
      <c r="L49" s="48">
        <f>I49-(SUM(F48:F49))</f>
        <v>594.5905513</v>
      </c>
      <c r="M49" s="50">
        <f>((L49-L47)/L47)</f>
        <v>0.6515462972</v>
      </c>
      <c r="N49" s="36"/>
      <c r="O49" s="51"/>
      <c r="P49" s="38"/>
      <c r="Q49" s="38"/>
      <c r="R49" s="39"/>
      <c r="S49" s="40"/>
      <c r="T49" s="22"/>
      <c r="U49" s="41"/>
      <c r="V49" s="4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>
      <c r="A50" s="26" t="str">
        <f t="array" ref="A50">XLOOKUP($B50,'Maestro de productos 2024'!$A$3:$A$163,'Maestro de productos 2024'!$B$3:$B$163,0)</f>
        <v>ID-3828</v>
      </c>
      <c r="B50" s="27" t="s">
        <v>38</v>
      </c>
      <c r="C50" s="30">
        <f t="array" ref="C50">XLOOKUP(B50,'Maestro de productos 2024'!$B$189:$B$196,'Maestro de productos 2024'!$D$189:$D$196,"No encontrado",0)</f>
        <v>20</v>
      </c>
      <c r="D50" s="30">
        <f t="array" ref="D50">XLOOKUP(B50,'Maestro de productos 2024'!$B$189:$B$196,'Maestro de productos 2024'!$E$189:$E$196,"No encontrado",0)</f>
        <v>7.301064103</v>
      </c>
      <c r="E50" s="31">
        <f t="shared" si="1"/>
        <v>12.6989359</v>
      </c>
      <c r="F50" s="32">
        <f>('Base de datos transacciones'!$H50)*$D50</f>
        <v>87.61276923</v>
      </c>
      <c r="G50" s="32">
        <f>'Base de datos transacciones'!$H50*$C50</f>
        <v>240</v>
      </c>
      <c r="H50" s="32">
        <f t="shared" si="2"/>
        <v>152.3872308</v>
      </c>
      <c r="I50" s="34"/>
      <c r="J50" s="35"/>
      <c r="K50" s="35"/>
      <c r="L50" s="34"/>
      <c r="M50" s="35"/>
      <c r="N50" s="36"/>
      <c r="O50" s="51"/>
      <c r="P50" s="38"/>
      <c r="Q50" s="38"/>
      <c r="R50" s="39"/>
      <c r="S50" s="40"/>
      <c r="T50" s="22"/>
      <c r="U50" s="41"/>
      <c r="V50" s="4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>
      <c r="A51" s="26" t="str">
        <f t="array" ref="A51">XLOOKUP($B51,'Maestro de productos 2024'!$A$3:$A$163,'Maestro de productos 2024'!$B$3:$B$163,0)</f>
        <v>ID-3827</v>
      </c>
      <c r="B51" s="27" t="s">
        <v>36</v>
      </c>
      <c r="C51" s="30">
        <f t="array" ref="C51">XLOOKUP(B51,'Maestro de productos 2024'!$B$189:$B$196,'Maestro de productos 2024'!$D$189:$D$196,"No encontrado",0)</f>
        <v>7</v>
      </c>
      <c r="D51" s="30">
        <f t="array" ref="D51">XLOOKUP(B51,'Maestro de productos 2024'!$B$189:$B$196,'Maestro de productos 2024'!$E$189:$E$196,"No encontrado",0)</f>
        <v>2.623460073</v>
      </c>
      <c r="E51" s="31">
        <f t="shared" si="1"/>
        <v>4.376539927</v>
      </c>
      <c r="F51" s="32">
        <f>('Base de datos transacciones'!$H51)*$D51</f>
        <v>78.7038022</v>
      </c>
      <c r="G51" s="32">
        <f>'Base de datos transacciones'!$H51*$C51</f>
        <v>210</v>
      </c>
      <c r="H51" s="32">
        <f t="shared" si="2"/>
        <v>131.2961978</v>
      </c>
      <c r="I51" s="34">
        <f>SUM(G50:G51)</f>
        <v>450</v>
      </c>
      <c r="J51" s="35">
        <f>((I51-I49)/I49)</f>
        <v>-0.5108695652</v>
      </c>
      <c r="K51" s="35">
        <f>(I51-(SUM(F50:F51)))/I51</f>
        <v>0.630407619</v>
      </c>
      <c r="L51" s="34">
        <f>I51-(SUM(F50:F51))</f>
        <v>283.6834286</v>
      </c>
      <c r="M51" s="35">
        <f>((L51-L49)/L49)</f>
        <v>-0.5228928076</v>
      </c>
      <c r="N51" s="36"/>
      <c r="O51" s="51"/>
      <c r="P51" s="38"/>
      <c r="Q51" s="38"/>
      <c r="R51" s="39"/>
      <c r="S51" s="40"/>
      <c r="T51" s="22"/>
      <c r="U51" s="41"/>
      <c r="V51" s="4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>
      <c r="A52" s="43" t="str">
        <f t="array" ref="A52">XLOOKUP($B52,'Maestro de productos 2024'!$A$3:$A$163,'Maestro de productos 2024'!$B$3:$B$163,0)</f>
        <v>ID-3824</v>
      </c>
      <c r="B52" s="44" t="s">
        <v>34</v>
      </c>
      <c r="C52" s="45">
        <f t="array" ref="C52">XLOOKUP(B52,'Maestro de productos 2024'!$B$189:$B$196,'Maestro de productos 2024'!$D$189:$D$196,"No encontrado",0)</f>
        <v>10</v>
      </c>
      <c r="D52" s="45">
        <f t="array" ref="D52">XLOOKUP(B52,'Maestro de productos 2024'!$B$189:$B$196,'Maestro de productos 2024'!$E$189:$E$196,"No encontrado",0)</f>
        <v>3.337551282</v>
      </c>
      <c r="E52" s="46">
        <f t="shared" si="1"/>
        <v>6.662448718</v>
      </c>
      <c r="F52" s="47">
        <f>('Base de datos transacciones'!$H52)*$D52</f>
        <v>106.801641</v>
      </c>
      <c r="G52" s="47">
        <f>'Base de datos transacciones'!$H52*$C52</f>
        <v>320</v>
      </c>
      <c r="H52" s="47">
        <f t="shared" si="2"/>
        <v>213.198359</v>
      </c>
      <c r="I52" s="48"/>
      <c r="J52" s="50"/>
      <c r="K52" s="50"/>
      <c r="L52" s="48"/>
      <c r="M52" s="50"/>
      <c r="N52" s="36"/>
      <c r="O52" s="51"/>
      <c r="P52" s="38"/>
      <c r="Q52" s="38"/>
      <c r="R52" s="39"/>
      <c r="S52" s="40"/>
      <c r="T52" s="22"/>
      <c r="U52" s="41"/>
      <c r="V52" s="4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>
      <c r="A53" s="43" t="str">
        <f t="array" ref="A53">XLOOKUP($B53,'Maestro de productos 2024'!$A$3:$A$163,'Maestro de productos 2024'!$B$3:$B$163,0)</f>
        <v>ID-3830</v>
      </c>
      <c r="B53" s="44" t="s">
        <v>108</v>
      </c>
      <c r="C53" s="45">
        <f t="array" ref="C53">XLOOKUP(B53,'Maestro de productos 2024'!$B$189:$B$196,'Maestro de productos 2024'!$D$189:$D$196,"No encontrado",0)</f>
        <v>25</v>
      </c>
      <c r="D53" s="45">
        <f t="array" ref="D53">XLOOKUP(B53,'Maestro de productos 2024'!$B$189:$B$196,'Maestro de productos 2024'!$E$189:$E$196,"No encontrado",0)</f>
        <v>10.93666667</v>
      </c>
      <c r="E53" s="46">
        <f t="shared" si="1"/>
        <v>14.06333333</v>
      </c>
      <c r="F53" s="47">
        <f>('Base de datos transacciones'!$H53)*$D53</f>
        <v>164.05</v>
      </c>
      <c r="G53" s="47">
        <f>'Base de datos transacciones'!$H53*$C53</f>
        <v>375</v>
      </c>
      <c r="H53" s="47">
        <f t="shared" si="2"/>
        <v>210.95</v>
      </c>
      <c r="I53" s="48">
        <f>SUM(G52:G53)</f>
        <v>695</v>
      </c>
      <c r="J53" s="50">
        <f>((I53-I51)/I51)</f>
        <v>0.5444444444</v>
      </c>
      <c r="K53" s="50">
        <f>(I53-(SUM(F52:F53)))/I53</f>
        <v>0.6102854086</v>
      </c>
      <c r="L53" s="48">
        <f>I53-(SUM(F52:F53))</f>
        <v>424.148359</v>
      </c>
      <c r="M53" s="50">
        <f>((L53-L51)/L51)</f>
        <v>0.4951467596</v>
      </c>
      <c r="N53" s="36">
        <f>SUM(G46:G53)</f>
        <v>2625</v>
      </c>
      <c r="O53" s="51">
        <f>((N53-N45)/N45)</f>
        <v>-0.2023701003</v>
      </c>
      <c r="P53" s="52">
        <f>(N53-SUM(F46:F53))/N53</f>
        <v>0.633311564</v>
      </c>
      <c r="Q53" s="53">
        <f>N53-(SUM(F46:F53))</f>
        <v>1662.442856</v>
      </c>
      <c r="R53" s="54">
        <f>((Q53-Q45)/Q45)</f>
        <v>-0.178466195</v>
      </c>
      <c r="S53" s="40"/>
      <c r="T53" s="22"/>
      <c r="U53" s="41"/>
      <c r="V53" s="4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>
      <c r="A54" s="26" t="str">
        <f t="array" ref="A54">XLOOKUP($B54,'Maestro de productos 2024'!$A$3:$A$163,'Maestro de productos 2024'!$B$3:$B$163,0)</f>
        <v>ID-3829</v>
      </c>
      <c r="B54" s="27" t="s">
        <v>97</v>
      </c>
      <c r="C54" s="30">
        <f t="array" ref="C54">XLOOKUP(B54,'Maestro de productos 2024'!$B$189:$B$196,'Maestro de productos 2024'!$D$189:$D$196,"No encontrado",0)</f>
        <v>7</v>
      </c>
      <c r="D54" s="30">
        <f t="array" ref="D54">XLOOKUP(B54,'Maestro de productos 2024'!$B$189:$B$196,'Maestro de productos 2024'!$E$189:$E$196,"No encontrado",0)</f>
        <v>2.98984359</v>
      </c>
      <c r="E54" s="31">
        <f t="shared" si="1"/>
        <v>4.01015641</v>
      </c>
      <c r="F54" s="32">
        <f>('Base de datos transacciones'!$H54)*$D54</f>
        <v>143.5124923</v>
      </c>
      <c r="G54" s="32">
        <f>'Base de datos transacciones'!$H54*$C54</f>
        <v>336</v>
      </c>
      <c r="H54" s="32">
        <f t="shared" si="2"/>
        <v>192.4875077</v>
      </c>
      <c r="I54" s="34"/>
      <c r="J54" s="35"/>
      <c r="K54" s="35"/>
      <c r="L54" s="34"/>
      <c r="M54" s="35"/>
      <c r="N54" s="36"/>
      <c r="O54" s="51"/>
      <c r="P54" s="38"/>
      <c r="Q54" s="38"/>
      <c r="R54" s="39"/>
      <c r="S54" s="40"/>
      <c r="T54" s="22"/>
      <c r="U54" s="41"/>
      <c r="V54" s="4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>
      <c r="A55" s="26" t="str">
        <f t="array" ref="A55">XLOOKUP($B55,'Maestro de productos 2024'!$A$3:$A$163,'Maestro de productos 2024'!$B$3:$B$163,0)</f>
        <v>ID-3824</v>
      </c>
      <c r="B55" s="27" t="s">
        <v>34</v>
      </c>
      <c r="C55" s="30">
        <f t="array" ref="C55">XLOOKUP(B55,'Maestro de productos 2024'!$B$189:$B$196,'Maestro de productos 2024'!$D$189:$D$196,"No encontrado",0)</f>
        <v>10</v>
      </c>
      <c r="D55" s="30">
        <f t="array" ref="D55">XLOOKUP(B55,'Maestro de productos 2024'!$B$189:$B$196,'Maestro de productos 2024'!$E$189:$E$196,"No encontrado",0)</f>
        <v>3.337551282</v>
      </c>
      <c r="E55" s="31">
        <f t="shared" si="1"/>
        <v>6.662448718</v>
      </c>
      <c r="F55" s="32">
        <f>('Base de datos transacciones'!$H55)*$D55</f>
        <v>106.801641</v>
      </c>
      <c r="G55" s="32">
        <f>'Base de datos transacciones'!$H55*$C55</f>
        <v>320</v>
      </c>
      <c r="H55" s="32">
        <f t="shared" si="2"/>
        <v>213.198359</v>
      </c>
      <c r="I55" s="34">
        <f>SUM(G54:G55)</f>
        <v>656</v>
      </c>
      <c r="J55" s="35">
        <f>((I55-I53)/I53)</f>
        <v>-0.05611510791</v>
      </c>
      <c r="K55" s="35">
        <f>(I55-(SUM(F54:F55)))/I55</f>
        <v>0.6184235772</v>
      </c>
      <c r="L55" s="34">
        <f>I55-(SUM(F54:F55))</f>
        <v>405.6858667</v>
      </c>
      <c r="M55" s="35">
        <f>((L55-L53)/L53)</f>
        <v>-0.04352838321</v>
      </c>
      <c r="N55" s="36"/>
      <c r="O55" s="51"/>
      <c r="P55" s="38"/>
      <c r="Q55" s="38"/>
      <c r="R55" s="39"/>
      <c r="S55" s="40"/>
      <c r="T55" s="22"/>
      <c r="U55" s="41"/>
      <c r="V55" s="4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>
      <c r="A56" s="43" t="str">
        <f t="array" ref="A56">XLOOKUP($B56,'Maestro de productos 2024'!$A$3:$A$163,'Maestro de productos 2024'!$B$3:$B$163,0)</f>
        <v>ID-3828</v>
      </c>
      <c r="B56" s="44" t="s">
        <v>38</v>
      </c>
      <c r="C56" s="45">
        <f t="array" ref="C56">XLOOKUP(B56,'Maestro de productos 2024'!$B$189:$B$196,'Maestro de productos 2024'!$D$189:$D$196,"No encontrado",0)</f>
        <v>20</v>
      </c>
      <c r="D56" s="45">
        <f t="array" ref="D56">XLOOKUP(B56,'Maestro de productos 2024'!$B$189:$B$196,'Maestro de productos 2024'!$E$189:$E$196,"No encontrado",0)</f>
        <v>7.301064103</v>
      </c>
      <c r="E56" s="46">
        <f t="shared" si="1"/>
        <v>12.6989359</v>
      </c>
      <c r="F56" s="47">
        <f>('Base de datos transacciones'!$H56)*$D56</f>
        <v>175.2255385</v>
      </c>
      <c r="G56" s="47">
        <f>'Base de datos transacciones'!$H56*$C56</f>
        <v>480</v>
      </c>
      <c r="H56" s="47">
        <f t="shared" si="2"/>
        <v>304.7744615</v>
      </c>
      <c r="I56" s="48"/>
      <c r="J56" s="50"/>
      <c r="K56" s="50"/>
      <c r="L56" s="48"/>
      <c r="M56" s="50"/>
      <c r="N56" s="36"/>
      <c r="O56" s="51"/>
      <c r="P56" s="38"/>
      <c r="Q56" s="38"/>
      <c r="R56" s="39"/>
      <c r="S56" s="40"/>
      <c r="T56" s="22"/>
      <c r="U56" s="41"/>
      <c r="V56" s="4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>
      <c r="A57" s="43" t="str">
        <f t="array" ref="A57">XLOOKUP($B57,'Maestro de productos 2024'!$A$3:$A$163,'Maestro de productos 2024'!$B$3:$B$163,0)</f>
        <v>ID-3826</v>
      </c>
      <c r="B57" s="44" t="s">
        <v>35</v>
      </c>
      <c r="C57" s="45">
        <f t="array" ref="C57">XLOOKUP(B57,'Maestro de productos 2024'!$B$189:$B$196,'Maestro de productos 2024'!$D$189:$D$196,"No encontrado",0)</f>
        <v>20</v>
      </c>
      <c r="D57" s="45">
        <f t="array" ref="D57">XLOOKUP(B57,'Maestro de productos 2024'!$B$189:$B$196,'Maestro de productos 2024'!$E$189:$E$196,"No encontrado",0)</f>
        <v>7.103972222</v>
      </c>
      <c r="E57" s="46">
        <f t="shared" si="1"/>
        <v>12.89602778</v>
      </c>
      <c r="F57" s="47">
        <f>('Base de datos transacciones'!$H57)*$D57</f>
        <v>127.8715</v>
      </c>
      <c r="G57" s="47">
        <f>'Base de datos transacciones'!$H57*$C57</f>
        <v>360</v>
      </c>
      <c r="H57" s="47">
        <f t="shared" si="2"/>
        <v>232.1285</v>
      </c>
      <c r="I57" s="48">
        <f>SUM(G56:G57)</f>
        <v>840</v>
      </c>
      <c r="J57" s="50">
        <f>((I57-I55)/I55)</f>
        <v>0.2804878049</v>
      </c>
      <c r="K57" s="50">
        <f>(I57-(SUM(F56:F57)))/I57</f>
        <v>0.6391701923</v>
      </c>
      <c r="L57" s="48">
        <f>I57-(SUM(F56:F57))</f>
        <v>536.9029615</v>
      </c>
      <c r="M57" s="50">
        <f>((L57-L55)/L55)</f>
        <v>0.3234450733</v>
      </c>
      <c r="N57" s="36"/>
      <c r="O57" s="51"/>
      <c r="P57" s="38"/>
      <c r="Q57" s="38"/>
      <c r="R57" s="39"/>
      <c r="S57" s="40"/>
      <c r="T57" s="22"/>
      <c r="U57" s="41"/>
      <c r="V57" s="4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>
      <c r="A58" s="26" t="str">
        <f t="array" ref="A58">XLOOKUP($B58,'Maestro de productos 2024'!$A$3:$A$163,'Maestro de productos 2024'!$B$3:$B$163,0)</f>
        <v>ID-3828</v>
      </c>
      <c r="B58" s="27" t="s">
        <v>38</v>
      </c>
      <c r="C58" s="30">
        <f t="array" ref="C58">XLOOKUP(B58,'Maestro de productos 2024'!$B$189:$B$196,'Maestro de productos 2024'!$D$189:$D$196,"No encontrado",0)</f>
        <v>20</v>
      </c>
      <c r="D58" s="30">
        <f t="array" ref="D58">XLOOKUP(B58,'Maestro de productos 2024'!$B$189:$B$196,'Maestro de productos 2024'!$E$189:$E$196,"No encontrado",0)</f>
        <v>7.301064103</v>
      </c>
      <c r="E58" s="31">
        <f t="shared" si="1"/>
        <v>12.6989359</v>
      </c>
      <c r="F58" s="32">
        <f>('Base de datos transacciones'!$H58)*$D58</f>
        <v>87.61276923</v>
      </c>
      <c r="G58" s="32">
        <f>'Base de datos transacciones'!$H58*$C58</f>
        <v>240</v>
      </c>
      <c r="H58" s="32">
        <f t="shared" si="2"/>
        <v>152.3872308</v>
      </c>
      <c r="I58" s="34"/>
      <c r="J58" s="35"/>
      <c r="K58" s="35"/>
      <c r="L58" s="34"/>
      <c r="M58" s="35"/>
      <c r="N58" s="36"/>
      <c r="O58" s="51"/>
      <c r="P58" s="38"/>
      <c r="Q58" s="38"/>
      <c r="R58" s="39"/>
      <c r="S58" s="40"/>
      <c r="T58" s="22"/>
      <c r="U58" s="41"/>
      <c r="V58" s="4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>
      <c r="A59" s="26" t="str">
        <f t="array" ref="A59">XLOOKUP($B59,'Maestro de productos 2024'!$A$3:$A$163,'Maestro de productos 2024'!$B$3:$B$163,0)</f>
        <v>ID-3824</v>
      </c>
      <c r="B59" s="27" t="s">
        <v>34</v>
      </c>
      <c r="C59" s="30">
        <f t="array" ref="C59">XLOOKUP(B59,'Maestro de productos 2024'!$B$189:$B$196,'Maestro de productos 2024'!$D$189:$D$196,"No encontrado",0)</f>
        <v>10</v>
      </c>
      <c r="D59" s="30">
        <f t="array" ref="D59">XLOOKUP(B59,'Maestro de productos 2024'!$B$189:$B$196,'Maestro de productos 2024'!$E$189:$E$196,"No encontrado",0)</f>
        <v>3.337551282</v>
      </c>
      <c r="E59" s="31">
        <f t="shared" si="1"/>
        <v>6.662448718</v>
      </c>
      <c r="F59" s="32">
        <f>('Base de datos transacciones'!$H59)*$D59</f>
        <v>106.801641</v>
      </c>
      <c r="G59" s="32">
        <f>'Base de datos transacciones'!$H59*$C59</f>
        <v>320</v>
      </c>
      <c r="H59" s="32">
        <f t="shared" si="2"/>
        <v>213.198359</v>
      </c>
      <c r="I59" s="34">
        <f>SUM(G58:G59)</f>
        <v>560</v>
      </c>
      <c r="J59" s="35">
        <f>((I59-I57)/I57)</f>
        <v>-0.3333333333</v>
      </c>
      <c r="K59" s="35">
        <f>(I59-(SUM(F58:F59)))/I59</f>
        <v>0.6528314103</v>
      </c>
      <c r="L59" s="34">
        <f>I59-(SUM(F58:F59))</f>
        <v>365.5855897</v>
      </c>
      <c r="M59" s="35">
        <f>((L59-L57)/L57)</f>
        <v>-0.3190844232</v>
      </c>
      <c r="N59" s="36"/>
      <c r="O59" s="51"/>
      <c r="P59" s="38"/>
      <c r="Q59" s="38"/>
      <c r="R59" s="39"/>
      <c r="S59" s="40"/>
      <c r="T59" s="22"/>
      <c r="U59" s="41"/>
      <c r="V59" s="4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>
      <c r="A60" s="43" t="str">
        <f t="array" ref="A60">XLOOKUP($B60,'Maestro de productos 2024'!$A$3:$A$163,'Maestro de productos 2024'!$B$3:$B$163,0)</f>
        <v>ID-3829</v>
      </c>
      <c r="B60" s="44" t="s">
        <v>97</v>
      </c>
      <c r="C60" s="45">
        <f t="array" ref="C60">XLOOKUP(B60,'Maestro de productos 2024'!$B$189:$B$196,'Maestro de productos 2024'!$D$189:$D$196,"No encontrado",0)</f>
        <v>7</v>
      </c>
      <c r="D60" s="45">
        <f t="array" ref="D60">XLOOKUP(B60,'Maestro de productos 2024'!$B$189:$B$196,'Maestro de productos 2024'!$E$189:$E$196,"No encontrado",0)</f>
        <v>2.98984359</v>
      </c>
      <c r="E60" s="46">
        <f t="shared" si="1"/>
        <v>4.01015641</v>
      </c>
      <c r="F60" s="47">
        <f>('Base de datos transacciones'!$H60)*$D60</f>
        <v>143.5124923</v>
      </c>
      <c r="G60" s="47">
        <f>'Base de datos transacciones'!$H60*$C60</f>
        <v>336</v>
      </c>
      <c r="H60" s="47">
        <f t="shared" si="2"/>
        <v>192.4875077</v>
      </c>
      <c r="I60" s="48"/>
      <c r="J60" s="50"/>
      <c r="K60" s="50"/>
      <c r="L60" s="48"/>
      <c r="M60" s="50"/>
      <c r="N60" s="36"/>
      <c r="O60" s="51"/>
      <c r="P60" s="38"/>
      <c r="Q60" s="38"/>
      <c r="R60" s="39"/>
      <c r="S60" s="40"/>
      <c r="T60" s="22"/>
      <c r="U60" s="41"/>
      <c r="V60" s="4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>
      <c r="A61" s="43" t="str">
        <f t="array" ref="A61">XLOOKUP($B61,'Maestro de productos 2024'!$A$3:$A$163,'Maestro de productos 2024'!$B$3:$B$163,0)</f>
        <v>ID-3825</v>
      </c>
      <c r="B61" s="44" t="s">
        <v>37</v>
      </c>
      <c r="C61" s="45">
        <f t="array" ref="C61">XLOOKUP(B61,'Maestro de productos 2024'!$B$189:$B$196,'Maestro de productos 2024'!$D$189:$D$196,"No encontrado",0)</f>
        <v>20</v>
      </c>
      <c r="D61" s="45">
        <f t="array" ref="D61">XLOOKUP(B61,'Maestro de productos 2024'!$B$189:$B$196,'Maestro de productos 2024'!$E$189:$E$196,"No encontrado",0)</f>
        <v>7.609146242</v>
      </c>
      <c r="E61" s="46">
        <f t="shared" si="1"/>
        <v>12.39085376</v>
      </c>
      <c r="F61" s="47">
        <f>('Base de datos transacciones'!$H61)*$D61</f>
        <v>121.7463399</v>
      </c>
      <c r="G61" s="47">
        <f>'Base de datos transacciones'!$H61*$C61</f>
        <v>320</v>
      </c>
      <c r="H61" s="47">
        <f t="shared" si="2"/>
        <v>198.2536601</v>
      </c>
      <c r="I61" s="48">
        <f>SUM(G60:G61)</f>
        <v>656</v>
      </c>
      <c r="J61" s="50">
        <f>((I61-I59)/I59)</f>
        <v>0.1714285714</v>
      </c>
      <c r="K61" s="50">
        <f>(I61-(SUM(F60:F61)))/I61</f>
        <v>0.5956420241</v>
      </c>
      <c r="L61" s="48">
        <f>I61-(SUM(F60:F61))</f>
        <v>390.7411678</v>
      </c>
      <c r="M61" s="50">
        <f>((L61-L59)/L59)</f>
        <v>0.06880899791</v>
      </c>
      <c r="N61" s="36"/>
      <c r="O61" s="51"/>
      <c r="P61" s="38"/>
      <c r="Q61" s="38"/>
      <c r="R61" s="39"/>
      <c r="S61" s="40"/>
      <c r="T61" s="22"/>
      <c r="U61" s="41"/>
      <c r="V61" s="4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>
      <c r="A62" s="26" t="str">
        <f t="array" ref="A62">XLOOKUP($B62,'Maestro de productos 2024'!$A$3:$A$163,'Maestro de productos 2024'!$B$3:$B$163,0)</f>
        <v>ID-3824</v>
      </c>
      <c r="B62" s="27" t="s">
        <v>34</v>
      </c>
      <c r="C62" s="30">
        <f t="array" ref="C62">XLOOKUP(B62,'Maestro de productos 2024'!$B$189:$B$196,'Maestro de productos 2024'!$D$189:$D$196,"No encontrado",0)</f>
        <v>10</v>
      </c>
      <c r="D62" s="30">
        <f t="array" ref="D62">XLOOKUP(B62,'Maestro de productos 2024'!$B$189:$B$196,'Maestro de productos 2024'!$E$189:$E$196,"No encontrado",0)</f>
        <v>3.337551282</v>
      </c>
      <c r="E62" s="31">
        <f t="shared" si="1"/>
        <v>6.662448718</v>
      </c>
      <c r="F62" s="32">
        <f>('Base de datos transacciones'!$H62)*$D62</f>
        <v>100.1265385</v>
      </c>
      <c r="G62" s="32">
        <f>'Base de datos transacciones'!$H62*$C62</f>
        <v>300</v>
      </c>
      <c r="H62" s="32">
        <f t="shared" si="2"/>
        <v>199.8734615</v>
      </c>
      <c r="I62" s="34"/>
      <c r="J62" s="35"/>
      <c r="K62" s="35"/>
      <c r="L62" s="34"/>
      <c r="M62" s="35"/>
      <c r="N62" s="36">
        <f>SUM(G54:G62)</f>
        <v>3012</v>
      </c>
      <c r="O62" s="51">
        <f>((N62-N53)/N53)</f>
        <v>0.1474285714</v>
      </c>
      <c r="P62" s="52">
        <f>(N62-SUM(F54:F62))/N62</f>
        <v>0.6304080502</v>
      </c>
      <c r="Q62" s="53">
        <f>N62-(SUM(F54:F62))</f>
        <v>1898.789047</v>
      </c>
      <c r="R62" s="54">
        <f>((Q62-Q53)/Q53)</f>
        <v>0.1421680096</v>
      </c>
      <c r="S62" s="40"/>
      <c r="T62" s="22"/>
      <c r="U62" s="41"/>
      <c r="V62" s="4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>
      <c r="A63" s="26" t="str">
        <f t="array" ref="A63">XLOOKUP($B63,'Maestro de productos 2024'!$A$3:$A$163,'Maestro de productos 2024'!$B$3:$B$163,0)</f>
        <v>ID-3828</v>
      </c>
      <c r="B63" s="27" t="s">
        <v>38</v>
      </c>
      <c r="C63" s="30">
        <f t="array" ref="C63">XLOOKUP(B63,'Maestro de productos 2024'!$B$189:$B$196,'Maestro de productos 2024'!$D$189:$D$196,"No encontrado",0)</f>
        <v>20</v>
      </c>
      <c r="D63" s="30">
        <f t="array" ref="D63">XLOOKUP(B63,'Maestro de productos 2024'!$B$189:$B$196,'Maestro de productos 2024'!$E$189:$E$196,"No encontrado",0)</f>
        <v>7.301064103</v>
      </c>
      <c r="E63" s="31">
        <f t="shared" si="1"/>
        <v>12.6989359</v>
      </c>
      <c r="F63" s="32">
        <f>('Base de datos transacciones'!$H63)*$D63</f>
        <v>175.2255385</v>
      </c>
      <c r="G63" s="32">
        <f>'Base de datos transacciones'!$H63*$C63</f>
        <v>480</v>
      </c>
      <c r="H63" s="32">
        <f t="shared" si="2"/>
        <v>304.7744615</v>
      </c>
      <c r="I63" s="34">
        <f>SUM(G62:G63)</f>
        <v>780</v>
      </c>
      <c r="J63" s="35">
        <f>((I63-I61)/I61)</f>
        <v>0.1890243902</v>
      </c>
      <c r="K63" s="35">
        <f>(I63-(SUM(F62:F63)))/I63</f>
        <v>0.6469845168</v>
      </c>
      <c r="L63" s="34">
        <f>I63-(SUM(F62:F63))</f>
        <v>504.6479231</v>
      </c>
      <c r="M63" s="35">
        <f>((L63-L61)/L61)</f>
        <v>0.2915146</v>
      </c>
      <c r="N63" s="36"/>
      <c r="O63" s="51"/>
      <c r="P63" s="38"/>
      <c r="Q63" s="38"/>
      <c r="R63" s="39"/>
      <c r="S63" s="40"/>
      <c r="T63" s="22"/>
      <c r="U63" s="41"/>
      <c r="V63" s="4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>
      <c r="A64" s="43" t="str">
        <f t="array" ref="A64">XLOOKUP($B64,'Maestro de productos 2024'!$A$3:$A$163,'Maestro de productos 2024'!$B$3:$B$163,0)</f>
        <v>ID-3827</v>
      </c>
      <c r="B64" s="44" t="s">
        <v>36</v>
      </c>
      <c r="C64" s="45">
        <f t="array" ref="C64">XLOOKUP(B64,'Maestro de productos 2024'!$B$189:$B$196,'Maestro de productos 2024'!$D$189:$D$196,"No encontrado",0)</f>
        <v>7</v>
      </c>
      <c r="D64" s="45">
        <f t="array" ref="D64">XLOOKUP(B64,'Maestro de productos 2024'!$B$189:$B$196,'Maestro de productos 2024'!$E$189:$E$196,"No encontrado",0)</f>
        <v>2.623460073</v>
      </c>
      <c r="E64" s="46">
        <f t="shared" si="1"/>
        <v>4.376539927</v>
      </c>
      <c r="F64" s="47">
        <f>('Base de datos transacciones'!$H64)*$D64</f>
        <v>86.57418242</v>
      </c>
      <c r="G64" s="47">
        <f>'Base de datos transacciones'!$H64*$C64</f>
        <v>231</v>
      </c>
      <c r="H64" s="47">
        <f t="shared" si="2"/>
        <v>144.4258176</v>
      </c>
      <c r="I64" s="48"/>
      <c r="J64" s="50"/>
      <c r="K64" s="50"/>
      <c r="L64" s="48"/>
      <c r="M64" s="50"/>
      <c r="N64" s="36"/>
      <c r="O64" s="51"/>
      <c r="P64" s="38"/>
      <c r="Q64" s="38"/>
      <c r="R64" s="39"/>
      <c r="S64" s="40"/>
      <c r="T64" s="22"/>
      <c r="U64" s="41"/>
      <c r="V64" s="4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>
      <c r="A65" s="43" t="str">
        <f t="array" ref="A65">XLOOKUP($B65,'Maestro de productos 2024'!$A$3:$A$163,'Maestro de productos 2024'!$B$3:$B$163,0)</f>
        <v>ID-3826</v>
      </c>
      <c r="B65" s="44" t="s">
        <v>35</v>
      </c>
      <c r="C65" s="45">
        <f t="array" ref="C65">XLOOKUP(B65,'Maestro de productos 2024'!$B$189:$B$196,'Maestro de productos 2024'!$D$189:$D$196,"No encontrado",0)</f>
        <v>20</v>
      </c>
      <c r="D65" s="45">
        <f t="array" ref="D65">XLOOKUP(B65,'Maestro de productos 2024'!$B$189:$B$196,'Maestro de productos 2024'!$E$189:$E$196,"No encontrado",0)</f>
        <v>7.103972222</v>
      </c>
      <c r="E65" s="46">
        <f t="shared" si="1"/>
        <v>12.89602778</v>
      </c>
      <c r="F65" s="47">
        <f>('Base de datos transacciones'!$H65)*$D65</f>
        <v>127.8715</v>
      </c>
      <c r="G65" s="47">
        <f>'Base de datos transacciones'!$H65*$C65</f>
        <v>360</v>
      </c>
      <c r="H65" s="47">
        <f t="shared" si="2"/>
        <v>232.1285</v>
      </c>
      <c r="I65" s="48">
        <f>SUM(G64:G65)</f>
        <v>591</v>
      </c>
      <c r="J65" s="50">
        <f>((I65-I63)/I63)</f>
        <v>-0.2423076923</v>
      </c>
      <c r="K65" s="50">
        <f>(I65-(SUM(F64:F65)))/I65</f>
        <v>0.6371477455</v>
      </c>
      <c r="L65" s="48">
        <f>I65-(SUM(F64:F65))</f>
        <v>376.5543176</v>
      </c>
      <c r="M65" s="50">
        <f>((L65-L63)/L63)</f>
        <v>-0.253827668</v>
      </c>
      <c r="N65" s="36"/>
      <c r="O65" s="51"/>
      <c r="P65" s="38"/>
      <c r="Q65" s="38"/>
      <c r="R65" s="39"/>
      <c r="S65" s="40"/>
      <c r="T65" s="22"/>
      <c r="U65" s="41"/>
      <c r="V65" s="4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>
      <c r="A66" s="26" t="str">
        <f t="array" ref="A66">XLOOKUP($B66,'Maestro de productos 2024'!$A$3:$A$163,'Maestro de productos 2024'!$B$3:$B$163,0)</f>
        <v>ID-3831</v>
      </c>
      <c r="B66" s="27" t="s">
        <v>109</v>
      </c>
      <c r="C66" s="30">
        <f t="array" ref="C66">XLOOKUP(B66,'Maestro de productos 2024'!$B$189:$B$196,'Maestro de productos 2024'!$D$189:$D$196,"No encontrado",0)</f>
        <v>20</v>
      </c>
      <c r="D66" s="30">
        <f t="array" ref="D66">XLOOKUP(B66,'Maestro de productos 2024'!$B$189:$B$196,'Maestro de productos 2024'!$E$189:$E$196,"No encontrado",0)</f>
        <v>7.05492674</v>
      </c>
      <c r="E66" s="31">
        <f t="shared" si="1"/>
        <v>12.94507326</v>
      </c>
      <c r="F66" s="32">
        <f>('Base de datos transacciones'!$H66)*$D66</f>
        <v>98.76897436</v>
      </c>
      <c r="G66" s="32">
        <f>'Base de datos transacciones'!$H66*$C66</f>
        <v>280</v>
      </c>
      <c r="H66" s="32">
        <f t="shared" si="2"/>
        <v>181.2310256</v>
      </c>
      <c r="I66" s="34"/>
      <c r="J66" s="35"/>
      <c r="K66" s="35"/>
      <c r="L66" s="34"/>
      <c r="M66" s="35"/>
      <c r="N66" s="36"/>
      <c r="O66" s="51"/>
      <c r="P66" s="38"/>
      <c r="Q66" s="38"/>
      <c r="R66" s="39"/>
      <c r="S66" s="40"/>
      <c r="T66" s="22"/>
      <c r="U66" s="41"/>
      <c r="V66" s="4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>
      <c r="A67" s="26" t="str">
        <f t="array" ref="A67">XLOOKUP($B67,'Maestro de productos 2024'!$A$3:$A$163,'Maestro de productos 2024'!$B$3:$B$163,0)</f>
        <v>ID-3828</v>
      </c>
      <c r="B67" s="27" t="s">
        <v>38</v>
      </c>
      <c r="C67" s="30">
        <f t="array" ref="C67">XLOOKUP(B67,'Maestro de productos 2024'!$B$189:$B$196,'Maestro de productos 2024'!$D$189:$D$196,"No encontrado",0)</f>
        <v>20</v>
      </c>
      <c r="D67" s="30">
        <f t="array" ref="D67">XLOOKUP(B67,'Maestro de productos 2024'!$B$189:$B$196,'Maestro de productos 2024'!$E$189:$E$196,"No encontrado",0)</f>
        <v>7.301064103</v>
      </c>
      <c r="E67" s="31">
        <f t="shared" si="1"/>
        <v>12.6989359</v>
      </c>
      <c r="F67" s="32">
        <f>('Base de datos transacciones'!$H67)*$D67</f>
        <v>175.2255385</v>
      </c>
      <c r="G67" s="32">
        <f>'Base de datos transacciones'!$H67*$C67</f>
        <v>480</v>
      </c>
      <c r="H67" s="32">
        <f t="shared" si="2"/>
        <v>304.7744615</v>
      </c>
      <c r="I67" s="34">
        <f>SUM(G66:G67)</f>
        <v>760</v>
      </c>
      <c r="J67" s="35">
        <f>((I67-I65)/I65)</f>
        <v>0.2859560068</v>
      </c>
      <c r="K67" s="35">
        <f>(I67-(SUM(F66:F67)))/I67</f>
        <v>0.6394809042</v>
      </c>
      <c r="L67" s="34">
        <f>I67-(SUM(F66:F67))</f>
        <v>486.0054872</v>
      </c>
      <c r="M67" s="35">
        <f>((L67-L65)/L65)</f>
        <v>0.2906650236</v>
      </c>
      <c r="N67" s="36"/>
      <c r="O67" s="51"/>
      <c r="P67" s="38"/>
      <c r="Q67" s="38"/>
      <c r="R67" s="39"/>
      <c r="S67" s="40"/>
      <c r="T67" s="22"/>
      <c r="U67" s="41"/>
      <c r="V67" s="4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>
      <c r="A68" s="43" t="str">
        <f t="array" ref="A68">XLOOKUP($B68,'Maestro de productos 2024'!$A$3:$A$163,'Maestro de productos 2024'!$B$3:$B$163,0)</f>
        <v>ID-3824</v>
      </c>
      <c r="B68" s="44" t="s">
        <v>34</v>
      </c>
      <c r="C68" s="45">
        <f t="array" ref="C68">XLOOKUP(B68,'Maestro de productos 2024'!$B$189:$B$196,'Maestro de productos 2024'!$D$189:$D$196,"No encontrado",0)</f>
        <v>10</v>
      </c>
      <c r="D68" s="45">
        <f t="array" ref="D68">XLOOKUP(B68,'Maestro de productos 2024'!$B$189:$B$196,'Maestro de productos 2024'!$E$189:$E$196,"No encontrado",0)</f>
        <v>3.337551282</v>
      </c>
      <c r="E68" s="46">
        <f t="shared" si="1"/>
        <v>6.662448718</v>
      </c>
      <c r="F68" s="47">
        <f>('Base de datos transacciones'!$H68)*$D68</f>
        <v>106.801641</v>
      </c>
      <c r="G68" s="47">
        <f>'Base de datos transacciones'!$H68*$C68</f>
        <v>320</v>
      </c>
      <c r="H68" s="47">
        <f t="shared" si="2"/>
        <v>213.198359</v>
      </c>
      <c r="I68" s="48"/>
      <c r="J68" s="50"/>
      <c r="K68" s="50"/>
      <c r="L68" s="48"/>
      <c r="M68" s="50"/>
      <c r="N68" s="36"/>
      <c r="O68" s="51"/>
      <c r="P68" s="38"/>
      <c r="Q68" s="38"/>
      <c r="R68" s="39"/>
      <c r="S68" s="40"/>
      <c r="T68" s="22"/>
      <c r="U68" s="41"/>
      <c r="V68" s="4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>
      <c r="A69" s="43" t="str">
        <f t="array" ref="A69">XLOOKUP($B69,'Maestro de productos 2024'!$A$3:$A$163,'Maestro de productos 2024'!$B$3:$B$163,0)</f>
        <v>ID-3830</v>
      </c>
      <c r="B69" s="44" t="s">
        <v>108</v>
      </c>
      <c r="C69" s="45">
        <f t="array" ref="C69">XLOOKUP(B69,'Maestro de productos 2024'!$B$189:$B$196,'Maestro de productos 2024'!$D$189:$D$196,"No encontrado",0)</f>
        <v>25</v>
      </c>
      <c r="D69" s="45">
        <f t="array" ref="D69">XLOOKUP(B69,'Maestro de productos 2024'!$B$189:$B$196,'Maestro de productos 2024'!$E$189:$E$196,"No encontrado",0)</f>
        <v>10.93666667</v>
      </c>
      <c r="E69" s="46">
        <f t="shared" si="1"/>
        <v>14.06333333</v>
      </c>
      <c r="F69" s="47">
        <f>('Base de datos transacciones'!$H69)*$D69</f>
        <v>196.86</v>
      </c>
      <c r="G69" s="47">
        <f>'Base de datos transacciones'!$H69*$C69</f>
        <v>450</v>
      </c>
      <c r="H69" s="47">
        <f t="shared" si="2"/>
        <v>253.14</v>
      </c>
      <c r="I69" s="48">
        <f>SUM(G68:G69)</f>
        <v>770</v>
      </c>
      <c r="J69" s="50">
        <f>((I69-I67)/I67)</f>
        <v>0.01315789474</v>
      </c>
      <c r="K69" s="50">
        <f>(I69-(SUM(F68:F69)))/I69</f>
        <v>0.6056342324</v>
      </c>
      <c r="L69" s="48">
        <f>I69-(SUM(F68:F69))</f>
        <v>466.338359</v>
      </c>
      <c r="M69" s="50">
        <f>((L69-L67)/L67)</f>
        <v>-0.04046688509</v>
      </c>
      <c r="N69" s="36"/>
      <c r="O69" s="51"/>
      <c r="P69" s="38"/>
      <c r="Q69" s="38"/>
      <c r="R69" s="39"/>
      <c r="S69" s="40"/>
      <c r="T69" s="22"/>
      <c r="U69" s="41"/>
      <c r="V69" s="4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>
      <c r="A70" s="26" t="str">
        <f t="array" ref="A70">XLOOKUP($B70,'Maestro de productos 2024'!$A$3:$A$163,'Maestro de productos 2024'!$B$3:$B$163,0)</f>
        <v>ID-3828</v>
      </c>
      <c r="B70" s="27" t="s">
        <v>38</v>
      </c>
      <c r="C70" s="30">
        <f t="array" ref="C70">XLOOKUP(B70,'Maestro de productos 2024'!$B$189:$B$196,'Maestro de productos 2024'!$D$189:$D$196,"No encontrado",0)</f>
        <v>20</v>
      </c>
      <c r="D70" s="30">
        <f t="array" ref="D70">XLOOKUP(B70,'Maestro de productos 2024'!$B$189:$B$196,'Maestro de productos 2024'!$E$189:$E$196,"No encontrado",0)</f>
        <v>7.301064103</v>
      </c>
      <c r="E70" s="31">
        <f t="shared" si="1"/>
        <v>12.6989359</v>
      </c>
      <c r="F70" s="32">
        <f>('Base de datos transacciones'!$H70)*$D70</f>
        <v>87.61276923</v>
      </c>
      <c r="G70" s="32">
        <f>'Base de datos transacciones'!$H70*$C70</f>
        <v>240</v>
      </c>
      <c r="H70" s="32">
        <f t="shared" si="2"/>
        <v>152.3872308</v>
      </c>
      <c r="I70" s="34"/>
      <c r="J70" s="35"/>
      <c r="K70" s="35"/>
      <c r="L70" s="34"/>
      <c r="M70" s="35"/>
      <c r="N70" s="36"/>
      <c r="O70" s="51"/>
      <c r="P70" s="38"/>
      <c r="Q70" s="38"/>
      <c r="R70" s="39"/>
      <c r="S70" s="40"/>
      <c r="T70" s="22"/>
      <c r="U70" s="41"/>
      <c r="V70" s="4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>
      <c r="A71" s="26" t="str">
        <f t="array" ref="A71">XLOOKUP($B71,'Maestro de productos 2024'!$A$3:$A$163,'Maestro de productos 2024'!$B$3:$B$163,0)</f>
        <v>ID-3825</v>
      </c>
      <c r="B71" s="27" t="s">
        <v>37</v>
      </c>
      <c r="C71" s="30">
        <f t="array" ref="C71">XLOOKUP(B71,'Maestro de productos 2024'!$B$189:$B$196,'Maestro de productos 2024'!$D$189:$D$196,"No encontrado",0)</f>
        <v>20</v>
      </c>
      <c r="D71" s="30">
        <f t="array" ref="D71">XLOOKUP(B71,'Maestro de productos 2024'!$B$189:$B$196,'Maestro de productos 2024'!$E$189:$E$196,"No encontrado",0)</f>
        <v>7.609146242</v>
      </c>
      <c r="E71" s="31">
        <f t="shared" si="1"/>
        <v>12.39085376</v>
      </c>
      <c r="F71" s="32">
        <f>('Base de datos transacciones'!$H71)*$D71</f>
        <v>114.1371936</v>
      </c>
      <c r="G71" s="32">
        <f>'Base de datos transacciones'!$H71*$C71</f>
        <v>300</v>
      </c>
      <c r="H71" s="32">
        <f t="shared" si="2"/>
        <v>185.8628064</v>
      </c>
      <c r="I71" s="34">
        <f>SUM(G70:G71)</f>
        <v>540</v>
      </c>
      <c r="J71" s="35">
        <f>((I71-I69)/I69)</f>
        <v>-0.2987012987</v>
      </c>
      <c r="K71" s="35">
        <f>(I71-(SUM(F70:F71)))/I71</f>
        <v>0.6263889577</v>
      </c>
      <c r="L71" s="34">
        <f>I71-(SUM(F70:F71))</f>
        <v>338.2500371</v>
      </c>
      <c r="M71" s="35">
        <f>((L71-L69)/L69)</f>
        <v>-0.274668209</v>
      </c>
      <c r="N71" s="36">
        <f>SUM(G63:G71)</f>
        <v>3141</v>
      </c>
      <c r="O71" s="51">
        <f>((N71-N62)/N62)</f>
        <v>0.04282868526</v>
      </c>
      <c r="P71" s="52">
        <f>(N71-SUM(F63:F71))/N71</f>
        <v>0.6278009113</v>
      </c>
      <c r="Q71" s="53">
        <f>N71-(SUM(F63:F71))</f>
        <v>1971.922662</v>
      </c>
      <c r="R71" s="54">
        <f>((Q71-Q62)/Q62)</f>
        <v>0.03851592425</v>
      </c>
      <c r="S71" s="40"/>
      <c r="T71" s="22"/>
      <c r="U71" s="41"/>
      <c r="V71" s="4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>
      <c r="A72" s="43" t="str">
        <f t="array" ref="A72">XLOOKUP($B72,'Maestro de productos 2024'!$A$3:$A$163,'Maestro de productos 2024'!$B$3:$B$163,0)</f>
        <v>ID-3829</v>
      </c>
      <c r="B72" s="44" t="s">
        <v>97</v>
      </c>
      <c r="C72" s="45">
        <f t="array" ref="C72">XLOOKUP(B72,'Maestro de productos 2024'!$B$189:$B$196,'Maestro de productos 2024'!$D$189:$D$196,"No encontrado",0)</f>
        <v>7</v>
      </c>
      <c r="D72" s="45">
        <f t="array" ref="D72">XLOOKUP(B72,'Maestro de productos 2024'!$B$189:$B$196,'Maestro de productos 2024'!$E$189:$E$196,"No encontrado",0)</f>
        <v>2.98984359</v>
      </c>
      <c r="E72" s="46">
        <f t="shared" si="1"/>
        <v>4.01015641</v>
      </c>
      <c r="F72" s="47">
        <f>('Base de datos transacciones'!$H72)*$D72</f>
        <v>128.5632744</v>
      </c>
      <c r="G72" s="47">
        <f>'Base de datos transacciones'!$H72*$C72</f>
        <v>301</v>
      </c>
      <c r="H72" s="47">
        <f t="shared" si="2"/>
        <v>172.4367256</v>
      </c>
      <c r="I72" s="48"/>
      <c r="J72" s="50"/>
      <c r="K72" s="50"/>
      <c r="L72" s="48"/>
      <c r="M72" s="50"/>
      <c r="N72" s="36"/>
      <c r="O72" s="51"/>
      <c r="P72" s="38"/>
      <c r="Q72" s="38"/>
      <c r="R72" s="39"/>
      <c r="S72" s="40"/>
      <c r="T72" s="22"/>
      <c r="U72" s="41"/>
      <c r="V72" s="4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>
      <c r="A73" s="43" t="str">
        <f t="array" ref="A73">XLOOKUP($B73,'Maestro de productos 2024'!$A$3:$A$163,'Maestro de productos 2024'!$B$3:$B$163,0)</f>
        <v>ID-3824</v>
      </c>
      <c r="B73" s="44" t="s">
        <v>34</v>
      </c>
      <c r="C73" s="45">
        <f t="array" ref="C73">XLOOKUP(B73,'Maestro de productos 2024'!$B$189:$B$196,'Maestro de productos 2024'!$D$189:$D$196,"No encontrado",0)</f>
        <v>10</v>
      </c>
      <c r="D73" s="45">
        <f t="array" ref="D73">XLOOKUP(B73,'Maestro de productos 2024'!$B$189:$B$196,'Maestro de productos 2024'!$E$189:$E$196,"No encontrado",0)</f>
        <v>3.337551282</v>
      </c>
      <c r="E73" s="46">
        <f t="shared" si="1"/>
        <v>6.662448718</v>
      </c>
      <c r="F73" s="47">
        <f>('Base de datos transacciones'!$H73)*$D73</f>
        <v>106.801641</v>
      </c>
      <c r="G73" s="47">
        <f>'Base de datos transacciones'!$H73*$C73</f>
        <v>320</v>
      </c>
      <c r="H73" s="47">
        <f t="shared" si="2"/>
        <v>213.198359</v>
      </c>
      <c r="I73" s="48">
        <f>SUM(G72:G73)</f>
        <v>621</v>
      </c>
      <c r="J73" s="50">
        <f>((I73-I71)/I71)</f>
        <v>0.15</v>
      </c>
      <c r="K73" s="50">
        <f>(I73-(SUM(F72:F73)))/I73</f>
        <v>0.6209904744</v>
      </c>
      <c r="L73" s="48">
        <f>I73-(SUM(F72:F73))</f>
        <v>385.6350846</v>
      </c>
      <c r="M73" s="50">
        <f>((L73-L71)/L71)</f>
        <v>0.1400888168</v>
      </c>
      <c r="N73" s="36"/>
      <c r="O73" s="51"/>
      <c r="P73" s="38"/>
      <c r="Q73" s="38"/>
      <c r="R73" s="39"/>
      <c r="S73" s="40"/>
      <c r="T73" s="22"/>
      <c r="U73" s="41"/>
      <c r="V73" s="4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>
      <c r="A74" s="26" t="str">
        <f t="array" ref="A74">XLOOKUP($B74,'Maestro de productos 2024'!$A$3:$A$163,'Maestro de productos 2024'!$B$3:$B$163,0)</f>
        <v>ID-3826</v>
      </c>
      <c r="B74" s="27" t="s">
        <v>35</v>
      </c>
      <c r="C74" s="30">
        <f t="array" ref="C74">XLOOKUP(B74,'Maestro de productos 2024'!$B$189:$B$196,'Maestro de productos 2024'!$D$189:$D$196,"No encontrado",0)</f>
        <v>20</v>
      </c>
      <c r="D74" s="30">
        <f t="array" ref="D74">XLOOKUP(B74,'Maestro de productos 2024'!$B$189:$B$196,'Maestro de productos 2024'!$E$189:$E$196,"No encontrado",0)</f>
        <v>7.103972222</v>
      </c>
      <c r="E74" s="31">
        <f t="shared" si="1"/>
        <v>12.89602778</v>
      </c>
      <c r="F74" s="32">
        <f>('Base de datos transacciones'!$H74)*$D74</f>
        <v>127.8715</v>
      </c>
      <c r="G74" s="32">
        <f>'Base de datos transacciones'!$H74*$C74</f>
        <v>360</v>
      </c>
      <c r="H74" s="32">
        <f t="shared" si="2"/>
        <v>232.1285</v>
      </c>
      <c r="I74" s="34"/>
      <c r="J74" s="35"/>
      <c r="K74" s="35"/>
      <c r="L74" s="34"/>
      <c r="M74" s="35"/>
      <c r="N74" s="36"/>
      <c r="O74" s="51"/>
      <c r="P74" s="38"/>
      <c r="Q74" s="38"/>
      <c r="R74" s="39"/>
      <c r="S74" s="40"/>
      <c r="T74" s="22"/>
      <c r="U74" s="41"/>
      <c r="V74" s="4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>
      <c r="A75" s="26" t="str">
        <f t="array" ref="A75">XLOOKUP($B75,'Maestro de productos 2024'!$A$3:$A$163,'Maestro de productos 2024'!$B$3:$B$163,0)</f>
        <v>ID-3829</v>
      </c>
      <c r="B75" s="27" t="s">
        <v>97</v>
      </c>
      <c r="C75" s="30">
        <f t="array" ref="C75">XLOOKUP(B75,'Maestro de productos 2024'!$B$189:$B$196,'Maestro de productos 2024'!$D$189:$D$196,"No encontrado",0)</f>
        <v>7</v>
      </c>
      <c r="D75" s="30">
        <f t="array" ref="D75">XLOOKUP(B75,'Maestro de productos 2024'!$B$189:$B$196,'Maestro de productos 2024'!$E$189:$E$196,"No encontrado",0)</f>
        <v>2.98984359</v>
      </c>
      <c r="E75" s="31">
        <f t="shared" si="1"/>
        <v>4.01015641</v>
      </c>
      <c r="F75" s="32">
        <f>('Base de datos transacciones'!$H75)*$D75</f>
        <v>149.4921795</v>
      </c>
      <c r="G75" s="32">
        <f>'Base de datos transacciones'!$H75*$C75</f>
        <v>350</v>
      </c>
      <c r="H75" s="32">
        <f t="shared" si="2"/>
        <v>200.5078205</v>
      </c>
      <c r="I75" s="34">
        <f>SUM(G74:G75)</f>
        <v>710</v>
      </c>
      <c r="J75" s="35">
        <f>((I75-I73)/I73)</f>
        <v>0.1433172303</v>
      </c>
      <c r="K75" s="35">
        <f>(I75-(SUM(F74:F75)))/I75</f>
        <v>0.6093469303</v>
      </c>
      <c r="L75" s="34">
        <f>I75-(SUM(F74:F75))</f>
        <v>432.6363205</v>
      </c>
      <c r="M75" s="35">
        <f>((L75-L73)/L73)</f>
        <v>0.1218800824</v>
      </c>
      <c r="N75" s="36"/>
      <c r="O75" s="51"/>
      <c r="P75" s="38"/>
      <c r="Q75" s="38"/>
      <c r="R75" s="39"/>
      <c r="S75" s="40"/>
      <c r="T75" s="22"/>
      <c r="U75" s="41"/>
      <c r="V75" s="4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>
      <c r="A76" s="43" t="str">
        <f t="array" ref="A76">XLOOKUP($B76,'Maestro de productos 2024'!$A$3:$A$163,'Maestro de productos 2024'!$B$3:$B$163,0)</f>
        <v>ID-3828</v>
      </c>
      <c r="B76" s="44" t="s">
        <v>38</v>
      </c>
      <c r="C76" s="45">
        <f t="array" ref="C76">XLOOKUP(B76,'Maestro de productos 2024'!$B$189:$B$196,'Maestro de productos 2024'!$D$189:$D$196,"No encontrado",0)</f>
        <v>20</v>
      </c>
      <c r="D76" s="45">
        <f t="array" ref="D76">XLOOKUP(B76,'Maestro de productos 2024'!$B$189:$B$196,'Maestro de productos 2024'!$E$189:$E$196,"No encontrado",0)</f>
        <v>7.301064103</v>
      </c>
      <c r="E76" s="46">
        <f t="shared" si="1"/>
        <v>12.6989359</v>
      </c>
      <c r="F76" s="47">
        <f>('Base de datos transacciones'!$H76)*$D76</f>
        <v>175.2255385</v>
      </c>
      <c r="G76" s="47">
        <f>'Base de datos transacciones'!$H76*$C76</f>
        <v>480</v>
      </c>
      <c r="H76" s="47">
        <f t="shared" si="2"/>
        <v>304.7744615</v>
      </c>
      <c r="I76" s="48"/>
      <c r="J76" s="50"/>
      <c r="K76" s="50"/>
      <c r="L76" s="48"/>
      <c r="M76" s="50"/>
      <c r="N76" s="36"/>
      <c r="O76" s="51"/>
      <c r="P76" s="38"/>
      <c r="Q76" s="38"/>
      <c r="R76" s="39"/>
      <c r="S76" s="40"/>
      <c r="T76" s="22"/>
      <c r="U76" s="160"/>
      <c r="V76" s="4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>
      <c r="A77" s="43" t="str">
        <f t="array" ref="A77">XLOOKUP($B77,'Maestro de productos 2024'!$A$3:$A$163,'Maestro de productos 2024'!$B$3:$B$163,0)</f>
        <v>ID-3830</v>
      </c>
      <c r="B77" s="44" t="s">
        <v>108</v>
      </c>
      <c r="C77" s="45">
        <f t="array" ref="C77">XLOOKUP(B77,'Maestro de productos 2024'!$B$189:$B$196,'Maestro de productos 2024'!$D$189:$D$196,"No encontrado",0)</f>
        <v>25</v>
      </c>
      <c r="D77" s="45">
        <f t="array" ref="D77">XLOOKUP(B77,'Maestro de productos 2024'!$B$189:$B$196,'Maestro de productos 2024'!$E$189:$E$196,"No encontrado",0)</f>
        <v>10.93666667</v>
      </c>
      <c r="E77" s="46">
        <f t="shared" si="1"/>
        <v>14.06333333</v>
      </c>
      <c r="F77" s="47">
        <f>('Base de datos transacciones'!$H77)*$D77</f>
        <v>174.9866667</v>
      </c>
      <c r="G77" s="47">
        <f>'Base de datos transacciones'!$H77*$C77</f>
        <v>400</v>
      </c>
      <c r="H77" s="47">
        <f t="shared" si="2"/>
        <v>225.0133333</v>
      </c>
      <c r="I77" s="48">
        <f>SUM(G76:G77)</f>
        <v>880</v>
      </c>
      <c r="J77" s="50">
        <f>((I77-I75)/I75)</f>
        <v>0.2394366197</v>
      </c>
      <c r="K77" s="50">
        <f>(I77-(SUM(F76:F77)))/I77</f>
        <v>0.6020315851</v>
      </c>
      <c r="L77" s="48">
        <f>I77-(SUM(F76:F77))</f>
        <v>529.7877949</v>
      </c>
      <c r="M77" s="50">
        <f>((L77-L75)/L75)</f>
        <v>0.2245569079</v>
      </c>
      <c r="N77" s="36"/>
      <c r="O77" s="51"/>
      <c r="P77" s="38"/>
      <c r="Q77" s="38"/>
      <c r="R77" s="39"/>
      <c r="S77" s="40"/>
      <c r="T77" s="22"/>
      <c r="U77" s="41"/>
      <c r="V77" s="4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>
      <c r="A78" s="26" t="str">
        <f t="array" ref="A78">XLOOKUP($B78,'Maestro de productos 2024'!$A$3:$A$163,'Maestro de productos 2024'!$B$3:$B$163,0)</f>
        <v>ID-3825</v>
      </c>
      <c r="B78" s="27" t="s">
        <v>37</v>
      </c>
      <c r="C78" s="30">
        <f t="array" ref="C78">XLOOKUP(B78,'Maestro de productos 2024'!$B$189:$B$196,'Maestro de productos 2024'!$D$189:$D$196,"No encontrado",0)</f>
        <v>20</v>
      </c>
      <c r="D78" s="30">
        <f t="array" ref="D78">XLOOKUP(B78,'Maestro de productos 2024'!$B$189:$B$196,'Maestro de productos 2024'!$E$189:$E$196,"No encontrado",0)</f>
        <v>7.609146242</v>
      </c>
      <c r="E78" s="31">
        <f t="shared" si="1"/>
        <v>12.39085376</v>
      </c>
      <c r="F78" s="32">
        <f>('Base de datos transacciones'!$H78)*$D78</f>
        <v>121.7463399</v>
      </c>
      <c r="G78" s="32">
        <f>'Base de datos transacciones'!$H78*$C78</f>
        <v>320</v>
      </c>
      <c r="H78" s="32">
        <f t="shared" si="2"/>
        <v>198.2536601</v>
      </c>
      <c r="I78" s="34">
        <f>SUM(G78)</f>
        <v>320</v>
      </c>
      <c r="J78" s="35">
        <f>(I78-I77)/I77</f>
        <v>-0.6363636364</v>
      </c>
      <c r="K78" s="35">
        <f>(I78-(SUM(F78)))/I78</f>
        <v>0.6195426879</v>
      </c>
      <c r="L78" s="34">
        <f>I78-(SUM(F78))</f>
        <v>198.2536601</v>
      </c>
      <c r="M78" s="35">
        <f>((L78-L77)/L77)</f>
        <v>-0.6257866602</v>
      </c>
      <c r="N78" s="36">
        <f>SUM(G72:G78)</f>
        <v>2531</v>
      </c>
      <c r="O78" s="51">
        <f>((N78-N71)/N71)</f>
        <v>-0.194205667</v>
      </c>
      <c r="P78" s="52">
        <f>(N78-SUM(F72:F78))/N78</f>
        <v>0.6109493718</v>
      </c>
      <c r="Q78" s="53">
        <f>N78-(SUM(F72:F78))</f>
        <v>1546.31286</v>
      </c>
      <c r="R78" s="54">
        <f>((Q78-Q71)/Q71)</f>
        <v>-0.2158349363</v>
      </c>
      <c r="S78" s="40">
        <f>SUM(G2:G78)</f>
        <v>27591</v>
      </c>
      <c r="T78" s="22"/>
      <c r="U78" s="160">
        <f>(S78-(SUM(F2:F78)))/S78</f>
        <v>0.6295460572</v>
      </c>
      <c r="V78" s="32">
        <f>S78-(SUM(F2:F78))</f>
        <v>17369.80526</v>
      </c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>
      <c r="A79" s="1" t="s">
        <v>0</v>
      </c>
      <c r="B79" s="2" t="s">
        <v>1</v>
      </c>
      <c r="C79" s="3" t="s">
        <v>2</v>
      </c>
      <c r="D79" s="4" t="s">
        <v>3</v>
      </c>
      <c r="E79" s="161" t="s">
        <v>4</v>
      </c>
      <c r="F79" s="6" t="s">
        <v>5</v>
      </c>
      <c r="G79" s="6" t="s">
        <v>7</v>
      </c>
      <c r="H79" s="7" t="s">
        <v>8</v>
      </c>
      <c r="I79" s="162" t="s">
        <v>9</v>
      </c>
      <c r="J79" s="162" t="s">
        <v>10</v>
      </c>
      <c r="K79" s="163"/>
      <c r="L79" s="164"/>
      <c r="M79" s="163"/>
      <c r="N79" s="165" t="s">
        <v>161</v>
      </c>
      <c r="O79" s="166" t="s">
        <v>15</v>
      </c>
      <c r="P79" s="167" t="s">
        <v>162</v>
      </c>
      <c r="Q79" s="165" t="s">
        <v>17</v>
      </c>
      <c r="R79" s="165" t="s">
        <v>18</v>
      </c>
      <c r="S79" s="168" t="s">
        <v>163</v>
      </c>
      <c r="T79" s="169" t="s">
        <v>20</v>
      </c>
      <c r="U79" s="170" t="s">
        <v>21</v>
      </c>
      <c r="V79" s="170" t="s">
        <v>22</v>
      </c>
      <c r="W79" s="7" t="s">
        <v>164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>
      <c r="A80" s="43" t="str">
        <f t="array" ref="A80">XLOOKUP($B80,'Maestro de productos 2024'!$A$3:$A$163,'Maestro de productos 2024'!$B$3:$B$163,0)</f>
        <v>ID-3828</v>
      </c>
      <c r="B80" s="44" t="s">
        <v>38</v>
      </c>
      <c r="C80" s="45">
        <f t="array" ref="C80">XLOOKUP(B80,'Maestro de productos 2025'!$B$189:$B$196,'Maestro de productos 2025'!$D$189:$D$196,"No encontrado",0)</f>
        <v>21</v>
      </c>
      <c r="D80" s="45">
        <f t="array" ref="D80">XLOOKUP(B80,'Maestro de productos 2025'!$B$189:$B$196,'Maestro de productos 2025'!$E$189:$E$196,"No encontrado",0)</f>
        <v>8.35935114</v>
      </c>
      <c r="E80" s="46">
        <f t="shared" ref="E80:E162" si="8">C80-D80</f>
        <v>12.64064886</v>
      </c>
      <c r="F80" s="47">
        <f>('Base de datos transacciones'!$H80)*$D80</f>
        <v>200.6244274</v>
      </c>
      <c r="G80" s="47">
        <f>'Base de datos transacciones'!$H80*$C80</f>
        <v>504</v>
      </c>
      <c r="H80" s="47">
        <f t="shared" ref="H80:H162" si="9">G80-F80</f>
        <v>303.3755726</v>
      </c>
      <c r="I80" s="48">
        <f>SUM(G80)</f>
        <v>504</v>
      </c>
      <c r="J80" s="50">
        <f>(I80-I78)/I78</f>
        <v>0.575</v>
      </c>
      <c r="K80" s="50">
        <f>(I80-(SUM(F80)))/I80</f>
        <v>0.60193566</v>
      </c>
      <c r="L80" s="48">
        <f>I80-(SUM(F80))</f>
        <v>303.3755726</v>
      </c>
      <c r="M80" s="50">
        <f>((L80-L78)/L78)</f>
        <v>0.5302394541</v>
      </c>
      <c r="N80" s="36"/>
      <c r="O80" s="51"/>
      <c r="P80" s="38"/>
      <c r="Q80" s="38"/>
      <c r="R80" s="39"/>
      <c r="S80" s="40"/>
      <c r="T80" s="22"/>
      <c r="U80" s="41"/>
      <c r="V80" s="4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>
      <c r="A81" s="26" t="str">
        <f t="array" ref="A81">XLOOKUP($B81,'Maestro de productos 2024'!$A$3:$A$163,'Maestro de productos 2024'!$B$3:$B$163,0)</f>
        <v>ID-3831</v>
      </c>
      <c r="B81" s="27" t="s">
        <v>109</v>
      </c>
      <c r="C81" s="30">
        <f t="array" ref="C81">XLOOKUP(B81,'Maestro de productos 2025'!$B$189:$B$196,'Maestro de productos 2025'!$D$189:$D$196,"No encontrado",0)</f>
        <v>20</v>
      </c>
      <c r="D81" s="30">
        <f t="array" ref="D81">XLOOKUP(B81,'Maestro de productos 2025'!$B$189:$B$196,'Maestro de productos 2025'!$E$189:$E$196,"No encontrado",0)</f>
        <v>7.889760073</v>
      </c>
      <c r="E81" s="31">
        <f t="shared" si="8"/>
        <v>12.11023993</v>
      </c>
      <c r="F81" s="32">
        <f>('Base de datos transacciones'!$H81)*$D81</f>
        <v>110.456641</v>
      </c>
      <c r="G81" s="32">
        <f>'Base de datos transacciones'!$H81*$C81</f>
        <v>280</v>
      </c>
      <c r="H81" s="32">
        <f t="shared" si="9"/>
        <v>169.543359</v>
      </c>
      <c r="I81" s="34"/>
      <c r="J81" s="35"/>
      <c r="K81" s="35"/>
      <c r="L81" s="34"/>
      <c r="M81" s="35"/>
      <c r="N81" s="36"/>
      <c r="O81" s="51"/>
      <c r="P81" s="38"/>
      <c r="Q81" s="38"/>
      <c r="R81" s="39"/>
      <c r="S81" s="40"/>
      <c r="T81" s="22"/>
      <c r="U81" s="41"/>
      <c r="V81" s="4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>
      <c r="A82" s="26" t="str">
        <f t="array" ref="A82">XLOOKUP($B82,'Maestro de productos 2024'!$A$3:$A$163,'Maestro de productos 2024'!$B$3:$B$163,0)</f>
        <v>ID-3825</v>
      </c>
      <c r="B82" s="27" t="s">
        <v>37</v>
      </c>
      <c r="C82" s="30">
        <f t="array" ref="C82">XLOOKUP(B82,'Maestro de productos 2025'!$B$189:$B$196,'Maestro de productos 2025'!$D$189:$D$196,"No encontrado",0)</f>
        <v>25</v>
      </c>
      <c r="D82" s="30">
        <f t="array" ref="D82">XLOOKUP(B82,'Maestro de productos 2025'!$B$189:$B$196,'Maestro de productos 2025'!$E$189:$E$196,"No encontrado",0)</f>
        <v>10.26450643</v>
      </c>
      <c r="E82" s="31">
        <f t="shared" si="8"/>
        <v>14.73549357</v>
      </c>
      <c r="F82" s="32">
        <f>('Base de datos transacciones'!$H82)*$D82</f>
        <v>164.2321029</v>
      </c>
      <c r="G82" s="32">
        <f>'Base de datos transacciones'!$H82*$C82</f>
        <v>400</v>
      </c>
      <c r="H82" s="32">
        <f t="shared" si="9"/>
        <v>235.7678971</v>
      </c>
      <c r="I82" s="34">
        <f>SUM(G81:G82)</f>
        <v>680</v>
      </c>
      <c r="J82" s="35">
        <f>((I82-I80)/I80)</f>
        <v>0.3492063492</v>
      </c>
      <c r="K82" s="35">
        <f>(I82-(SUM(F81:F82)))/I82</f>
        <v>0.5960459648</v>
      </c>
      <c r="L82" s="34">
        <f>I82-(SUM(F81:F82))</f>
        <v>405.311256</v>
      </c>
      <c r="M82" s="35">
        <f>((L82-L80)/L80)</f>
        <v>0.3360049146</v>
      </c>
      <c r="N82" s="36"/>
      <c r="O82" s="51"/>
      <c r="P82" s="38"/>
      <c r="Q82" s="38"/>
      <c r="R82" s="39"/>
      <c r="S82" s="40"/>
      <c r="T82" s="22"/>
      <c r="U82" s="41"/>
      <c r="V82" s="4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>
      <c r="A83" s="43" t="str">
        <f t="array" ref="A83">XLOOKUP($B83,'Maestro de productos 2024'!$A$3:$A$163,'Maestro de productos 2024'!$B$3:$B$163,0)</f>
        <v>ID-3824</v>
      </c>
      <c r="B83" s="44" t="s">
        <v>34</v>
      </c>
      <c r="C83" s="45">
        <f t="array" ref="C83">XLOOKUP(B83,'Maestro de productos 2025'!$B$189:$B$196,'Maestro de productos 2025'!$D$189:$D$196,"No encontrado",0)</f>
        <v>10</v>
      </c>
      <c r="D83" s="45">
        <f t="array" ref="D83">XLOOKUP(B83,'Maestro de productos 2025'!$B$189:$B$196,'Maestro de productos 2025'!$E$189:$E$196,"No encontrado",0)</f>
        <v>4.07174399</v>
      </c>
      <c r="E83" s="46">
        <f t="shared" si="8"/>
        <v>5.92825601</v>
      </c>
      <c r="F83" s="47">
        <f>('Base de datos transacciones'!$H83)*$D83</f>
        <v>101.7935998</v>
      </c>
      <c r="G83" s="47">
        <f>'Base de datos transacciones'!$H83*$C83</f>
        <v>250</v>
      </c>
      <c r="H83" s="47">
        <f t="shared" si="9"/>
        <v>148.2064002</v>
      </c>
      <c r="I83" s="48"/>
      <c r="J83" s="50"/>
      <c r="K83" s="50"/>
      <c r="L83" s="48"/>
      <c r="M83" s="50"/>
      <c r="N83" s="36"/>
      <c r="O83" s="51"/>
      <c r="P83" s="38"/>
      <c r="Q83" s="38"/>
      <c r="R83" s="39"/>
      <c r="S83" s="40"/>
      <c r="T83" s="22"/>
      <c r="U83" s="41"/>
      <c r="V83" s="4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>
      <c r="A84" s="43" t="str">
        <f t="array" ref="A84">XLOOKUP($B84,'Maestro de productos 2024'!$A$3:$A$163,'Maestro de productos 2024'!$B$3:$B$163,0)</f>
        <v>ID-3829</v>
      </c>
      <c r="B84" s="44" t="s">
        <v>97</v>
      </c>
      <c r="C84" s="45">
        <f t="array" ref="C84">XLOOKUP(B84,'Maestro de productos 2025'!$B$189:$B$196,'Maestro de productos 2025'!$D$189:$D$196,"No encontrado",0)</f>
        <v>9</v>
      </c>
      <c r="D84" s="45">
        <f t="array" ref="D84">XLOOKUP(B84,'Maestro de productos 2025'!$B$189:$B$196,'Maestro de productos 2025'!$E$189:$E$196,"No encontrado",0)</f>
        <v>3.61086859</v>
      </c>
      <c r="E84" s="46">
        <f t="shared" si="8"/>
        <v>5.38913141</v>
      </c>
      <c r="F84" s="47">
        <f>('Base de datos transacciones'!$H84)*$D84</f>
        <v>162.4890865</v>
      </c>
      <c r="G84" s="47">
        <f>'Base de datos transacciones'!$H84*$C84</f>
        <v>405</v>
      </c>
      <c r="H84" s="47">
        <f t="shared" si="9"/>
        <v>242.5109135</v>
      </c>
      <c r="I84" s="48">
        <f>SUM(G83:G84)</f>
        <v>655</v>
      </c>
      <c r="J84" s="50">
        <f>((I84-I82)/I82)</f>
        <v>-0.03676470588</v>
      </c>
      <c r="K84" s="50">
        <f>(I84-(SUM(F83:F84)))/I84</f>
        <v>0.5965149828</v>
      </c>
      <c r="L84" s="48">
        <f>I84-(SUM(F83:F84))</f>
        <v>390.7173137</v>
      </c>
      <c r="M84" s="50">
        <f>((L84-L82)/L82)</f>
        <v>-0.03600675312</v>
      </c>
      <c r="N84" s="36"/>
      <c r="O84" s="51"/>
      <c r="P84" s="38"/>
      <c r="Q84" s="38"/>
      <c r="R84" s="39"/>
      <c r="S84" s="40"/>
      <c r="T84" s="22"/>
      <c r="U84" s="41"/>
      <c r="V84" s="4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>
      <c r="A85" s="26" t="str">
        <f t="array" ref="A85">XLOOKUP($B85,'Maestro de productos 2024'!$A$3:$A$163,'Maestro de productos 2024'!$B$3:$B$163,0)</f>
        <v>ID-3828</v>
      </c>
      <c r="B85" s="27" t="s">
        <v>38</v>
      </c>
      <c r="C85" s="30">
        <f t="array" ref="C85">XLOOKUP(B85,'Maestro de productos 2025'!$B$189:$B$196,'Maestro de productos 2025'!$D$189:$D$196,"No encontrado",0)</f>
        <v>21</v>
      </c>
      <c r="D85" s="30">
        <f t="array" ref="D85">XLOOKUP(B85,'Maestro de productos 2025'!$B$189:$B$196,'Maestro de productos 2025'!$E$189:$E$196,"No encontrado",0)</f>
        <v>8.35935114</v>
      </c>
      <c r="E85" s="31">
        <f t="shared" si="8"/>
        <v>12.64064886</v>
      </c>
      <c r="F85" s="32">
        <f>('Base de datos transacciones'!$H85)*$D85</f>
        <v>100.3122137</v>
      </c>
      <c r="G85" s="32">
        <f>'Base de datos transacciones'!$H85*$C85</f>
        <v>252</v>
      </c>
      <c r="H85" s="32">
        <f t="shared" si="9"/>
        <v>151.6877863</v>
      </c>
      <c r="I85" s="34"/>
      <c r="J85" s="35"/>
      <c r="K85" s="35"/>
      <c r="L85" s="34"/>
      <c r="M85" s="35"/>
      <c r="N85" s="36"/>
      <c r="O85" s="51"/>
      <c r="P85" s="38"/>
      <c r="Q85" s="38"/>
      <c r="R85" s="39"/>
      <c r="S85" s="40"/>
      <c r="T85" s="22"/>
      <c r="U85" s="41"/>
      <c r="V85" s="4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>
      <c r="A86" s="26" t="str">
        <f t="array" ref="A86">XLOOKUP($B86,'Maestro de productos 2024'!$A$3:$A$163,'Maestro de productos 2024'!$B$3:$B$163,0)</f>
        <v>ID-3827</v>
      </c>
      <c r="B86" s="27" t="s">
        <v>36</v>
      </c>
      <c r="C86" s="30">
        <f t="array" ref="C86">XLOOKUP(B86,'Maestro de productos 2025'!$B$189:$B$196,'Maestro de productos 2025'!$D$189:$D$196,"No encontrado",0)</f>
        <v>7</v>
      </c>
      <c r="D86" s="30">
        <f t="array" ref="D86">XLOOKUP(B86,'Maestro de productos 2025'!$B$189:$B$196,'Maestro de productos 2025'!$E$189:$E$196,"No encontrado",0)</f>
        <v>3.1117795</v>
      </c>
      <c r="E86" s="31">
        <f t="shared" si="8"/>
        <v>3.8882205</v>
      </c>
      <c r="F86" s="32">
        <f>('Base de datos transacciones'!$H86)*$D86</f>
        <v>96.46516451</v>
      </c>
      <c r="G86" s="32">
        <f>'Base de datos transacciones'!$H86*$C86</f>
        <v>217</v>
      </c>
      <c r="H86" s="32">
        <f t="shared" si="9"/>
        <v>120.5348355</v>
      </c>
      <c r="I86" s="34">
        <f>SUM(G85:G86)</f>
        <v>469</v>
      </c>
      <c r="J86" s="35">
        <f>((I86-I84)/I84)</f>
        <v>-0.2839694656</v>
      </c>
      <c r="K86" s="35">
        <f>(I86-(SUM(F85:F86)))/I86</f>
        <v>0.5804320294</v>
      </c>
      <c r="L86" s="34">
        <f>I86-(SUM(F85:F86))</f>
        <v>272.2226218</v>
      </c>
      <c r="M86" s="35">
        <f>((L86-L84)/L84)</f>
        <v>-0.3032747404</v>
      </c>
      <c r="N86" s="36"/>
      <c r="O86" s="51"/>
      <c r="P86" s="38"/>
      <c r="Q86" s="38"/>
      <c r="R86" s="39"/>
      <c r="S86" s="40"/>
      <c r="T86" s="22"/>
      <c r="U86" s="41"/>
      <c r="V86" s="4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>
      <c r="A87" s="43" t="str">
        <f t="array" ref="A87">XLOOKUP($B87,'Maestro de productos 2024'!$A$3:$A$163,'Maestro de productos 2024'!$B$3:$B$163,0)</f>
        <v>ID-3830</v>
      </c>
      <c r="B87" s="44" t="s">
        <v>108</v>
      </c>
      <c r="C87" s="45">
        <f t="array" ref="C87">XLOOKUP(B87,'Maestro de productos 2025'!$B$189:$B$196,'Maestro de productos 2025'!$D$189:$D$196,"No encontrado",0)</f>
        <v>29</v>
      </c>
      <c r="D87" s="45">
        <f t="array" ref="D87">XLOOKUP(B87,'Maestro de productos 2025'!$B$189:$B$196,'Maestro de productos 2025'!$E$189:$E$196,"No encontrado",0)</f>
        <v>11.936875</v>
      </c>
      <c r="E87" s="46">
        <f t="shared" si="8"/>
        <v>17.063125</v>
      </c>
      <c r="F87" s="47">
        <f>('Base de datos transacciones'!$H87)*$D87</f>
        <v>214.86375</v>
      </c>
      <c r="G87" s="47">
        <f>'Base de datos transacciones'!$H87*$C87</f>
        <v>522</v>
      </c>
      <c r="H87" s="47">
        <f t="shared" si="9"/>
        <v>307.13625</v>
      </c>
      <c r="I87" s="48"/>
      <c r="J87" s="50"/>
      <c r="K87" s="50"/>
      <c r="L87" s="48"/>
      <c r="M87" s="50"/>
      <c r="N87" s="36"/>
      <c r="O87" s="51"/>
      <c r="P87" s="38"/>
      <c r="Q87" s="38"/>
      <c r="R87" s="39"/>
      <c r="S87" s="40"/>
      <c r="T87" s="22"/>
      <c r="U87" s="41"/>
      <c r="V87" s="4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>
      <c r="A88" s="43" t="str">
        <f t="array" ref="A88">XLOOKUP($B88,'Maestro de productos 2024'!$A$3:$A$163,'Maestro de productos 2024'!$B$3:$B$163,0)</f>
        <v>ID-3826</v>
      </c>
      <c r="B88" s="44" t="s">
        <v>35</v>
      </c>
      <c r="C88" s="45">
        <f t="array" ref="C88">XLOOKUP(B88,'Maestro de productos 2025'!$B$189:$B$196,'Maestro de productos 2025'!$D$189:$D$196,"No encontrado",0)</f>
        <v>20</v>
      </c>
      <c r="D88" s="45">
        <f t="array" ref="D88">XLOOKUP(B88,'Maestro de productos 2025'!$B$189:$B$196,'Maestro de productos 2025'!$E$189:$E$196,"No encontrado",0)</f>
        <v>8.073123457</v>
      </c>
      <c r="E88" s="46">
        <f t="shared" si="8"/>
        <v>11.92687654</v>
      </c>
      <c r="F88" s="47">
        <f>('Base de datos transacciones'!$H88)*$D88</f>
        <v>145.3162222</v>
      </c>
      <c r="G88" s="47">
        <f>'Base de datos transacciones'!$H88*$C88</f>
        <v>360</v>
      </c>
      <c r="H88" s="47">
        <f t="shared" si="9"/>
        <v>214.6837778</v>
      </c>
      <c r="I88" s="48">
        <f>SUM(G87:G88)</f>
        <v>882</v>
      </c>
      <c r="J88" s="50">
        <f>((I88-I86)/I86)</f>
        <v>0.8805970149</v>
      </c>
      <c r="K88" s="50">
        <f>(I88-(SUM(F87:F88)))/I88</f>
        <v>0.5916326846</v>
      </c>
      <c r="L88" s="48">
        <f>I88-(SUM(F87:F88))</f>
        <v>521.8200278</v>
      </c>
      <c r="M88" s="50">
        <f>((L88-L86)/L86)</f>
        <v>0.9168870842</v>
      </c>
      <c r="N88" s="36">
        <f>SUM(G80:G88)</f>
        <v>3190</v>
      </c>
      <c r="O88" s="51">
        <f>((N88-N78)/N78)</f>
        <v>0.2603713947</v>
      </c>
      <c r="P88" s="52">
        <f>(N88-SUM(F80:F88))/N88</f>
        <v>0.5935569881</v>
      </c>
      <c r="Q88" s="53">
        <f>N88-(SUM(F80:F88))</f>
        <v>1893.446792</v>
      </c>
      <c r="R88" s="54">
        <f>((Q88-Q78)/Q78)</f>
        <v>0.2244913955</v>
      </c>
      <c r="S88" s="40"/>
      <c r="T88" s="22"/>
      <c r="U88" s="41"/>
      <c r="V88" s="4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>
      <c r="A89" s="26" t="str">
        <f t="array" ref="A89">XLOOKUP($B89,'Maestro de productos 2024'!$A$3:$A$163,'Maestro de productos 2024'!$B$3:$B$163,0)</f>
        <v>ID-3824</v>
      </c>
      <c r="B89" s="27" t="s">
        <v>34</v>
      </c>
      <c r="C89" s="30">
        <f t="array" ref="C89">XLOOKUP(B89,'Maestro de productos 2025'!$B$189:$B$196,'Maestro de productos 2025'!$D$189:$D$196,"No encontrado",0)</f>
        <v>10</v>
      </c>
      <c r="D89" s="30">
        <f t="array" ref="D89">XLOOKUP(B89,'Maestro de productos 2025'!$B$189:$B$196,'Maestro de productos 2025'!$E$189:$E$196,"No encontrado",0)</f>
        <v>4.07174399</v>
      </c>
      <c r="E89" s="31">
        <f t="shared" si="8"/>
        <v>5.92825601</v>
      </c>
      <c r="F89" s="32">
        <f>('Base de datos transacciones'!$H89)*$D89</f>
        <v>130.2958077</v>
      </c>
      <c r="G89" s="32">
        <f>'Base de datos transacciones'!$H89*$C89</f>
        <v>320</v>
      </c>
      <c r="H89" s="32">
        <f t="shared" si="9"/>
        <v>189.7041923</v>
      </c>
      <c r="I89" s="34"/>
      <c r="J89" s="35"/>
      <c r="K89" s="35"/>
      <c r="L89" s="34"/>
      <c r="M89" s="35"/>
      <c r="N89" s="36"/>
      <c r="O89" s="51"/>
      <c r="P89" s="38"/>
      <c r="Q89" s="38"/>
      <c r="R89" s="39"/>
      <c r="S89" s="40"/>
      <c r="T89" s="22"/>
      <c r="U89" s="41"/>
      <c r="V89" s="4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>
      <c r="A90" s="26" t="str">
        <f t="array" ref="A90">XLOOKUP($B90,'Maestro de productos 2024'!$A$3:$A$163,'Maestro de productos 2024'!$B$3:$B$163,0)</f>
        <v>ID-3828</v>
      </c>
      <c r="B90" s="27" t="s">
        <v>38</v>
      </c>
      <c r="C90" s="30">
        <f t="array" ref="C90">XLOOKUP(B90,'Maestro de productos 2025'!$B$189:$B$196,'Maestro de productos 2025'!$D$189:$D$196,"No encontrado",0)</f>
        <v>21</v>
      </c>
      <c r="D90" s="30">
        <f t="array" ref="D90">XLOOKUP(B90,'Maestro de productos 2025'!$B$189:$B$196,'Maestro de productos 2025'!$E$189:$E$196,"No encontrado",0)</f>
        <v>8.35935114</v>
      </c>
      <c r="E90" s="31">
        <f t="shared" si="8"/>
        <v>12.64064886</v>
      </c>
      <c r="F90" s="32">
        <f>('Base de datos transacciones'!$H90)*$D90</f>
        <v>200.6244274</v>
      </c>
      <c r="G90" s="32">
        <f>'Base de datos transacciones'!$H90*$C90</f>
        <v>504</v>
      </c>
      <c r="H90" s="32">
        <f t="shared" si="9"/>
        <v>303.3755726</v>
      </c>
      <c r="I90" s="34">
        <f>SUM(G89:G90)</f>
        <v>824</v>
      </c>
      <c r="J90" s="35">
        <f>((I90-I88)/I88)</f>
        <v>-0.06575963719</v>
      </c>
      <c r="K90" s="35">
        <f>(I90-(SUM(F89:F90)))/I90</f>
        <v>0.598397773</v>
      </c>
      <c r="L90" s="34">
        <f>I90-(SUM(F89:F90))</f>
        <v>493.079765</v>
      </c>
      <c r="M90" s="35">
        <f>((L90-L88)/L88)</f>
        <v>-0.05507696388</v>
      </c>
      <c r="N90" s="36"/>
      <c r="O90" s="51"/>
      <c r="P90" s="38"/>
      <c r="Q90" s="38"/>
      <c r="R90" s="39"/>
      <c r="S90" s="40"/>
      <c r="T90" s="22"/>
      <c r="U90" s="41"/>
      <c r="V90" s="4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>
      <c r="A91" s="43" t="str">
        <f t="array" ref="A91">XLOOKUP($B91,'Maestro de productos 2024'!$A$3:$A$163,'Maestro de productos 2024'!$B$3:$B$163,0)</f>
        <v>ID-3828</v>
      </c>
      <c r="B91" s="44" t="s">
        <v>38</v>
      </c>
      <c r="C91" s="45">
        <f t="array" ref="C91">XLOOKUP(B91,'Maestro de productos 2025'!$B$189:$B$196,'Maestro de productos 2025'!$D$189:$D$196,"No encontrado",0)</f>
        <v>21</v>
      </c>
      <c r="D91" s="45">
        <f t="array" ref="D91">XLOOKUP(B91,'Maestro de productos 2025'!$B$189:$B$196,'Maestro de productos 2025'!$E$189:$E$196,"No encontrado",0)</f>
        <v>8.35935114</v>
      </c>
      <c r="E91" s="46">
        <f t="shared" si="8"/>
        <v>12.64064886</v>
      </c>
      <c r="F91" s="47">
        <f>('Base de datos transacciones'!$H91)*$D91</f>
        <v>100.3122137</v>
      </c>
      <c r="G91" s="47">
        <f>'Base de datos transacciones'!$H91*$C91</f>
        <v>252</v>
      </c>
      <c r="H91" s="47">
        <f t="shared" si="9"/>
        <v>151.6877863</v>
      </c>
      <c r="I91" s="48"/>
      <c r="J91" s="50"/>
      <c r="K91" s="50"/>
      <c r="L91" s="48"/>
      <c r="M91" s="50"/>
      <c r="N91" s="36"/>
      <c r="O91" s="51"/>
      <c r="P91" s="38"/>
      <c r="Q91" s="38"/>
      <c r="R91" s="39"/>
      <c r="S91" s="40"/>
      <c r="T91" s="22"/>
      <c r="U91" s="41"/>
      <c r="V91" s="4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>
      <c r="A92" s="43" t="str">
        <f t="array" ref="A92">XLOOKUP($B92,'Maestro de productos 2024'!$A$3:$A$163,'Maestro de productos 2024'!$B$3:$B$163,0)</f>
        <v>ID-3827</v>
      </c>
      <c r="B92" s="44" t="s">
        <v>36</v>
      </c>
      <c r="C92" s="45">
        <f t="array" ref="C92">XLOOKUP(B92,'Maestro de productos 2025'!$B$189:$B$196,'Maestro de productos 2025'!$D$189:$D$196,"No encontrado",0)</f>
        <v>7</v>
      </c>
      <c r="D92" s="45">
        <f t="array" ref="D92">XLOOKUP(B92,'Maestro de productos 2025'!$B$189:$B$196,'Maestro de productos 2025'!$E$189:$E$196,"No encontrado",0)</f>
        <v>3.1117795</v>
      </c>
      <c r="E92" s="46">
        <f t="shared" si="8"/>
        <v>3.8882205</v>
      </c>
      <c r="F92" s="47">
        <f>('Base de datos transacciones'!$H92)*$D92</f>
        <v>99.57694401</v>
      </c>
      <c r="G92" s="47">
        <f>'Base de datos transacciones'!$H92*$C92</f>
        <v>224</v>
      </c>
      <c r="H92" s="47">
        <f t="shared" si="9"/>
        <v>124.423056</v>
      </c>
      <c r="I92" s="48">
        <f>SUM(G91:G92)</f>
        <v>476</v>
      </c>
      <c r="J92" s="50">
        <f>((I92-I90)/I90)</f>
        <v>-0.4223300971</v>
      </c>
      <c r="K92" s="50">
        <f>(I92-(SUM(F91:F92)))/I92</f>
        <v>0.5800647948</v>
      </c>
      <c r="L92" s="48">
        <f>I92-(SUM(F91:F92))</f>
        <v>276.1108423</v>
      </c>
      <c r="M92" s="50">
        <f>((L92-L90)/L90)</f>
        <v>-0.4400280402</v>
      </c>
      <c r="N92" s="36"/>
      <c r="O92" s="51"/>
      <c r="P92" s="38"/>
      <c r="Q92" s="38"/>
      <c r="R92" s="39"/>
      <c r="S92" s="40"/>
      <c r="T92" s="22"/>
      <c r="U92" s="41"/>
      <c r="V92" s="4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>
      <c r="A93" s="26" t="str">
        <f t="array" ref="A93">XLOOKUP($B93,'Maestro de productos 2024'!$A$3:$A$163,'Maestro de productos 2024'!$B$3:$B$163,0)</f>
        <v>ID-3824</v>
      </c>
      <c r="B93" s="27" t="s">
        <v>34</v>
      </c>
      <c r="C93" s="30">
        <f t="array" ref="C93">XLOOKUP(B93,'Maestro de productos 2025'!$B$189:$B$196,'Maestro de productos 2025'!$D$189:$D$196,"No encontrado",0)</f>
        <v>10</v>
      </c>
      <c r="D93" s="30">
        <f t="array" ref="D93">XLOOKUP(B93,'Maestro de productos 2025'!$B$189:$B$196,'Maestro de productos 2025'!$E$189:$E$196,"No encontrado",0)</f>
        <v>4.07174399</v>
      </c>
      <c r="E93" s="31">
        <f t="shared" si="8"/>
        <v>5.92825601</v>
      </c>
      <c r="F93" s="32">
        <f>('Base de datos transacciones'!$H93)*$D93</f>
        <v>122.1523197</v>
      </c>
      <c r="G93" s="32">
        <f>'Base de datos transacciones'!$H93*$C93</f>
        <v>300</v>
      </c>
      <c r="H93" s="32">
        <f t="shared" si="9"/>
        <v>177.8476803</v>
      </c>
      <c r="I93" s="34"/>
      <c r="J93" s="35"/>
      <c r="K93" s="35"/>
      <c r="L93" s="34"/>
      <c r="M93" s="35"/>
      <c r="N93" s="36"/>
      <c r="O93" s="51"/>
      <c r="P93" s="38"/>
      <c r="Q93" s="38"/>
      <c r="R93" s="39"/>
      <c r="S93" s="40"/>
      <c r="T93" s="22"/>
      <c r="U93" s="41"/>
      <c r="V93" s="4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>
      <c r="A94" s="26" t="str">
        <f t="array" ref="A94">XLOOKUP($B94,'Maestro de productos 2024'!$A$3:$A$163,'Maestro de productos 2024'!$B$3:$B$163,0)</f>
        <v>ID-3829</v>
      </c>
      <c r="B94" s="27" t="s">
        <v>97</v>
      </c>
      <c r="C94" s="30">
        <f t="array" ref="C94">XLOOKUP(B94,'Maestro de productos 2025'!$B$189:$B$196,'Maestro de productos 2025'!$D$189:$D$196,"No encontrado",0)</f>
        <v>9</v>
      </c>
      <c r="D94" s="30">
        <f t="array" ref="D94">XLOOKUP(B94,'Maestro de productos 2025'!$B$189:$B$196,'Maestro de productos 2025'!$E$189:$E$196,"No encontrado",0)</f>
        <v>3.61086859</v>
      </c>
      <c r="E94" s="31">
        <f t="shared" si="8"/>
        <v>5.38913141</v>
      </c>
      <c r="F94" s="32">
        <f>('Base de datos transacciones'!$H94)*$D94</f>
        <v>126.3804006</v>
      </c>
      <c r="G94" s="32">
        <f>'Base de datos transacciones'!$H94*$C94</f>
        <v>315</v>
      </c>
      <c r="H94" s="32">
        <f t="shared" si="9"/>
        <v>188.6195994</v>
      </c>
      <c r="I94" s="34">
        <f>SUM(G93:G94)</f>
        <v>615</v>
      </c>
      <c r="J94" s="35">
        <f>((I94-I92)/I92)</f>
        <v>0.2920168067</v>
      </c>
      <c r="K94" s="35">
        <f>(I94-(SUM(F93:F94)))/I94</f>
        <v>0.5958817555</v>
      </c>
      <c r="L94" s="34">
        <f>I94-(SUM(F93:F94))</f>
        <v>366.4672796</v>
      </c>
      <c r="M94" s="35">
        <f>((L94-L92)/L92)</f>
        <v>0.3272469729</v>
      </c>
      <c r="N94" s="36"/>
      <c r="O94" s="51"/>
      <c r="P94" s="38"/>
      <c r="Q94" s="38"/>
      <c r="R94" s="39"/>
      <c r="S94" s="40"/>
      <c r="T94" s="22"/>
      <c r="U94" s="41"/>
      <c r="V94" s="4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>
      <c r="A95" s="43" t="str">
        <f t="array" ref="A95">XLOOKUP($B95,'Maestro de productos 2024'!$A$3:$A$163,'Maestro de productos 2024'!$B$3:$B$163,0)</f>
        <v>ID-3825</v>
      </c>
      <c r="B95" s="44" t="s">
        <v>37</v>
      </c>
      <c r="C95" s="45">
        <f t="array" ref="C95">XLOOKUP(B95,'Maestro de productos 2025'!$B$189:$B$196,'Maestro de productos 2025'!$D$189:$D$196,"No encontrado",0)</f>
        <v>25</v>
      </c>
      <c r="D95" s="45">
        <f t="array" ref="D95">XLOOKUP(B95,'Maestro de productos 2025'!$B$189:$B$196,'Maestro de productos 2025'!$E$189:$E$196,"No encontrado",0)</f>
        <v>10.26450643</v>
      </c>
      <c r="E95" s="46">
        <f t="shared" si="8"/>
        <v>14.73549357</v>
      </c>
      <c r="F95" s="47">
        <f>('Base de datos transacciones'!$H95)*$D95</f>
        <v>164.2321029</v>
      </c>
      <c r="G95" s="47">
        <f>'Base de datos transacciones'!$H95*$C95</f>
        <v>400</v>
      </c>
      <c r="H95" s="47">
        <f t="shared" si="9"/>
        <v>235.7678971</v>
      </c>
      <c r="I95" s="48"/>
      <c r="J95" s="50"/>
      <c r="K95" s="50"/>
      <c r="L95" s="48"/>
      <c r="M95" s="50"/>
      <c r="N95" s="36"/>
      <c r="O95" s="51"/>
      <c r="P95" s="38"/>
      <c r="Q95" s="38"/>
      <c r="R95" s="39"/>
      <c r="S95" s="40"/>
      <c r="T95" s="22"/>
      <c r="U95" s="41"/>
      <c r="V95" s="4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>
      <c r="A96" s="43" t="str">
        <f t="array" ref="A96">XLOOKUP($B96,'Maestro de productos 2024'!$A$3:$A$163,'Maestro de productos 2024'!$B$3:$B$163,0)</f>
        <v>ID-3824</v>
      </c>
      <c r="B96" s="44" t="s">
        <v>34</v>
      </c>
      <c r="C96" s="45">
        <f t="array" ref="C96">XLOOKUP(B96,'Maestro de productos 2025'!$B$189:$B$196,'Maestro de productos 2025'!$D$189:$D$196,"No encontrado",0)</f>
        <v>10</v>
      </c>
      <c r="D96" s="45">
        <f t="array" ref="D96">XLOOKUP(B96,'Maestro de productos 2025'!$B$189:$B$196,'Maestro de productos 2025'!$E$189:$E$196,"No encontrado",0)</f>
        <v>4.07174399</v>
      </c>
      <c r="E96" s="46">
        <f t="shared" si="8"/>
        <v>5.92825601</v>
      </c>
      <c r="F96" s="47">
        <f>('Base de datos transacciones'!$H96)*$D96</f>
        <v>130.2958077</v>
      </c>
      <c r="G96" s="47">
        <f>'Base de datos transacciones'!$H96*$C96</f>
        <v>320</v>
      </c>
      <c r="H96" s="47">
        <f t="shared" si="9"/>
        <v>189.7041923</v>
      </c>
      <c r="I96" s="48">
        <f>SUM(G95:G96)</f>
        <v>720</v>
      </c>
      <c r="J96" s="50">
        <f>((I96-I94)/I94)</f>
        <v>0.1707317073</v>
      </c>
      <c r="K96" s="50">
        <f>(I96-(SUM(F95:F96)))/I96</f>
        <v>0.5909334575</v>
      </c>
      <c r="L96" s="48">
        <f>I96-(SUM(F95:F96))</f>
        <v>425.4720894</v>
      </c>
      <c r="M96" s="50">
        <f>((L96-L94)/L94)</f>
        <v>0.1610097627</v>
      </c>
      <c r="N96" s="36">
        <f>SUM(G89:G96)</f>
        <v>2635</v>
      </c>
      <c r="O96" s="51">
        <f>((N96-N88)/N88)</f>
        <v>-0.1739811912</v>
      </c>
      <c r="P96" s="52">
        <f>(N96-SUM(F89:F96))/N96</f>
        <v>0.592459194</v>
      </c>
      <c r="Q96" s="53">
        <f>N96-(SUM(F89:F96))</f>
        <v>1561.129976</v>
      </c>
      <c r="R96" s="54">
        <f>((Q96-Q88)/Q88)</f>
        <v>-0.1755089275</v>
      </c>
      <c r="S96" s="40"/>
      <c r="T96" s="22"/>
      <c r="U96" s="41"/>
      <c r="V96" s="4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>
      <c r="A97" s="26" t="str">
        <f t="array" ref="A97">XLOOKUP($B97,'Maestro de productos 2024'!$A$3:$A$163,'Maestro de productos 2024'!$B$3:$B$163,0)</f>
        <v>ID-3828</v>
      </c>
      <c r="B97" s="27" t="s">
        <v>38</v>
      </c>
      <c r="C97" s="30">
        <f t="array" ref="C97">XLOOKUP(B97,'Maestro de productos 2025'!$B$189:$B$196,'Maestro de productos 2025'!$D$189:$D$196,"No encontrado",0)</f>
        <v>21</v>
      </c>
      <c r="D97" s="30">
        <f t="array" ref="D97">XLOOKUP(B97,'Maestro de productos 2025'!$B$189:$B$196,'Maestro de productos 2025'!$E$189:$E$196,"No encontrado",0)</f>
        <v>8.35935114</v>
      </c>
      <c r="E97" s="31">
        <f t="shared" si="8"/>
        <v>12.64064886</v>
      </c>
      <c r="F97" s="32">
        <f>('Base de datos transacciones'!$H97)*$D97</f>
        <v>200.6244274</v>
      </c>
      <c r="G97" s="32">
        <f>'Base de datos transacciones'!$H97*$C97</f>
        <v>504</v>
      </c>
      <c r="H97" s="32">
        <f t="shared" si="9"/>
        <v>303.3755726</v>
      </c>
      <c r="I97" s="34"/>
      <c r="J97" s="35"/>
      <c r="K97" s="35"/>
      <c r="L97" s="34"/>
      <c r="M97" s="35"/>
      <c r="N97" s="36"/>
      <c r="O97" s="51"/>
      <c r="P97" s="38"/>
      <c r="Q97" s="38"/>
      <c r="R97" s="39"/>
      <c r="S97" s="40"/>
      <c r="T97" s="22"/>
      <c r="U97" s="41"/>
      <c r="V97" s="4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>
      <c r="A98" s="26" t="str">
        <f t="array" ref="A98">XLOOKUP($B98,'Maestro de productos 2024'!$A$3:$A$163,'Maestro de productos 2024'!$B$3:$B$163,0)</f>
        <v>ID-3831</v>
      </c>
      <c r="B98" s="27" t="s">
        <v>109</v>
      </c>
      <c r="C98" s="30">
        <f t="array" ref="C98">XLOOKUP(B98,'Maestro de productos 2025'!$B$189:$B$196,'Maestro de productos 2025'!$D$189:$D$196,"No encontrado",0)</f>
        <v>20</v>
      </c>
      <c r="D98" s="30">
        <f t="array" ref="D98">XLOOKUP(B98,'Maestro de productos 2025'!$B$189:$B$196,'Maestro de productos 2025'!$E$189:$E$196,"No encontrado",0)</f>
        <v>7.889760073</v>
      </c>
      <c r="E98" s="31">
        <f t="shared" si="8"/>
        <v>12.11023993</v>
      </c>
      <c r="F98" s="32">
        <f>('Base de datos transacciones'!$H98)*$D98</f>
        <v>94.67712088</v>
      </c>
      <c r="G98" s="32">
        <f>'Base de datos transacciones'!$H98*$C98</f>
        <v>240</v>
      </c>
      <c r="H98" s="32">
        <f t="shared" si="9"/>
        <v>145.3228791</v>
      </c>
      <c r="I98" s="34">
        <f>SUM(G97:G98)</f>
        <v>744</v>
      </c>
      <c r="J98" s="35">
        <f>((I98-I96)/I96)</f>
        <v>0.03333333333</v>
      </c>
      <c r="K98" s="35">
        <f>(I98-(SUM(F97:F98)))/I98</f>
        <v>0.6030893169</v>
      </c>
      <c r="L98" s="34">
        <f>I98-(SUM(F97:F98))</f>
        <v>448.6984518</v>
      </c>
      <c r="M98" s="35">
        <f>((L98-L96)/L96)</f>
        <v>0.0545896264</v>
      </c>
      <c r="N98" s="36"/>
      <c r="O98" s="51"/>
      <c r="P98" s="38"/>
      <c r="Q98" s="38"/>
      <c r="R98" s="39"/>
      <c r="S98" s="40"/>
      <c r="T98" s="22"/>
      <c r="U98" s="41"/>
      <c r="V98" s="4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>
      <c r="A99" s="43" t="str">
        <f t="array" ref="A99">XLOOKUP($B99,'Maestro de productos 2024'!$A$3:$A$163,'Maestro de productos 2024'!$B$3:$B$163,0)</f>
        <v>ID-3824</v>
      </c>
      <c r="B99" s="44" t="s">
        <v>34</v>
      </c>
      <c r="C99" s="45">
        <f t="array" ref="C99">XLOOKUP(B99,'Maestro de productos 2025'!$B$189:$B$196,'Maestro de productos 2025'!$D$189:$D$196,"No encontrado",0)</f>
        <v>10</v>
      </c>
      <c r="D99" s="45">
        <f t="array" ref="D99">XLOOKUP(B99,'Maestro de productos 2025'!$B$189:$B$196,'Maestro de productos 2025'!$E$189:$E$196,"No encontrado",0)</f>
        <v>4.07174399</v>
      </c>
      <c r="E99" s="46">
        <f t="shared" si="8"/>
        <v>5.92825601</v>
      </c>
      <c r="F99" s="47">
        <f>('Base de datos transacciones'!$H99)*$D99</f>
        <v>122.1523197</v>
      </c>
      <c r="G99" s="47">
        <f>'Base de datos transacciones'!$H99*$C99</f>
        <v>300</v>
      </c>
      <c r="H99" s="47">
        <f t="shared" si="9"/>
        <v>177.8476803</v>
      </c>
      <c r="I99" s="48"/>
      <c r="J99" s="50"/>
      <c r="K99" s="50"/>
      <c r="L99" s="48"/>
      <c r="M99" s="50"/>
      <c r="N99" s="36"/>
      <c r="O99" s="51"/>
      <c r="P99" s="38"/>
      <c r="Q99" s="38"/>
      <c r="R99" s="39"/>
      <c r="S99" s="40"/>
      <c r="T99" s="22"/>
      <c r="U99" s="41"/>
      <c r="V99" s="4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>
      <c r="A100" s="43" t="str">
        <f t="array" ref="A100">XLOOKUP($B100,'Maestro de productos 2024'!$A$3:$A$163,'Maestro de productos 2024'!$B$3:$B$163,0)</f>
        <v>ID-3827</v>
      </c>
      <c r="B100" s="44" t="s">
        <v>36</v>
      </c>
      <c r="C100" s="45">
        <f t="array" ref="C100">XLOOKUP(B100,'Maestro de productos 2025'!$B$189:$B$196,'Maestro de productos 2025'!$D$189:$D$196,"No encontrado",0)</f>
        <v>7</v>
      </c>
      <c r="D100" s="45">
        <f t="array" ref="D100">XLOOKUP(B100,'Maestro de productos 2025'!$B$189:$B$196,'Maestro de productos 2025'!$E$189:$E$196,"No encontrado",0)</f>
        <v>3.1117795</v>
      </c>
      <c r="E100" s="46">
        <f t="shared" si="8"/>
        <v>3.8882205</v>
      </c>
      <c r="F100" s="47">
        <f>('Base de datos transacciones'!$H100)*$D100</f>
        <v>108.9122825</v>
      </c>
      <c r="G100" s="47">
        <f>'Base de datos transacciones'!$H100*$C100</f>
        <v>245</v>
      </c>
      <c r="H100" s="47">
        <f t="shared" si="9"/>
        <v>136.0877175</v>
      </c>
      <c r="I100" s="48">
        <f>SUM(G99:G100)</f>
        <v>545</v>
      </c>
      <c r="J100" s="50">
        <f>((I100-I98)/I98)</f>
        <v>-0.2674731183</v>
      </c>
      <c r="K100" s="50">
        <f>(I100-(SUM(F99:F100)))/I100</f>
        <v>0.5760282528</v>
      </c>
      <c r="L100" s="48">
        <f>I100-(SUM(F99:F100))</f>
        <v>313.9353978</v>
      </c>
      <c r="M100" s="50">
        <f>((L100-L98)/L98)</f>
        <v>-0.3003421417</v>
      </c>
      <c r="N100" s="36"/>
      <c r="O100" s="51"/>
      <c r="P100" s="38"/>
      <c r="Q100" s="38"/>
      <c r="R100" s="39"/>
      <c r="S100" s="40"/>
      <c r="T100" s="22"/>
      <c r="U100" s="41"/>
      <c r="V100" s="4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>
      <c r="A101" s="26" t="str">
        <f t="array" ref="A101">XLOOKUP($B101,'Maestro de productos 2024'!$A$3:$A$163,'Maestro de productos 2024'!$B$3:$B$163,0)</f>
        <v>ID-3828</v>
      </c>
      <c r="B101" s="27" t="s">
        <v>38</v>
      </c>
      <c r="C101" s="30">
        <f t="array" ref="C101">XLOOKUP(B101,'Maestro de productos 2025'!$B$189:$B$196,'Maestro de productos 2025'!$D$189:$D$196,"No encontrado",0)</f>
        <v>21</v>
      </c>
      <c r="D101" s="30">
        <f t="array" ref="D101">XLOOKUP(B101,'Maestro de productos 2025'!$B$189:$B$196,'Maestro de productos 2025'!$E$189:$E$196,"No encontrado",0)</f>
        <v>8.35935114</v>
      </c>
      <c r="E101" s="31">
        <f t="shared" si="8"/>
        <v>12.64064886</v>
      </c>
      <c r="F101" s="32">
        <f>('Base de datos transacciones'!$H101)*$D101</f>
        <v>100.3122137</v>
      </c>
      <c r="G101" s="32">
        <f>'Base de datos transacciones'!$H101*$C101</f>
        <v>252</v>
      </c>
      <c r="H101" s="32">
        <f t="shared" si="9"/>
        <v>151.6877863</v>
      </c>
      <c r="I101" s="34"/>
      <c r="J101" s="35"/>
      <c r="K101" s="35"/>
      <c r="L101" s="34"/>
      <c r="M101" s="35"/>
      <c r="N101" s="36"/>
      <c r="O101" s="51"/>
      <c r="P101" s="38"/>
      <c r="Q101" s="38"/>
      <c r="R101" s="39"/>
      <c r="S101" s="40"/>
      <c r="T101" s="22"/>
      <c r="U101" s="41"/>
      <c r="V101" s="4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>
      <c r="A102" s="26" t="str">
        <f t="array" ref="A102">XLOOKUP($B102,'Maestro de productos 2024'!$A$3:$A$163,'Maestro de productos 2024'!$B$3:$B$163,0)</f>
        <v>ID-3826</v>
      </c>
      <c r="B102" s="27" t="s">
        <v>35</v>
      </c>
      <c r="C102" s="30">
        <f t="array" ref="C102">XLOOKUP(B102,'Maestro de productos 2025'!$B$189:$B$196,'Maestro de productos 2025'!$D$189:$D$196,"No encontrado",0)</f>
        <v>20</v>
      </c>
      <c r="D102" s="30">
        <f t="array" ref="D102">XLOOKUP(B102,'Maestro de productos 2025'!$B$189:$B$196,'Maestro de productos 2025'!$E$189:$E$196,"No encontrado",0)</f>
        <v>8.073123457</v>
      </c>
      <c r="E102" s="31">
        <f t="shared" si="8"/>
        <v>11.92687654</v>
      </c>
      <c r="F102" s="32">
        <f>('Base de datos transacciones'!$H102)*$D102</f>
        <v>145.3162222</v>
      </c>
      <c r="G102" s="32">
        <f>'Base de datos transacciones'!$H102*$C102</f>
        <v>360</v>
      </c>
      <c r="H102" s="32">
        <f t="shared" si="9"/>
        <v>214.6837778</v>
      </c>
      <c r="I102" s="34">
        <f>SUM(G101:G102)</f>
        <v>612</v>
      </c>
      <c r="J102" s="35">
        <f>((I102-I100)/I100)</f>
        <v>0.1229357798</v>
      </c>
      <c r="K102" s="35">
        <f>(I102-(SUM(F101:F102)))/I102</f>
        <v>0.5986463466</v>
      </c>
      <c r="L102" s="34">
        <f>I102-(SUM(F101:F102))</f>
        <v>366.3715641</v>
      </c>
      <c r="M102" s="35">
        <f>((L102-L100)/L100)</f>
        <v>0.1670285247</v>
      </c>
      <c r="N102" s="36"/>
      <c r="O102" s="51"/>
      <c r="P102" s="38"/>
      <c r="Q102" s="38"/>
      <c r="R102" s="39"/>
      <c r="S102" s="40"/>
      <c r="T102" s="22"/>
      <c r="U102" s="41"/>
      <c r="V102" s="4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>
      <c r="A103" s="43" t="str">
        <f t="array" ref="A103">XLOOKUP($B103,'Maestro de productos 2024'!$A$3:$A$163,'Maestro de productos 2024'!$B$3:$B$163,0)</f>
        <v>ID-3825</v>
      </c>
      <c r="B103" s="44" t="s">
        <v>37</v>
      </c>
      <c r="C103" s="45">
        <f t="array" ref="C103">XLOOKUP(B103,'Maestro de productos 2025'!$B$189:$B$196,'Maestro de productos 2025'!$D$189:$D$196,"No encontrado",0)</f>
        <v>25</v>
      </c>
      <c r="D103" s="45">
        <f t="array" ref="D103">XLOOKUP(B103,'Maestro de productos 2025'!$B$189:$B$196,'Maestro de productos 2025'!$E$189:$E$196,"No encontrado",0)</f>
        <v>10.26450643</v>
      </c>
      <c r="E103" s="46">
        <f t="shared" si="8"/>
        <v>14.73549357</v>
      </c>
      <c r="F103" s="47">
        <f>('Base de datos transacciones'!$H103)*$D103</f>
        <v>153.9675965</v>
      </c>
      <c r="G103" s="47">
        <f>'Base de datos transacciones'!$H103*$C103</f>
        <v>375</v>
      </c>
      <c r="H103" s="47">
        <f t="shared" si="9"/>
        <v>221.0324035</v>
      </c>
      <c r="I103" s="48"/>
      <c r="J103" s="50"/>
      <c r="K103" s="50"/>
      <c r="L103" s="48"/>
      <c r="M103" s="50"/>
      <c r="N103" s="36"/>
      <c r="O103" s="51"/>
      <c r="P103" s="38"/>
      <c r="Q103" s="38"/>
      <c r="R103" s="39"/>
      <c r="S103" s="40"/>
      <c r="T103" s="22"/>
      <c r="U103" s="41"/>
      <c r="V103" s="4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>
      <c r="A104" s="43" t="str">
        <f t="array" ref="A104">XLOOKUP($B104,'Maestro de productos 2024'!$A$3:$A$163,'Maestro de productos 2024'!$B$3:$B$163,0)</f>
        <v>ID-3824</v>
      </c>
      <c r="B104" s="44" t="s">
        <v>34</v>
      </c>
      <c r="C104" s="45">
        <f t="array" ref="C104">XLOOKUP(B104,'Maestro de productos 2025'!$B$189:$B$196,'Maestro de productos 2025'!$D$189:$D$196,"No encontrado",0)</f>
        <v>10</v>
      </c>
      <c r="D104" s="45">
        <f t="array" ref="D104">XLOOKUP(B104,'Maestro de productos 2025'!$B$189:$B$196,'Maestro de productos 2025'!$E$189:$E$196,"No encontrado",0)</f>
        <v>4.07174399</v>
      </c>
      <c r="E104" s="46">
        <f t="shared" si="8"/>
        <v>5.92825601</v>
      </c>
      <c r="F104" s="47">
        <f>('Base de datos transacciones'!$H104)*$D104</f>
        <v>126.2240637</v>
      </c>
      <c r="G104" s="47">
        <f>'Base de datos transacciones'!$H104*$C104</f>
        <v>310</v>
      </c>
      <c r="H104" s="47">
        <f t="shared" si="9"/>
        <v>183.7759363</v>
      </c>
      <c r="I104" s="48">
        <f>SUM(G103:G104)</f>
        <v>685</v>
      </c>
      <c r="J104" s="50">
        <f>((I104-I102)/I102)</f>
        <v>0.1192810458</v>
      </c>
      <c r="K104" s="50">
        <f>(I104-(SUM(F103:F104)))/I104</f>
        <v>0.59096108</v>
      </c>
      <c r="L104" s="48">
        <f>I104-(SUM(F103:F104))</f>
        <v>404.8083398</v>
      </c>
      <c r="M104" s="50">
        <f>((L104-L102)/L102)</f>
        <v>0.1049120059</v>
      </c>
      <c r="N104" s="36">
        <f>SUM(G97:G104)</f>
        <v>2586</v>
      </c>
      <c r="O104" s="51">
        <f>((N104-N96)/N96)</f>
        <v>-0.01859582543</v>
      </c>
      <c r="P104" s="52">
        <f>(N104-SUM(F97:F104))/N104</f>
        <v>0.5931221011</v>
      </c>
      <c r="Q104" s="53">
        <f>N104-(SUM(F97:F104))</f>
        <v>1533.813753</v>
      </c>
      <c r="R104" s="54">
        <f>((Q104-Q96)/Q96)</f>
        <v>-0.01749772489</v>
      </c>
      <c r="S104" s="40"/>
      <c r="T104" s="22"/>
      <c r="U104" s="41"/>
      <c r="V104" s="4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>
      <c r="A105" s="26" t="str">
        <f t="array" ref="A105">XLOOKUP($B105,'Maestro de productos 2024'!$A$3:$A$163,'Maestro de productos 2024'!$B$3:$B$163,0)</f>
        <v>ID-3828</v>
      </c>
      <c r="B105" s="27" t="s">
        <v>38</v>
      </c>
      <c r="C105" s="30">
        <f t="array" ref="C105">XLOOKUP(B105,'Maestro de productos 2025'!$B$189:$B$196,'Maestro de productos 2025'!$D$189:$D$196,"No encontrado",0)</f>
        <v>21</v>
      </c>
      <c r="D105" s="30">
        <f t="array" ref="D105">XLOOKUP(B105,'Maestro de productos 2025'!$B$189:$B$196,'Maestro de productos 2025'!$E$189:$E$196,"No encontrado",0)</f>
        <v>8.35935114</v>
      </c>
      <c r="E105" s="31">
        <f t="shared" si="8"/>
        <v>12.64064886</v>
      </c>
      <c r="F105" s="32">
        <f>('Base de datos transacciones'!$H105)*$D105</f>
        <v>200.6244274</v>
      </c>
      <c r="G105" s="32">
        <f>'Base de datos transacciones'!$H105*$C105</f>
        <v>504</v>
      </c>
      <c r="H105" s="32">
        <f t="shared" si="9"/>
        <v>303.3755726</v>
      </c>
      <c r="I105" s="34"/>
      <c r="J105" s="35"/>
      <c r="K105" s="35"/>
      <c r="L105" s="34"/>
      <c r="M105" s="35"/>
      <c r="N105" s="36"/>
      <c r="O105" s="51"/>
      <c r="P105" s="38"/>
      <c r="Q105" s="38"/>
      <c r="R105" s="39"/>
      <c r="S105" s="40"/>
      <c r="T105" s="22"/>
      <c r="U105" s="41"/>
      <c r="V105" s="4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>
      <c r="A106" s="26" t="str">
        <f t="array" ref="A106">XLOOKUP($B106,'Maestro de productos 2024'!$A$3:$A$163,'Maestro de productos 2024'!$B$3:$B$163,0)</f>
        <v>ID-3831</v>
      </c>
      <c r="B106" s="27" t="s">
        <v>109</v>
      </c>
      <c r="C106" s="30">
        <f t="array" ref="C106">XLOOKUP(B106,'Maestro de productos 2025'!$B$189:$B$196,'Maestro de productos 2025'!$D$189:$D$196,"No encontrado",0)</f>
        <v>20</v>
      </c>
      <c r="D106" s="30">
        <f t="array" ref="D106">XLOOKUP(B106,'Maestro de productos 2025'!$B$189:$B$196,'Maestro de productos 2025'!$E$189:$E$196,"No encontrado",0)</f>
        <v>7.889760073</v>
      </c>
      <c r="E106" s="31">
        <f t="shared" si="8"/>
        <v>12.11023993</v>
      </c>
      <c r="F106" s="32">
        <f>('Base de datos transacciones'!$H106)*$D106</f>
        <v>110.456641</v>
      </c>
      <c r="G106" s="32">
        <f>'Base de datos transacciones'!$H106*$C106</f>
        <v>280</v>
      </c>
      <c r="H106" s="32">
        <f t="shared" si="9"/>
        <v>169.543359</v>
      </c>
      <c r="I106" s="34">
        <f>SUM(G105:G106)</f>
        <v>784</v>
      </c>
      <c r="J106" s="35">
        <f>((I106-I104)/I104)</f>
        <v>0.1445255474</v>
      </c>
      <c r="K106" s="35">
        <f>(I106-(SUM(F105:F106)))/I106</f>
        <v>0.603212923</v>
      </c>
      <c r="L106" s="34">
        <f>I106-(SUM(F105:F106))</f>
        <v>472.9189316</v>
      </c>
      <c r="M106" s="35">
        <f>((L106-L104)/L104)</f>
        <v>0.1682539245</v>
      </c>
      <c r="N106" s="36"/>
      <c r="O106" s="51"/>
      <c r="P106" s="38"/>
      <c r="Q106" s="38"/>
      <c r="R106" s="39"/>
      <c r="S106" s="40"/>
      <c r="T106" s="22"/>
      <c r="U106" s="41"/>
      <c r="V106" s="4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>
      <c r="A107" s="43" t="str">
        <f t="array" ref="A107">XLOOKUP($B107,'Maestro de productos 2024'!$A$3:$A$163,'Maestro de productos 2024'!$B$3:$B$163,0)</f>
        <v>ID-3827</v>
      </c>
      <c r="B107" s="44" t="s">
        <v>36</v>
      </c>
      <c r="C107" s="45">
        <f t="array" ref="C107">XLOOKUP(B107,'Maestro de productos 2025'!$B$189:$B$196,'Maestro de productos 2025'!$D$189:$D$196,"No encontrado",0)</f>
        <v>7</v>
      </c>
      <c r="D107" s="45">
        <f t="array" ref="D107">XLOOKUP(B107,'Maestro de productos 2025'!$B$189:$B$196,'Maestro de productos 2025'!$E$189:$E$196,"No encontrado",0)</f>
        <v>3.1117795</v>
      </c>
      <c r="E107" s="46">
        <f t="shared" si="8"/>
        <v>3.8882205</v>
      </c>
      <c r="F107" s="47">
        <f>('Base de datos transacciones'!$H107)*$D107</f>
        <v>102.6887235</v>
      </c>
      <c r="G107" s="47">
        <f>'Base de datos transacciones'!$H107*$C107</f>
        <v>231</v>
      </c>
      <c r="H107" s="47">
        <f t="shared" si="9"/>
        <v>128.3112765</v>
      </c>
      <c r="I107" s="48"/>
      <c r="J107" s="50"/>
      <c r="K107" s="50"/>
      <c r="L107" s="48"/>
      <c r="M107" s="50"/>
      <c r="N107" s="36"/>
      <c r="O107" s="51"/>
      <c r="P107" s="38"/>
      <c r="Q107" s="38"/>
      <c r="R107" s="39"/>
      <c r="S107" s="40"/>
      <c r="T107" s="22"/>
      <c r="U107" s="41"/>
      <c r="V107" s="4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>
      <c r="A108" s="43" t="str">
        <f t="array" ref="A108">XLOOKUP($B108,'Maestro de productos 2024'!$A$3:$A$163,'Maestro de productos 2024'!$B$3:$B$163,0)</f>
        <v>ID-3824</v>
      </c>
      <c r="B108" s="44" t="s">
        <v>34</v>
      </c>
      <c r="C108" s="45">
        <f t="array" ref="C108">XLOOKUP(B108,'Maestro de productos 2025'!$B$189:$B$196,'Maestro de productos 2025'!$D$189:$D$196,"No encontrado",0)</f>
        <v>10</v>
      </c>
      <c r="D108" s="45">
        <f t="array" ref="D108">XLOOKUP(B108,'Maestro de productos 2025'!$B$189:$B$196,'Maestro de productos 2025'!$E$189:$E$196,"No encontrado",0)</f>
        <v>4.07174399</v>
      </c>
      <c r="E108" s="46">
        <f t="shared" si="8"/>
        <v>5.92825601</v>
      </c>
      <c r="F108" s="47">
        <f>('Base de datos transacciones'!$H108)*$D108</f>
        <v>126.2240637</v>
      </c>
      <c r="G108" s="47">
        <f>'Base de datos transacciones'!$H108*$C108</f>
        <v>310</v>
      </c>
      <c r="H108" s="47">
        <f t="shared" si="9"/>
        <v>183.7759363</v>
      </c>
      <c r="I108" s="48">
        <f>SUM(G107:G108)</f>
        <v>541</v>
      </c>
      <c r="J108" s="50">
        <f>((I108-I106)/I106)</f>
        <v>-0.3099489796</v>
      </c>
      <c r="K108" s="50">
        <f>(I108-(SUM(F107:F108)))/I108</f>
        <v>0.5768710033</v>
      </c>
      <c r="L108" s="48">
        <f>I108-(SUM(F107:F108))</f>
        <v>312.0872128</v>
      </c>
      <c r="M108" s="50">
        <f>((L108-L106)/L106)</f>
        <v>-0.340083063</v>
      </c>
      <c r="N108" s="36"/>
      <c r="O108" s="51"/>
      <c r="P108" s="38"/>
      <c r="Q108" s="38"/>
      <c r="R108" s="39"/>
      <c r="S108" s="40"/>
      <c r="T108" s="22"/>
      <c r="U108" s="41"/>
      <c r="V108" s="4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>
      <c r="A109" s="26" t="str">
        <f t="array" ref="A109">XLOOKUP($B109,'Maestro de productos 2024'!$A$3:$A$163,'Maestro de productos 2024'!$B$3:$B$163,0)</f>
        <v>ID-3826</v>
      </c>
      <c r="B109" s="27" t="s">
        <v>35</v>
      </c>
      <c r="C109" s="30">
        <f t="array" ref="C109">XLOOKUP(B109,'Maestro de productos 2025'!$B$189:$B$196,'Maestro de productos 2025'!$D$189:$D$196,"No encontrado",0)</f>
        <v>20</v>
      </c>
      <c r="D109" s="30">
        <f t="array" ref="D109">XLOOKUP(B109,'Maestro de productos 2025'!$B$189:$B$196,'Maestro de productos 2025'!$E$189:$E$196,"No encontrado",0)</f>
        <v>8.073123457</v>
      </c>
      <c r="E109" s="31">
        <f t="shared" si="8"/>
        <v>11.92687654</v>
      </c>
      <c r="F109" s="32">
        <f>('Base de datos transacciones'!$H109)*$D109</f>
        <v>145.3162222</v>
      </c>
      <c r="G109" s="32">
        <f>'Base de datos transacciones'!$H109*$C109</f>
        <v>360</v>
      </c>
      <c r="H109" s="32">
        <f t="shared" si="9"/>
        <v>214.6837778</v>
      </c>
      <c r="I109" s="34"/>
      <c r="J109" s="35"/>
      <c r="K109" s="35"/>
      <c r="L109" s="34"/>
      <c r="M109" s="35"/>
      <c r="N109" s="36"/>
      <c r="O109" s="51"/>
      <c r="P109" s="38"/>
      <c r="Q109" s="38"/>
      <c r="R109" s="39"/>
      <c r="S109" s="40"/>
      <c r="T109" s="22"/>
      <c r="U109" s="41"/>
      <c r="V109" s="4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>
      <c r="A110" s="26" t="str">
        <f t="array" ref="A110">XLOOKUP($B110,'Maestro de productos 2024'!$A$3:$A$163,'Maestro de productos 2024'!$B$3:$B$163,0)</f>
        <v>ID-3828</v>
      </c>
      <c r="B110" s="27" t="s">
        <v>38</v>
      </c>
      <c r="C110" s="30">
        <f t="array" ref="C110">XLOOKUP(B110,'Maestro de productos 2025'!$B$189:$B$196,'Maestro de productos 2025'!$D$189:$D$196,"No encontrado",0)</f>
        <v>21</v>
      </c>
      <c r="D110" s="30">
        <f t="array" ref="D110">XLOOKUP(B110,'Maestro de productos 2025'!$B$189:$B$196,'Maestro de productos 2025'!$E$189:$E$196,"No encontrado",0)</f>
        <v>8.35935114</v>
      </c>
      <c r="E110" s="31">
        <f t="shared" si="8"/>
        <v>12.64064886</v>
      </c>
      <c r="F110" s="32">
        <f>('Base de datos transacciones'!$H110)*$D110</f>
        <v>100.3122137</v>
      </c>
      <c r="G110" s="32">
        <f>'Base de datos transacciones'!$H110*$C110</f>
        <v>252</v>
      </c>
      <c r="H110" s="32">
        <f t="shared" si="9"/>
        <v>151.6877863</v>
      </c>
      <c r="I110" s="34">
        <f>SUM(G109:G110)</f>
        <v>612</v>
      </c>
      <c r="J110" s="35">
        <f>((I110-I108)/I108)</f>
        <v>0.1312384473</v>
      </c>
      <c r="K110" s="35">
        <f>(I110-(SUM(F109:F110)))/I110</f>
        <v>0.5986463466</v>
      </c>
      <c r="L110" s="34">
        <f>I110-(SUM(F109:F110))</f>
        <v>366.3715641</v>
      </c>
      <c r="M110" s="35">
        <f>((L110-L108)/L108)</f>
        <v>0.1739396845</v>
      </c>
      <c r="N110" s="36"/>
      <c r="O110" s="51"/>
      <c r="P110" s="38"/>
      <c r="Q110" s="38"/>
      <c r="R110" s="39"/>
      <c r="S110" s="40"/>
      <c r="T110" s="22"/>
      <c r="U110" s="41"/>
      <c r="V110" s="4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>
      <c r="A111" s="43" t="str">
        <f t="array" ref="A111">XLOOKUP($B111,'Maestro de productos 2024'!$A$3:$A$163,'Maestro de productos 2024'!$B$3:$B$163,0)</f>
        <v>ID-3824</v>
      </c>
      <c r="B111" s="44" t="s">
        <v>34</v>
      </c>
      <c r="C111" s="45">
        <f t="array" ref="C111">XLOOKUP(B111,'Maestro de productos 2025'!$B$189:$B$196,'Maestro de productos 2025'!$D$189:$D$196,"No encontrado",0)</f>
        <v>10</v>
      </c>
      <c r="D111" s="45">
        <f t="array" ref="D111">XLOOKUP(B111,'Maestro de productos 2025'!$B$189:$B$196,'Maestro de productos 2025'!$E$189:$E$196,"No encontrado",0)</f>
        <v>4.07174399</v>
      </c>
      <c r="E111" s="46">
        <f t="shared" si="8"/>
        <v>5.92825601</v>
      </c>
      <c r="F111" s="47">
        <f>('Base de datos transacciones'!$H111)*$D111</f>
        <v>122.1523197</v>
      </c>
      <c r="G111" s="47">
        <f>'Base de datos transacciones'!$H111*$C111</f>
        <v>300</v>
      </c>
      <c r="H111" s="47">
        <f t="shared" si="9"/>
        <v>177.8476803</v>
      </c>
      <c r="I111" s="48"/>
      <c r="J111" s="50"/>
      <c r="K111" s="50"/>
      <c r="L111" s="48"/>
      <c r="M111" s="50"/>
      <c r="N111" s="36"/>
      <c r="O111" s="51"/>
      <c r="P111" s="38"/>
      <c r="Q111" s="38"/>
      <c r="R111" s="39"/>
      <c r="S111" s="40"/>
      <c r="T111" s="22"/>
      <c r="U111" s="41"/>
      <c r="V111" s="4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>
      <c r="A112" s="43" t="str">
        <f t="array" ref="A112">XLOOKUP($B112,'Maestro de productos 2024'!$A$3:$A$163,'Maestro de productos 2024'!$B$3:$B$163,0)</f>
        <v>ID-3825</v>
      </c>
      <c r="B112" s="44" t="s">
        <v>37</v>
      </c>
      <c r="C112" s="45">
        <f t="array" ref="C112">XLOOKUP(B112,'Maestro de productos 2025'!$B$189:$B$196,'Maestro de productos 2025'!$D$189:$D$196,"No encontrado",0)</f>
        <v>25</v>
      </c>
      <c r="D112" s="45">
        <f t="array" ref="D112">XLOOKUP(B112,'Maestro de productos 2025'!$B$189:$B$196,'Maestro de productos 2025'!$E$189:$E$196,"No encontrado",0)</f>
        <v>10.26450643</v>
      </c>
      <c r="E112" s="46">
        <f t="shared" si="8"/>
        <v>14.73549357</v>
      </c>
      <c r="F112" s="47">
        <f>('Base de datos transacciones'!$H112)*$D112</f>
        <v>164.2321029</v>
      </c>
      <c r="G112" s="47">
        <f>'Base de datos transacciones'!$H112*$C112</f>
        <v>400</v>
      </c>
      <c r="H112" s="47">
        <f t="shared" si="9"/>
        <v>235.7678971</v>
      </c>
      <c r="I112" s="48">
        <f>SUM(G111:G112)</f>
        <v>700</v>
      </c>
      <c r="J112" s="50">
        <f>((I112-I110)/I110)</f>
        <v>0.1437908497</v>
      </c>
      <c r="K112" s="50">
        <f>(I112-(SUM(F111:F112)))/I112</f>
        <v>0.5908793962</v>
      </c>
      <c r="L112" s="48">
        <f>I112-(SUM(F111:F112))</f>
        <v>413.6155773</v>
      </c>
      <c r="M112" s="50">
        <f>((L112-L110)/L110)</f>
        <v>0.1289510919</v>
      </c>
      <c r="N112" s="36"/>
      <c r="O112" s="51"/>
      <c r="P112" s="38"/>
      <c r="Q112" s="38"/>
      <c r="R112" s="39"/>
      <c r="S112" s="40"/>
      <c r="T112" s="22"/>
      <c r="U112" s="41"/>
      <c r="V112" s="4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>
      <c r="A113" s="26" t="str">
        <f t="array" ref="A113">XLOOKUP($B113,'Maestro de productos 2024'!$A$3:$A$163,'Maestro de productos 2024'!$B$3:$B$163,0)</f>
        <v>ID-3827</v>
      </c>
      <c r="B113" s="27" t="s">
        <v>36</v>
      </c>
      <c r="C113" s="30">
        <f t="array" ref="C113">XLOOKUP(B113,'Maestro de productos 2025'!$B$189:$B$196,'Maestro de productos 2025'!$D$189:$D$196,"No encontrado",0)</f>
        <v>7</v>
      </c>
      <c r="D113" s="30">
        <f t="array" ref="D113">XLOOKUP(B113,'Maestro de productos 2025'!$B$189:$B$196,'Maestro de productos 2025'!$E$189:$E$196,"No encontrado",0)</f>
        <v>3.1117795</v>
      </c>
      <c r="E113" s="31">
        <f t="shared" si="8"/>
        <v>3.8882205</v>
      </c>
      <c r="F113" s="32">
        <f>('Base de datos transacciones'!$H113)*$D113</f>
        <v>102.6887235</v>
      </c>
      <c r="G113" s="32">
        <f>'Base de datos transacciones'!$H113*$C113</f>
        <v>231</v>
      </c>
      <c r="H113" s="32">
        <f t="shared" si="9"/>
        <v>128.3112765</v>
      </c>
      <c r="I113" s="34"/>
      <c r="J113" s="35"/>
      <c r="K113" s="35"/>
      <c r="L113" s="34"/>
      <c r="M113" s="35"/>
      <c r="N113" s="36">
        <f>SUM(G105:G113)</f>
        <v>2868</v>
      </c>
      <c r="O113" s="51">
        <f>((N113-N104)/N104)</f>
        <v>0.1090487239</v>
      </c>
      <c r="P113" s="52">
        <f>(N113-SUM(F105:F113))/N113</f>
        <v>0.5904130273</v>
      </c>
      <c r="Q113" s="53">
        <f>N113-(SUM(F105:F113))</f>
        <v>1693.304562</v>
      </c>
      <c r="R113" s="54">
        <f>((Q113-Q104)/Q104)</f>
        <v>0.1039831652</v>
      </c>
      <c r="S113" s="40"/>
      <c r="T113" s="22"/>
      <c r="U113" s="41"/>
      <c r="V113" s="4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>
      <c r="A114" s="26" t="str">
        <f t="array" ref="A114">XLOOKUP($B114,'Maestro de productos 2024'!$A$3:$A$163,'Maestro de productos 2024'!$B$3:$B$163,0)</f>
        <v>ID-3826</v>
      </c>
      <c r="B114" s="27" t="s">
        <v>35</v>
      </c>
      <c r="C114" s="30">
        <f t="array" ref="C114">XLOOKUP(B114,'Maestro de productos 2025'!$B$189:$B$196,'Maestro de productos 2025'!$D$189:$D$196,"No encontrado",0)</f>
        <v>20</v>
      </c>
      <c r="D114" s="30">
        <f t="array" ref="D114">XLOOKUP(B114,'Maestro de productos 2025'!$B$189:$B$196,'Maestro de productos 2025'!$E$189:$E$196,"No encontrado",0)</f>
        <v>8.073123457</v>
      </c>
      <c r="E114" s="31">
        <f t="shared" si="8"/>
        <v>11.92687654</v>
      </c>
      <c r="F114" s="32">
        <f>('Base de datos transacciones'!$H114)*$D114</f>
        <v>145.3162222</v>
      </c>
      <c r="G114" s="32">
        <f>'Base de datos transacciones'!$H114*$C114</f>
        <v>360</v>
      </c>
      <c r="H114" s="32">
        <f t="shared" si="9"/>
        <v>214.6837778</v>
      </c>
      <c r="I114" s="34">
        <f>SUM(G113:G114)</f>
        <v>591</v>
      </c>
      <c r="J114" s="35">
        <f>((I114-I112)/I112)</f>
        <v>-0.1557142857</v>
      </c>
      <c r="K114" s="35">
        <f>(I114-(SUM(F113:F114)))/I114</f>
        <v>0.580363882</v>
      </c>
      <c r="L114" s="34">
        <f>I114-(SUM(F113:F114))</f>
        <v>342.9950543</v>
      </c>
      <c r="M114" s="35">
        <f>((L114-L112)/L112)</f>
        <v>-0.170739515</v>
      </c>
      <c r="N114" s="36"/>
      <c r="O114" s="51"/>
      <c r="P114" s="38"/>
      <c r="Q114" s="38"/>
      <c r="R114" s="39"/>
      <c r="S114" s="40"/>
      <c r="T114" s="22"/>
      <c r="U114" s="41"/>
      <c r="V114" s="4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>
      <c r="A115" s="43" t="str">
        <f t="array" ref="A115">XLOOKUP($B115,'Maestro de productos 2024'!$A$3:$A$163,'Maestro de productos 2024'!$B$3:$B$163,0)</f>
        <v>ID-3828</v>
      </c>
      <c r="B115" s="44" t="s">
        <v>38</v>
      </c>
      <c r="C115" s="45">
        <f t="array" ref="C115">XLOOKUP(B115,'Maestro de productos 2025'!$B$189:$B$196,'Maestro de productos 2025'!$D$189:$D$196,"No encontrado",0)</f>
        <v>21</v>
      </c>
      <c r="D115" s="45">
        <f t="array" ref="D115">XLOOKUP(B115,'Maestro de productos 2025'!$B$189:$B$196,'Maestro de productos 2025'!$E$189:$E$196,"No encontrado",0)</f>
        <v>8.35935114</v>
      </c>
      <c r="E115" s="46">
        <f t="shared" si="8"/>
        <v>12.64064886</v>
      </c>
      <c r="F115" s="47">
        <f>('Base de datos transacciones'!$H115)*$D115</f>
        <v>200.6244274</v>
      </c>
      <c r="G115" s="47">
        <f>'Base de datos transacciones'!$H115*$C115</f>
        <v>504</v>
      </c>
      <c r="H115" s="47">
        <f t="shared" si="9"/>
        <v>303.3755726</v>
      </c>
      <c r="I115" s="48"/>
      <c r="J115" s="50"/>
      <c r="K115" s="50"/>
      <c r="L115" s="48"/>
      <c r="M115" s="50"/>
      <c r="N115" s="36"/>
      <c r="O115" s="51"/>
      <c r="P115" s="38"/>
      <c r="Q115" s="38"/>
      <c r="R115" s="39"/>
      <c r="S115" s="40"/>
      <c r="T115" s="22"/>
      <c r="U115" s="41"/>
      <c r="V115" s="4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>
      <c r="A116" s="43" t="str">
        <f t="array" ref="A116">XLOOKUP($B116,'Maestro de productos 2024'!$A$3:$A$163,'Maestro de productos 2024'!$B$3:$B$163,0)</f>
        <v>ID-3824</v>
      </c>
      <c r="B116" s="44" t="s">
        <v>34</v>
      </c>
      <c r="C116" s="45">
        <f t="array" ref="C116">XLOOKUP(B116,'Maestro de productos 2025'!$B$189:$B$196,'Maestro de productos 2025'!$D$189:$D$196,"No encontrado",0)</f>
        <v>10</v>
      </c>
      <c r="D116" s="45">
        <f t="array" ref="D116">XLOOKUP(B116,'Maestro de productos 2025'!$B$189:$B$196,'Maestro de productos 2025'!$E$189:$E$196,"No encontrado",0)</f>
        <v>4.07174399</v>
      </c>
      <c r="E116" s="46">
        <f t="shared" si="8"/>
        <v>5.92825601</v>
      </c>
      <c r="F116" s="47">
        <f>('Base de datos transacciones'!$H116)*$D116</f>
        <v>130.2958077</v>
      </c>
      <c r="G116" s="47">
        <f>'Base de datos transacciones'!$H116*$C116</f>
        <v>320</v>
      </c>
      <c r="H116" s="47">
        <f t="shared" si="9"/>
        <v>189.7041923</v>
      </c>
      <c r="I116" s="48">
        <f>SUM(G115:G116)</f>
        <v>824</v>
      </c>
      <c r="J116" s="50">
        <f>((I116-I114)/I114)</f>
        <v>0.3942470389</v>
      </c>
      <c r="K116" s="50">
        <f>(I116-(SUM(F115:F116)))/I116</f>
        <v>0.598397773</v>
      </c>
      <c r="L116" s="48">
        <f>I116-(SUM(F115:F116))</f>
        <v>493.079765</v>
      </c>
      <c r="M116" s="50">
        <f>((L116-L114)/L114)</f>
        <v>0.4375710636</v>
      </c>
      <c r="N116" s="36"/>
      <c r="O116" s="51"/>
      <c r="P116" s="38"/>
      <c r="Q116" s="38"/>
      <c r="R116" s="39"/>
      <c r="S116" s="40"/>
      <c r="T116" s="22"/>
      <c r="U116" s="41"/>
      <c r="V116" s="4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>
      <c r="A117" s="26" t="str">
        <f t="array" ref="A117">XLOOKUP($B117,'Maestro de productos 2024'!$A$3:$A$163,'Maestro de productos 2024'!$B$3:$B$163,0)</f>
        <v>ID-3831</v>
      </c>
      <c r="B117" s="27" t="s">
        <v>109</v>
      </c>
      <c r="C117" s="30">
        <f t="array" ref="C117">XLOOKUP(B117,'Maestro de productos 2025'!$B$189:$B$196,'Maestro de productos 2025'!$D$189:$D$196,"No encontrado",0)</f>
        <v>20</v>
      </c>
      <c r="D117" s="30">
        <f t="array" ref="D117">XLOOKUP(B117,'Maestro de productos 2025'!$B$189:$B$196,'Maestro de productos 2025'!$E$189:$E$196,"No encontrado",0)</f>
        <v>7.889760073</v>
      </c>
      <c r="E117" s="31">
        <f t="shared" si="8"/>
        <v>12.11023993</v>
      </c>
      <c r="F117" s="32">
        <f>('Base de datos transacciones'!$H117)*$D117</f>
        <v>102.566881</v>
      </c>
      <c r="G117" s="32">
        <f>'Base de datos transacciones'!$H117*$C117</f>
        <v>260</v>
      </c>
      <c r="H117" s="32">
        <f t="shared" si="9"/>
        <v>157.433119</v>
      </c>
      <c r="I117" s="34"/>
      <c r="J117" s="35"/>
      <c r="K117" s="35"/>
      <c r="L117" s="34"/>
      <c r="M117" s="35"/>
      <c r="N117" s="36"/>
      <c r="O117" s="51"/>
      <c r="P117" s="38"/>
      <c r="Q117" s="38"/>
      <c r="R117" s="39"/>
      <c r="S117" s="40"/>
      <c r="T117" s="22"/>
      <c r="U117" s="41"/>
      <c r="V117" s="4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>
      <c r="A118" s="26" t="str">
        <f t="array" ref="A118">XLOOKUP($B118,'Maestro de productos 2024'!$A$3:$A$163,'Maestro de productos 2024'!$B$3:$B$163,0)</f>
        <v>ID-3828</v>
      </c>
      <c r="B118" s="27" t="s">
        <v>38</v>
      </c>
      <c r="C118" s="30">
        <f t="array" ref="C118">XLOOKUP(B118,'Maestro de productos 2025'!$B$189:$B$196,'Maestro de productos 2025'!$D$189:$D$196,"No encontrado",0)</f>
        <v>21</v>
      </c>
      <c r="D118" s="30">
        <f t="array" ref="D118">XLOOKUP(B118,'Maestro de productos 2025'!$B$189:$B$196,'Maestro de productos 2025'!$E$189:$E$196,"No encontrado",0)</f>
        <v>8.35935114</v>
      </c>
      <c r="E118" s="31">
        <f t="shared" si="8"/>
        <v>12.64064886</v>
      </c>
      <c r="F118" s="32">
        <f>('Base de datos transacciones'!$H118)*$D118</f>
        <v>100.3122137</v>
      </c>
      <c r="G118" s="32">
        <f>'Base de datos transacciones'!$H118*$C118</f>
        <v>252</v>
      </c>
      <c r="H118" s="32">
        <f t="shared" si="9"/>
        <v>151.6877863</v>
      </c>
      <c r="I118" s="34">
        <f>SUM(G117:G118)</f>
        <v>512</v>
      </c>
      <c r="J118" s="35">
        <f>((I118-I116)/I116)</f>
        <v>-0.3786407767</v>
      </c>
      <c r="K118" s="35">
        <f>(I118-(SUM(F117:F118)))/I118</f>
        <v>0.6037517683</v>
      </c>
      <c r="L118" s="34">
        <f>I118-(SUM(F117:F118))</f>
        <v>309.1209054</v>
      </c>
      <c r="M118" s="35">
        <f>((L118-L116)/L116)</f>
        <v>-0.3730813403</v>
      </c>
      <c r="N118" s="36"/>
      <c r="O118" s="51"/>
      <c r="P118" s="38"/>
      <c r="Q118" s="38"/>
      <c r="R118" s="39"/>
      <c r="S118" s="40"/>
      <c r="T118" s="22"/>
      <c r="U118" s="41"/>
      <c r="V118" s="4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>
      <c r="A119" s="43" t="str">
        <f t="array" ref="A119">XLOOKUP($B119,'Maestro de productos 2024'!$A$3:$A$163,'Maestro de productos 2024'!$B$3:$B$163,0)</f>
        <v>ID-3824</v>
      </c>
      <c r="B119" s="44" t="s">
        <v>34</v>
      </c>
      <c r="C119" s="45">
        <f t="array" ref="C119">XLOOKUP(B119,'Maestro de productos 2025'!$B$189:$B$196,'Maestro de productos 2025'!$D$189:$D$196,"No encontrado",0)</f>
        <v>10</v>
      </c>
      <c r="D119" s="45">
        <f t="array" ref="D119">XLOOKUP(B119,'Maestro de productos 2025'!$B$189:$B$196,'Maestro de productos 2025'!$E$189:$E$196,"No encontrado",0)</f>
        <v>4.07174399</v>
      </c>
      <c r="E119" s="46">
        <f t="shared" si="8"/>
        <v>5.92825601</v>
      </c>
      <c r="F119" s="47">
        <f>('Base de datos transacciones'!$H119)*$D119</f>
        <v>109.9370877</v>
      </c>
      <c r="G119" s="47">
        <f>'Base de datos transacciones'!$H119*$C119</f>
        <v>270</v>
      </c>
      <c r="H119" s="47">
        <f t="shared" si="9"/>
        <v>160.0629123</v>
      </c>
      <c r="I119" s="48"/>
      <c r="J119" s="50"/>
      <c r="K119" s="50"/>
      <c r="L119" s="48"/>
      <c r="M119" s="50"/>
      <c r="N119" s="36"/>
      <c r="O119" s="51"/>
      <c r="P119" s="38"/>
      <c r="Q119" s="38"/>
      <c r="R119" s="39"/>
      <c r="S119" s="40"/>
      <c r="T119" s="22"/>
      <c r="U119" s="41"/>
      <c r="V119" s="4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>
      <c r="A120" s="43" t="str">
        <f t="array" ref="A120">XLOOKUP($B120,'Maestro de productos 2024'!$A$3:$A$163,'Maestro de productos 2024'!$B$3:$B$163,0)</f>
        <v>ID-3827</v>
      </c>
      <c r="B120" s="44" t="s">
        <v>36</v>
      </c>
      <c r="C120" s="45">
        <f t="array" ref="C120">XLOOKUP(B120,'Maestro de productos 2025'!$B$189:$B$196,'Maestro de productos 2025'!$D$189:$D$196,"No encontrado",0)</f>
        <v>7</v>
      </c>
      <c r="D120" s="45">
        <f t="array" ref="D120">XLOOKUP(B120,'Maestro de productos 2025'!$B$189:$B$196,'Maestro de productos 2025'!$E$189:$E$196,"No encontrado",0)</f>
        <v>3.1117795</v>
      </c>
      <c r="E120" s="46">
        <f t="shared" si="8"/>
        <v>3.8882205</v>
      </c>
      <c r="F120" s="47">
        <f>('Base de datos transacciones'!$H120)*$D120</f>
        <v>93.35338501</v>
      </c>
      <c r="G120" s="47">
        <f>'Base de datos transacciones'!$H120*$C120</f>
        <v>210</v>
      </c>
      <c r="H120" s="47">
        <f t="shared" si="9"/>
        <v>116.646615</v>
      </c>
      <c r="I120" s="48">
        <f>SUM(G119:G120)</f>
        <v>480</v>
      </c>
      <c r="J120" s="50">
        <f>((I120-I118)/I118)</f>
        <v>-0.0625</v>
      </c>
      <c r="K120" s="50">
        <f>(I120-(SUM(F119:F120)))/I120</f>
        <v>0.5764781818</v>
      </c>
      <c r="L120" s="48">
        <f>I120-(SUM(F119:F120))</f>
        <v>276.7095272</v>
      </c>
      <c r="M120" s="50">
        <f>((L120-L118)/L118)</f>
        <v>-0.1048501656</v>
      </c>
      <c r="N120" s="36"/>
      <c r="O120" s="51"/>
      <c r="P120" s="38"/>
      <c r="Q120" s="38"/>
      <c r="R120" s="39"/>
      <c r="S120" s="40"/>
      <c r="T120" s="22"/>
      <c r="U120" s="41"/>
      <c r="V120" s="4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>
      <c r="A121" s="26" t="str">
        <f t="array" ref="A121">XLOOKUP($B121,'Maestro de productos 2024'!$A$3:$A$163,'Maestro de productos 2024'!$B$3:$B$163,0)</f>
        <v>ID-3828</v>
      </c>
      <c r="B121" s="27" t="s">
        <v>38</v>
      </c>
      <c r="C121" s="30">
        <f t="array" ref="C121">XLOOKUP(B121,'Maestro de productos 2025'!$B$189:$B$196,'Maestro de productos 2025'!$D$189:$D$196,"No encontrado",0)</f>
        <v>21</v>
      </c>
      <c r="D121" s="30">
        <f t="array" ref="D121">XLOOKUP(B121,'Maestro de productos 2025'!$B$189:$B$196,'Maestro de productos 2025'!$E$189:$E$196,"No encontrado",0)</f>
        <v>8.35935114</v>
      </c>
      <c r="E121" s="31">
        <f t="shared" si="8"/>
        <v>12.64064886</v>
      </c>
      <c r="F121" s="32">
        <f>('Base de datos transacciones'!$H121)*$D121</f>
        <v>200.6244274</v>
      </c>
      <c r="G121" s="32">
        <f>'Base de datos transacciones'!$H121*$C121</f>
        <v>504</v>
      </c>
      <c r="H121" s="32">
        <f t="shared" si="9"/>
        <v>303.3755726</v>
      </c>
      <c r="I121" s="34"/>
      <c r="J121" s="35"/>
      <c r="K121" s="35"/>
      <c r="L121" s="34"/>
      <c r="M121" s="35"/>
      <c r="N121" s="36"/>
      <c r="O121" s="51"/>
      <c r="P121" s="38"/>
      <c r="Q121" s="38"/>
      <c r="R121" s="39"/>
      <c r="S121" s="40"/>
      <c r="T121" s="22"/>
      <c r="U121" s="41"/>
      <c r="V121" s="4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>
      <c r="A122" s="26" t="str">
        <f t="array" ref="A122">XLOOKUP($B122,'Maestro de productos 2024'!$A$3:$A$163,'Maestro de productos 2024'!$B$3:$B$163,0)</f>
        <v>ID-3824</v>
      </c>
      <c r="B122" s="27" t="s">
        <v>34</v>
      </c>
      <c r="C122" s="30">
        <f t="array" ref="C122">XLOOKUP(B122,'Maestro de productos 2025'!$B$189:$B$196,'Maestro de productos 2025'!$D$189:$D$196,"No encontrado",0)</f>
        <v>10</v>
      </c>
      <c r="D122" s="30">
        <f t="array" ref="D122">XLOOKUP(B122,'Maestro de productos 2025'!$B$189:$B$196,'Maestro de productos 2025'!$E$189:$E$196,"No encontrado",0)</f>
        <v>4.07174399</v>
      </c>
      <c r="E122" s="31">
        <f t="shared" si="8"/>
        <v>5.92825601</v>
      </c>
      <c r="F122" s="32">
        <f>('Base de datos transacciones'!$H122)*$D122</f>
        <v>130.2958077</v>
      </c>
      <c r="G122" s="32">
        <f>'Base de datos transacciones'!$H122*$C122</f>
        <v>320</v>
      </c>
      <c r="H122" s="32">
        <f t="shared" si="9"/>
        <v>189.7041923</v>
      </c>
      <c r="I122" s="34">
        <f>SUM(G121:G122)</f>
        <v>824</v>
      </c>
      <c r="J122" s="35">
        <f>((I122-I120)/I120)</f>
        <v>0.7166666667</v>
      </c>
      <c r="K122" s="35">
        <f>(I122-(SUM(F121:F122)))/I122</f>
        <v>0.598397773</v>
      </c>
      <c r="L122" s="34">
        <f>I122-(SUM(F121:F122))</f>
        <v>493.079765</v>
      </c>
      <c r="M122" s="35">
        <f>((L122-L120)/L120)</f>
        <v>0.7819399638</v>
      </c>
      <c r="N122" s="36">
        <f>SUM(G114:G122)</f>
        <v>3000</v>
      </c>
      <c r="O122" s="51">
        <f>((N122-N113)/N113)</f>
        <v>0.0460251046</v>
      </c>
      <c r="P122" s="52">
        <f>(N122-SUM(F114:F122))/N122</f>
        <v>0.5955579134</v>
      </c>
      <c r="Q122" s="53">
        <f>N122-(SUM(F114:F122))</f>
        <v>1786.67374</v>
      </c>
      <c r="R122" s="54">
        <f>((Q122-Q113)/Q113)</f>
        <v>0.0551402152</v>
      </c>
      <c r="S122" s="40"/>
      <c r="T122" s="22"/>
      <c r="U122" s="41"/>
      <c r="V122" s="4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>
      <c r="A123" s="43" t="str">
        <f t="array" ref="A123">XLOOKUP($B123,'Maestro de productos 2024'!$A$3:$A$163,'Maestro de productos 2024'!$B$3:$B$163,0)</f>
        <v>ID-3828</v>
      </c>
      <c r="B123" s="44" t="s">
        <v>38</v>
      </c>
      <c r="C123" s="45">
        <f t="array" ref="C123">XLOOKUP(B123,'Maestro de productos 2025'!$B$189:$B$196,'Maestro de productos 2025'!$D$189:$D$196,"No encontrado",0)</f>
        <v>21</v>
      </c>
      <c r="D123" s="45">
        <f t="array" ref="D123">XLOOKUP(B123,'Maestro de productos 2025'!$B$189:$B$196,'Maestro de productos 2025'!$E$189:$E$196,"No encontrado",0)</f>
        <v>8.35935114</v>
      </c>
      <c r="E123" s="46">
        <f t="shared" si="8"/>
        <v>12.64064886</v>
      </c>
      <c r="F123" s="47">
        <f>('Base de datos transacciones'!$H123)*$D123</f>
        <v>100.3122137</v>
      </c>
      <c r="G123" s="47">
        <f>'Base de datos transacciones'!$H123*$C123</f>
        <v>252</v>
      </c>
      <c r="H123" s="47">
        <f t="shared" si="9"/>
        <v>151.6877863</v>
      </c>
      <c r="I123" s="48"/>
      <c r="J123" s="50"/>
      <c r="K123" s="50"/>
      <c r="L123" s="48"/>
      <c r="M123" s="50"/>
      <c r="N123" s="36"/>
      <c r="O123" s="51"/>
      <c r="P123" s="38"/>
      <c r="Q123" s="38"/>
      <c r="R123" s="39"/>
      <c r="S123" s="40"/>
      <c r="T123" s="22"/>
      <c r="U123" s="41"/>
      <c r="V123" s="4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>
      <c r="A124" s="43" t="str">
        <f t="array" ref="A124">XLOOKUP($B124,'Maestro de productos 2024'!$A$3:$A$163,'Maestro de productos 2024'!$B$3:$B$163,0)</f>
        <v>ID-3828</v>
      </c>
      <c r="B124" s="44" t="s">
        <v>38</v>
      </c>
      <c r="C124" s="45">
        <f t="array" ref="C124">XLOOKUP(B124,'Maestro de productos 2025'!$B$189:$B$196,'Maestro de productos 2025'!$D$189:$D$196,"No encontrado",0)</f>
        <v>21</v>
      </c>
      <c r="D124" s="45">
        <f t="array" ref="D124">XLOOKUP(B124,'Maestro de productos 2025'!$B$189:$B$196,'Maestro de productos 2025'!$E$189:$E$196,"No encontrado",0)</f>
        <v>8.35935114</v>
      </c>
      <c r="E124" s="46">
        <f t="shared" si="8"/>
        <v>12.64064886</v>
      </c>
      <c r="F124" s="47">
        <f>('Base de datos transacciones'!$H124)*$D124</f>
        <v>200.6244274</v>
      </c>
      <c r="G124" s="47">
        <f>'Base de datos transacciones'!$H124*$C124</f>
        <v>504</v>
      </c>
      <c r="H124" s="47">
        <f t="shared" si="9"/>
        <v>303.3755726</v>
      </c>
      <c r="I124" s="48">
        <f>SUM(G123:G124)</f>
        <v>756</v>
      </c>
      <c r="J124" s="50">
        <f>((I124-I122)/I122)</f>
        <v>-0.08252427184</v>
      </c>
      <c r="K124" s="50">
        <f>(I124-(SUM(F123:F124)))/I124</f>
        <v>0.60193566</v>
      </c>
      <c r="L124" s="48">
        <f>I124-(SUM(F123:F124))</f>
        <v>455.063359</v>
      </c>
      <c r="M124" s="50">
        <f>((L124-L122)/L122)</f>
        <v>-0.07709991098</v>
      </c>
      <c r="N124" s="36"/>
      <c r="O124" s="51"/>
      <c r="P124" s="38"/>
      <c r="Q124" s="38"/>
      <c r="R124" s="39"/>
      <c r="S124" s="40"/>
      <c r="T124" s="22"/>
      <c r="U124" s="41"/>
      <c r="V124" s="4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>
      <c r="A125" s="26" t="str">
        <f t="array" ref="A125">XLOOKUP($B125,'Maestro de productos 2024'!$A$3:$A$163,'Maestro de productos 2024'!$B$3:$B$163,0)</f>
        <v>ID-3827</v>
      </c>
      <c r="B125" s="27" t="s">
        <v>36</v>
      </c>
      <c r="C125" s="30">
        <f t="array" ref="C125">XLOOKUP(B125,'Maestro de productos 2025'!$B$189:$B$196,'Maestro de productos 2025'!$D$189:$D$196,"No encontrado",0)</f>
        <v>7</v>
      </c>
      <c r="D125" s="30">
        <f t="array" ref="D125">XLOOKUP(B125,'Maestro de productos 2025'!$B$189:$B$196,'Maestro de productos 2025'!$E$189:$E$196,"No encontrado",0)</f>
        <v>3.1117795</v>
      </c>
      <c r="E125" s="31">
        <f t="shared" si="8"/>
        <v>3.8882205</v>
      </c>
      <c r="F125" s="32">
        <f>('Base de datos transacciones'!$H125)*$D125</f>
        <v>93.35338501</v>
      </c>
      <c r="G125" s="32">
        <f>'Base de datos transacciones'!$H125*$C125</f>
        <v>210</v>
      </c>
      <c r="H125" s="32">
        <f t="shared" si="9"/>
        <v>116.646615</v>
      </c>
      <c r="I125" s="34"/>
      <c r="J125" s="35"/>
      <c r="K125" s="35"/>
      <c r="L125" s="34"/>
      <c r="M125" s="35"/>
      <c r="N125" s="36"/>
      <c r="O125" s="51"/>
      <c r="P125" s="38"/>
      <c r="Q125" s="38"/>
      <c r="R125" s="39"/>
      <c r="S125" s="40"/>
      <c r="T125" s="22"/>
      <c r="U125" s="41"/>
      <c r="V125" s="4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>
      <c r="A126" s="26" t="str">
        <f t="array" ref="A126">XLOOKUP($B126,'Maestro de productos 2024'!$A$3:$A$163,'Maestro de productos 2024'!$B$3:$B$163,0)</f>
        <v>ID-3826</v>
      </c>
      <c r="B126" s="27" t="s">
        <v>35</v>
      </c>
      <c r="C126" s="30">
        <f t="array" ref="C126">XLOOKUP(B126,'Maestro de productos 2025'!$B$189:$B$196,'Maestro de productos 2025'!$D$189:$D$196,"No encontrado",0)</f>
        <v>20</v>
      </c>
      <c r="D126" s="30">
        <f t="array" ref="D126">XLOOKUP(B126,'Maestro de productos 2025'!$B$189:$B$196,'Maestro de productos 2025'!$E$189:$E$196,"No encontrado",0)</f>
        <v>8.073123457</v>
      </c>
      <c r="E126" s="31">
        <f t="shared" si="8"/>
        <v>11.92687654</v>
      </c>
      <c r="F126" s="32">
        <f>('Base de datos transacciones'!$H126)*$D126</f>
        <v>145.3162222</v>
      </c>
      <c r="G126" s="32">
        <f>'Base de datos transacciones'!$H126*$C126</f>
        <v>360</v>
      </c>
      <c r="H126" s="32">
        <f t="shared" si="9"/>
        <v>214.6837778</v>
      </c>
      <c r="I126" s="34">
        <f>SUM(G125:G126)</f>
        <v>570</v>
      </c>
      <c r="J126" s="35">
        <f>((I126-I124)/I124)</f>
        <v>-0.246031746</v>
      </c>
      <c r="K126" s="35">
        <f>(I126-(SUM(F125:F126)))/I126</f>
        <v>0.5812813908</v>
      </c>
      <c r="L126" s="34">
        <f>I126-(SUM(F125:F126))</f>
        <v>331.3303928</v>
      </c>
      <c r="M126" s="35">
        <f>((L126-L124)/L124)</f>
        <v>-0.2719027225</v>
      </c>
      <c r="N126" s="36"/>
      <c r="O126" s="51"/>
      <c r="P126" s="38"/>
      <c r="Q126" s="38"/>
      <c r="R126" s="39"/>
      <c r="S126" s="40"/>
      <c r="T126" s="22"/>
      <c r="U126" s="41"/>
      <c r="V126" s="4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>
      <c r="A127" s="43" t="str">
        <f t="array" ref="A127">XLOOKUP($B127,'Maestro de productos 2024'!$A$3:$A$163,'Maestro de productos 2024'!$B$3:$B$163,0)</f>
        <v>ID-3824</v>
      </c>
      <c r="B127" s="44" t="s">
        <v>34</v>
      </c>
      <c r="C127" s="45">
        <f t="array" ref="C127">XLOOKUP(B127,'Maestro de productos 2025'!$B$189:$B$196,'Maestro de productos 2025'!$D$189:$D$196,"No encontrado",0)</f>
        <v>10</v>
      </c>
      <c r="D127" s="45">
        <f t="array" ref="D127">XLOOKUP(B127,'Maestro de productos 2025'!$B$189:$B$196,'Maestro de productos 2025'!$E$189:$E$196,"No encontrado",0)</f>
        <v>4.07174399</v>
      </c>
      <c r="E127" s="46">
        <f t="shared" si="8"/>
        <v>5.92825601</v>
      </c>
      <c r="F127" s="47">
        <f>('Base de datos transacciones'!$H127)*$D127</f>
        <v>130.2958077</v>
      </c>
      <c r="G127" s="47">
        <f>'Base de datos transacciones'!$H127*$C127</f>
        <v>320</v>
      </c>
      <c r="H127" s="47">
        <f t="shared" si="9"/>
        <v>189.7041923</v>
      </c>
      <c r="I127" s="48"/>
      <c r="J127" s="50"/>
      <c r="K127" s="50"/>
      <c r="L127" s="48"/>
      <c r="M127" s="50"/>
      <c r="N127" s="36"/>
      <c r="O127" s="51"/>
      <c r="P127" s="38"/>
      <c r="Q127" s="38"/>
      <c r="R127" s="39"/>
      <c r="S127" s="40"/>
      <c r="T127" s="22"/>
      <c r="U127" s="41"/>
      <c r="V127" s="4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>
      <c r="A128" s="43" t="str">
        <f t="array" ref="A128">XLOOKUP($B128,'Maestro de productos 2024'!$A$3:$A$163,'Maestro de productos 2024'!$B$3:$B$163,0)</f>
        <v>ID-3825</v>
      </c>
      <c r="B128" s="44" t="s">
        <v>37</v>
      </c>
      <c r="C128" s="45">
        <f t="array" ref="C128">XLOOKUP(B128,'Maestro de productos 2025'!$B$189:$B$196,'Maestro de productos 2025'!$D$189:$D$196,"No encontrado",0)</f>
        <v>25</v>
      </c>
      <c r="D128" s="45">
        <f t="array" ref="D128">XLOOKUP(B128,'Maestro de productos 2025'!$B$189:$B$196,'Maestro de productos 2025'!$E$189:$E$196,"No encontrado",0)</f>
        <v>10.26450643</v>
      </c>
      <c r="E128" s="46">
        <f t="shared" si="8"/>
        <v>14.73549357</v>
      </c>
      <c r="F128" s="47">
        <f>('Base de datos transacciones'!$H128)*$D128</f>
        <v>153.9675965</v>
      </c>
      <c r="G128" s="47">
        <f>'Base de datos transacciones'!$H128*$C128</f>
        <v>375</v>
      </c>
      <c r="H128" s="47">
        <f t="shared" si="9"/>
        <v>221.0324035</v>
      </c>
      <c r="I128" s="48">
        <f>SUM(G127:G128)</f>
        <v>695</v>
      </c>
      <c r="J128" s="50">
        <f>((I128-I126)/I126)</f>
        <v>0.2192982456</v>
      </c>
      <c r="K128" s="50">
        <f>(I128-(SUM(F127:F128)))/I128</f>
        <v>0.5909879076</v>
      </c>
      <c r="L128" s="48">
        <f>I128-(SUM(F127:F128))</f>
        <v>410.7365958</v>
      </c>
      <c r="M128" s="50">
        <f>((L128-L126)/L126)</f>
        <v>0.2396586754</v>
      </c>
      <c r="N128" s="36"/>
      <c r="O128" s="51"/>
      <c r="P128" s="38"/>
      <c r="Q128" s="38"/>
      <c r="R128" s="39"/>
      <c r="S128" s="40"/>
      <c r="T128" s="22"/>
      <c r="U128" s="41"/>
      <c r="V128" s="4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>
      <c r="A129" s="26" t="str">
        <f t="array" ref="A129">XLOOKUP($B129,'Maestro de productos 2024'!$A$3:$A$163,'Maestro de productos 2024'!$B$3:$B$163,0)</f>
        <v>ID-3831</v>
      </c>
      <c r="B129" s="27" t="s">
        <v>109</v>
      </c>
      <c r="C129" s="30">
        <f t="array" ref="C129">XLOOKUP(B129,'Maestro de productos 2025'!$B$189:$B$196,'Maestro de productos 2025'!$D$189:$D$196,"No encontrado",0)</f>
        <v>20</v>
      </c>
      <c r="D129" s="30">
        <f t="array" ref="D129">XLOOKUP(B129,'Maestro de productos 2025'!$B$189:$B$196,'Maestro de productos 2025'!$E$189:$E$196,"No encontrado",0)</f>
        <v>7.889760073</v>
      </c>
      <c r="E129" s="31">
        <f t="shared" si="8"/>
        <v>12.11023993</v>
      </c>
      <c r="F129" s="32">
        <f>('Base de datos transacciones'!$H129)*$D129</f>
        <v>110.456641</v>
      </c>
      <c r="G129" s="32">
        <f>'Base de datos transacciones'!$H129*$C129</f>
        <v>280</v>
      </c>
      <c r="H129" s="32">
        <f t="shared" si="9"/>
        <v>169.543359</v>
      </c>
      <c r="I129" s="34"/>
      <c r="J129" s="35"/>
      <c r="K129" s="35"/>
      <c r="L129" s="34"/>
      <c r="M129" s="35"/>
      <c r="N129" s="36"/>
      <c r="O129" s="51"/>
      <c r="P129" s="38"/>
      <c r="Q129" s="38"/>
      <c r="R129" s="39"/>
      <c r="S129" s="40"/>
      <c r="T129" s="22"/>
      <c r="U129" s="41"/>
      <c r="V129" s="4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>
      <c r="A130" s="26" t="str">
        <f t="array" ref="A130">XLOOKUP($B130,'Maestro de productos 2024'!$A$3:$A$163,'Maestro de productos 2024'!$B$3:$B$163,0)</f>
        <v>ID-3827</v>
      </c>
      <c r="B130" s="27" t="s">
        <v>36</v>
      </c>
      <c r="C130" s="30">
        <f t="array" ref="C130">XLOOKUP(B130,'Maestro de productos 2025'!$B$189:$B$196,'Maestro de productos 2025'!$D$189:$D$196,"No encontrado",0)</f>
        <v>7</v>
      </c>
      <c r="D130" s="30">
        <f t="array" ref="D130">XLOOKUP(B130,'Maestro de productos 2025'!$B$189:$B$196,'Maestro de productos 2025'!$E$189:$E$196,"No encontrado",0)</f>
        <v>3.1117795</v>
      </c>
      <c r="E130" s="31">
        <f t="shared" si="8"/>
        <v>3.8882205</v>
      </c>
      <c r="F130" s="32">
        <f>('Base de datos transacciones'!$H130)*$D130</f>
        <v>99.57694401</v>
      </c>
      <c r="G130" s="32">
        <f>'Base de datos transacciones'!$H130*$C130</f>
        <v>224</v>
      </c>
      <c r="H130" s="32">
        <f t="shared" si="9"/>
        <v>124.423056</v>
      </c>
      <c r="I130" s="34">
        <f>SUM(G129:G130)</f>
        <v>504</v>
      </c>
      <c r="J130" s="35">
        <f>((I130-I128)/I128)</f>
        <v>-0.2748201439</v>
      </c>
      <c r="K130" s="35">
        <f>(I130-(SUM(F129:F130)))/I130</f>
        <v>0.5832666963</v>
      </c>
      <c r="L130" s="34">
        <f>I130-(SUM(F129:F130))</f>
        <v>293.966415</v>
      </c>
      <c r="M130" s="35">
        <f>((L130-L128)/L128)</f>
        <v>-0.2842945626</v>
      </c>
      <c r="N130" s="36">
        <f>SUM(G123:G130)</f>
        <v>2525</v>
      </c>
      <c r="O130" s="51">
        <f>((N130-N122)/N122)</f>
        <v>-0.1583333333</v>
      </c>
      <c r="P130" s="52">
        <f>(N130-SUM(F123:F130))/N130</f>
        <v>0.5905333713</v>
      </c>
      <c r="Q130" s="53">
        <f>N130-(SUM(F123:F130))</f>
        <v>1491.096762</v>
      </c>
      <c r="R130" s="54">
        <f>((Q130-Q122)/Q122)</f>
        <v>-0.1654342207</v>
      </c>
      <c r="S130" s="40"/>
      <c r="T130" s="22"/>
      <c r="U130" s="41"/>
      <c r="V130" s="4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>
      <c r="A131" s="43" t="str">
        <f t="array" ref="A131">XLOOKUP($B131,'Maestro de productos 2024'!$A$3:$A$163,'Maestro de productos 2024'!$B$3:$B$163,0)</f>
        <v>ID-3828</v>
      </c>
      <c r="B131" s="44" t="s">
        <v>38</v>
      </c>
      <c r="C131" s="45">
        <f t="array" ref="C131">XLOOKUP(B131,'Maestro de productos 2025'!$B$189:$B$196,'Maestro de productos 2025'!$D$189:$D$196,"No encontrado",0)</f>
        <v>21</v>
      </c>
      <c r="D131" s="45">
        <f t="array" ref="D131">XLOOKUP(B131,'Maestro de productos 2025'!$B$189:$B$196,'Maestro de productos 2025'!$E$189:$E$196,"No encontrado",0)</f>
        <v>8.35935114</v>
      </c>
      <c r="E131" s="46">
        <f t="shared" si="8"/>
        <v>12.64064886</v>
      </c>
      <c r="F131" s="47">
        <f>('Base de datos transacciones'!$H131)*$D131</f>
        <v>200.6244274</v>
      </c>
      <c r="G131" s="47">
        <f>'Base de datos transacciones'!$H131*$C131</f>
        <v>504</v>
      </c>
      <c r="H131" s="47">
        <f t="shared" si="9"/>
        <v>303.3755726</v>
      </c>
      <c r="I131" s="48"/>
      <c r="J131" s="50"/>
      <c r="K131" s="50"/>
      <c r="L131" s="48"/>
      <c r="M131" s="50"/>
      <c r="N131" s="36"/>
      <c r="O131" s="51"/>
      <c r="P131" s="38"/>
      <c r="Q131" s="38"/>
      <c r="R131" s="39"/>
      <c r="S131" s="40"/>
      <c r="T131" s="22"/>
      <c r="U131" s="41"/>
      <c r="V131" s="4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>
      <c r="A132" s="43" t="str">
        <f t="array" ref="A132">XLOOKUP($B132,'Maestro de productos 2024'!$A$3:$A$163,'Maestro de productos 2024'!$B$3:$B$163,0)</f>
        <v>ID-3824</v>
      </c>
      <c r="B132" s="44" t="s">
        <v>34</v>
      </c>
      <c r="C132" s="45">
        <f t="array" ref="C132">XLOOKUP(B132,'Maestro de productos 2025'!$B$189:$B$196,'Maestro de productos 2025'!$D$189:$D$196,"No encontrado",0)</f>
        <v>10</v>
      </c>
      <c r="D132" s="45">
        <f t="array" ref="D132">XLOOKUP(B132,'Maestro de productos 2025'!$B$189:$B$196,'Maestro de productos 2025'!$E$189:$E$196,"No encontrado",0)</f>
        <v>4.07174399</v>
      </c>
      <c r="E132" s="46">
        <f t="shared" si="8"/>
        <v>5.92825601</v>
      </c>
      <c r="F132" s="47">
        <f>('Base de datos transacciones'!$H132)*$D132</f>
        <v>126.2240637</v>
      </c>
      <c r="G132" s="47">
        <f>'Base de datos transacciones'!$H132*$C132</f>
        <v>310</v>
      </c>
      <c r="H132" s="47">
        <f t="shared" si="9"/>
        <v>183.7759363</v>
      </c>
      <c r="I132" s="48">
        <f>SUM(G131:G132)</f>
        <v>814</v>
      </c>
      <c r="J132" s="50">
        <f>((I132-I130)/I130)</f>
        <v>0.6150793651</v>
      </c>
      <c r="K132" s="50">
        <f>(I132-(SUM(F131:F132)))/I132</f>
        <v>0.5984662272</v>
      </c>
      <c r="L132" s="48">
        <f>I132-(SUM(F131:F132))</f>
        <v>487.1515089</v>
      </c>
      <c r="M132" s="50">
        <f>((L132-L130)/L130)</f>
        <v>0.6571672278</v>
      </c>
      <c r="N132" s="36"/>
      <c r="O132" s="51"/>
      <c r="P132" s="38"/>
      <c r="Q132" s="38"/>
      <c r="R132" s="39"/>
      <c r="S132" s="40"/>
      <c r="T132" s="22"/>
      <c r="U132" s="41"/>
      <c r="V132" s="4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>
      <c r="A133" s="26" t="str">
        <f t="array" ref="A133">XLOOKUP($B133,'Maestro de productos 2024'!$A$3:$A$163,'Maestro de productos 2024'!$B$3:$B$163,0)</f>
        <v>ID-3825</v>
      </c>
      <c r="B133" s="27" t="s">
        <v>37</v>
      </c>
      <c r="C133" s="30">
        <f t="array" ref="C133">XLOOKUP(B133,'Maestro de productos 2025'!$B$189:$B$196,'Maestro de productos 2025'!$D$189:$D$196,"No encontrado",0)</f>
        <v>25</v>
      </c>
      <c r="D133" s="30">
        <f t="array" ref="D133">XLOOKUP(B133,'Maestro de productos 2025'!$B$189:$B$196,'Maestro de productos 2025'!$E$189:$E$196,"No encontrado",0)</f>
        <v>10.26450643</v>
      </c>
      <c r="E133" s="31">
        <f t="shared" si="8"/>
        <v>14.73549357</v>
      </c>
      <c r="F133" s="32">
        <f>('Base de datos transacciones'!$H133)*$D133</f>
        <v>143.7030901</v>
      </c>
      <c r="G133" s="32">
        <f>'Base de datos transacciones'!$H133*$C133</f>
        <v>350</v>
      </c>
      <c r="H133" s="32">
        <f t="shared" si="9"/>
        <v>206.2969099</v>
      </c>
      <c r="I133" s="34"/>
      <c r="J133" s="35"/>
      <c r="K133" s="35"/>
      <c r="L133" s="34"/>
      <c r="M133" s="35"/>
      <c r="N133" s="36"/>
      <c r="O133" s="51"/>
      <c r="P133" s="38"/>
      <c r="Q133" s="38"/>
      <c r="R133" s="39"/>
      <c r="S133" s="40"/>
      <c r="T133" s="22"/>
      <c r="U133" s="41"/>
      <c r="V133" s="4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>
      <c r="A134" s="26" t="str">
        <f t="array" ref="A134">XLOOKUP($B134,'Maestro de productos 2024'!$A$3:$A$163,'Maestro de productos 2024'!$B$3:$B$163,0)</f>
        <v>ID-3831</v>
      </c>
      <c r="B134" s="27" t="s">
        <v>109</v>
      </c>
      <c r="C134" s="30">
        <f t="array" ref="C134">XLOOKUP(B134,'Maestro de productos 2025'!$B$189:$B$196,'Maestro de productos 2025'!$D$189:$D$196,"No encontrado",0)</f>
        <v>20</v>
      </c>
      <c r="D134" s="30">
        <f t="array" ref="D134">XLOOKUP(B134,'Maestro de productos 2025'!$B$189:$B$196,'Maestro de productos 2025'!$E$189:$E$196,"No encontrado",0)</f>
        <v>7.889760073</v>
      </c>
      <c r="E134" s="31">
        <f t="shared" si="8"/>
        <v>12.11023993</v>
      </c>
      <c r="F134" s="32">
        <f>('Base de datos transacciones'!$H134)*$D134</f>
        <v>102.566881</v>
      </c>
      <c r="G134" s="32">
        <f>'Base de datos transacciones'!$H134*$C134</f>
        <v>260</v>
      </c>
      <c r="H134" s="32">
        <f t="shared" si="9"/>
        <v>157.433119</v>
      </c>
      <c r="I134" s="34">
        <f>SUM(G133:G134)</f>
        <v>610</v>
      </c>
      <c r="J134" s="35">
        <f>((I134-I132)/I132)</f>
        <v>-0.2506142506</v>
      </c>
      <c r="K134" s="35">
        <f>(I134-(SUM(F133:F134)))/I134</f>
        <v>0.596278736</v>
      </c>
      <c r="L134" s="34">
        <f>I134-(SUM(F133:F134))</f>
        <v>363.730029</v>
      </c>
      <c r="M134" s="35">
        <f>((L134-L132)/L132)</f>
        <v>-0.2533533771</v>
      </c>
      <c r="N134" s="36"/>
      <c r="O134" s="51"/>
      <c r="P134" s="38"/>
      <c r="Q134" s="38"/>
      <c r="R134" s="39"/>
      <c r="S134" s="40"/>
      <c r="T134" s="22"/>
      <c r="U134" s="41"/>
      <c r="V134" s="4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>
      <c r="A135" s="43" t="str">
        <f t="array" ref="A135">XLOOKUP($B135,'Maestro de productos 2024'!$A$3:$A$163,'Maestro de productos 2024'!$B$3:$B$163,0)</f>
        <v>ID-3827</v>
      </c>
      <c r="B135" s="44" t="s">
        <v>36</v>
      </c>
      <c r="C135" s="45">
        <f t="array" ref="C135">XLOOKUP(B135,'Maestro de productos 2025'!$B$189:$B$196,'Maestro de productos 2025'!$D$189:$D$196,"No encontrado",0)</f>
        <v>7</v>
      </c>
      <c r="D135" s="45">
        <f t="array" ref="D135">XLOOKUP(B135,'Maestro de productos 2025'!$B$189:$B$196,'Maestro de productos 2025'!$E$189:$E$196,"No encontrado",0)</f>
        <v>3.1117795</v>
      </c>
      <c r="E135" s="46">
        <f t="shared" si="8"/>
        <v>3.8882205</v>
      </c>
      <c r="F135" s="47">
        <f>('Base de datos transacciones'!$H135)*$D135</f>
        <v>108.9122825</v>
      </c>
      <c r="G135" s="47">
        <f>'Base de datos transacciones'!$H135*$C135</f>
        <v>245</v>
      </c>
      <c r="H135" s="47">
        <f t="shared" si="9"/>
        <v>136.0877175</v>
      </c>
      <c r="I135" s="48"/>
      <c r="J135" s="50"/>
      <c r="K135" s="50"/>
      <c r="L135" s="48"/>
      <c r="M135" s="50"/>
      <c r="N135" s="36"/>
      <c r="O135" s="51"/>
      <c r="P135" s="38"/>
      <c r="Q135" s="38"/>
      <c r="R135" s="39"/>
      <c r="S135" s="40"/>
      <c r="T135" s="22"/>
      <c r="U135" s="41"/>
      <c r="V135" s="4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>
      <c r="A136" s="43" t="str">
        <f t="array" ref="A136">XLOOKUP($B136,'Maestro de productos 2024'!$A$3:$A$163,'Maestro de productos 2024'!$B$3:$B$163,0)</f>
        <v>ID-3826</v>
      </c>
      <c r="B136" s="44" t="s">
        <v>35</v>
      </c>
      <c r="C136" s="45">
        <f t="array" ref="C136">XLOOKUP(B136,'Maestro de productos 2025'!$B$189:$B$196,'Maestro de productos 2025'!$D$189:$D$196,"No encontrado",0)</f>
        <v>20</v>
      </c>
      <c r="D136" s="45">
        <f t="array" ref="D136">XLOOKUP(B136,'Maestro de productos 2025'!$B$189:$B$196,'Maestro de productos 2025'!$E$189:$E$196,"No encontrado",0)</f>
        <v>8.073123457</v>
      </c>
      <c r="E136" s="46">
        <f t="shared" si="8"/>
        <v>11.92687654</v>
      </c>
      <c r="F136" s="47">
        <f>('Base de datos transacciones'!$H136)*$D136</f>
        <v>137.2430988</v>
      </c>
      <c r="G136" s="47">
        <f>'Base de datos transacciones'!$H136*$C136</f>
        <v>340</v>
      </c>
      <c r="H136" s="47">
        <f t="shared" si="9"/>
        <v>202.7569012</v>
      </c>
      <c r="I136" s="48">
        <f>SUM(G135:G136)</f>
        <v>585</v>
      </c>
      <c r="J136" s="50">
        <f>((I136-I134)/I134)</f>
        <v>-0.04098360656</v>
      </c>
      <c r="K136" s="50">
        <f>(I136-(SUM(F135:F136)))/I136</f>
        <v>0.5792215705</v>
      </c>
      <c r="L136" s="48">
        <f>I136-(SUM(F135:F136))</f>
        <v>338.8446187</v>
      </c>
      <c r="M136" s="50">
        <f>((L136-L134)/L134)</f>
        <v>-0.06841725531</v>
      </c>
      <c r="N136" s="36"/>
      <c r="O136" s="51"/>
      <c r="P136" s="38"/>
      <c r="Q136" s="38"/>
      <c r="R136" s="39"/>
      <c r="S136" s="40"/>
      <c r="T136" s="22"/>
      <c r="U136" s="41"/>
      <c r="V136" s="4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>
      <c r="A137" s="26" t="str">
        <f t="array" ref="A137">XLOOKUP($B137,'Maestro de productos 2024'!$A$3:$A$163,'Maestro de productos 2024'!$B$3:$B$163,0)</f>
        <v>ID-3828</v>
      </c>
      <c r="B137" s="27" t="s">
        <v>38</v>
      </c>
      <c r="C137" s="30">
        <f t="array" ref="C137">XLOOKUP(B137,'Maestro de productos 2025'!$B$189:$B$196,'Maestro de productos 2025'!$D$189:$D$196,"No encontrado",0)</f>
        <v>21</v>
      </c>
      <c r="D137" s="30">
        <f t="array" ref="D137">XLOOKUP(B137,'Maestro de productos 2025'!$B$189:$B$196,'Maestro de productos 2025'!$E$189:$E$196,"No encontrado",0)</f>
        <v>8.35935114</v>
      </c>
      <c r="E137" s="31">
        <f t="shared" si="8"/>
        <v>12.64064886</v>
      </c>
      <c r="F137" s="32">
        <f>('Base de datos transacciones'!$H137)*$D137</f>
        <v>100.3122137</v>
      </c>
      <c r="G137" s="32">
        <f>'Base de datos transacciones'!$H137*$C137</f>
        <v>252</v>
      </c>
      <c r="H137" s="32">
        <f t="shared" si="9"/>
        <v>151.6877863</v>
      </c>
      <c r="I137" s="34"/>
      <c r="J137" s="35"/>
      <c r="K137" s="35"/>
      <c r="L137" s="34"/>
      <c r="M137" s="35"/>
      <c r="N137" s="36"/>
      <c r="O137" s="51"/>
      <c r="P137" s="38"/>
      <c r="Q137" s="38"/>
      <c r="R137" s="39"/>
      <c r="S137" s="40"/>
      <c r="T137" s="22"/>
      <c r="U137" s="41"/>
      <c r="V137" s="4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>
      <c r="A138" s="26" t="str">
        <f t="array" ref="A138">XLOOKUP($B138,'Maestro de productos 2024'!$A$3:$A$163,'Maestro de productos 2024'!$B$3:$B$163,0)</f>
        <v>ID-3827</v>
      </c>
      <c r="B138" s="27" t="s">
        <v>36</v>
      </c>
      <c r="C138" s="30">
        <f t="array" ref="C138">XLOOKUP(B138,'Maestro de productos 2025'!$B$189:$B$196,'Maestro de productos 2025'!$D$189:$D$196,"No encontrado",0)</f>
        <v>7</v>
      </c>
      <c r="D138" s="30">
        <f t="array" ref="D138">XLOOKUP(B138,'Maestro de productos 2025'!$B$189:$B$196,'Maestro de productos 2025'!$E$189:$E$196,"No encontrado",0)</f>
        <v>3.1117795</v>
      </c>
      <c r="E138" s="31">
        <f t="shared" si="8"/>
        <v>3.8882205</v>
      </c>
      <c r="F138" s="32">
        <f>('Base de datos transacciones'!$H138)*$D138</f>
        <v>102.6887235</v>
      </c>
      <c r="G138" s="32">
        <f>'Base de datos transacciones'!$H138*$C138</f>
        <v>231</v>
      </c>
      <c r="H138" s="32">
        <f t="shared" si="9"/>
        <v>128.3112765</v>
      </c>
      <c r="I138" s="34">
        <f>SUM(G137:G138)</f>
        <v>483</v>
      </c>
      <c r="J138" s="35">
        <f>((I138-I136)/I136)</f>
        <v>-0.1743589744</v>
      </c>
      <c r="K138" s="35">
        <f>(I138-(SUM(F137:F138)))/I138</f>
        <v>0.5797082046</v>
      </c>
      <c r="L138" s="34">
        <f>I138-(SUM(F137:F138))</f>
        <v>279.9990628</v>
      </c>
      <c r="M138" s="35">
        <f>((L138-L136)/L136)</f>
        <v>-0.1736653105</v>
      </c>
      <c r="N138" s="36"/>
      <c r="O138" s="51"/>
      <c r="P138" s="38"/>
      <c r="Q138" s="38"/>
      <c r="R138" s="39"/>
      <c r="S138" s="40"/>
      <c r="T138" s="22"/>
      <c r="U138" s="41"/>
      <c r="V138" s="4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>
      <c r="A139" s="43" t="str">
        <f t="array" ref="A139">XLOOKUP($B139,'Maestro de productos 2024'!$A$3:$A$163,'Maestro de productos 2024'!$B$3:$B$163,0)</f>
        <v>ID-3828</v>
      </c>
      <c r="B139" s="44" t="s">
        <v>38</v>
      </c>
      <c r="C139" s="45">
        <f t="array" ref="C139">XLOOKUP(B139,'Maestro de productos 2025'!$B$189:$B$196,'Maestro de productos 2025'!$D$189:$D$196,"No encontrado",0)</f>
        <v>21</v>
      </c>
      <c r="D139" s="45">
        <f t="array" ref="D139">XLOOKUP(B139,'Maestro de productos 2025'!$B$189:$B$196,'Maestro de productos 2025'!$E$189:$E$196,"No encontrado",0)</f>
        <v>8.35935114</v>
      </c>
      <c r="E139" s="46">
        <f t="shared" si="8"/>
        <v>12.64064886</v>
      </c>
      <c r="F139" s="47">
        <f>('Base de datos transacciones'!$H139)*$D139</f>
        <v>100.3122137</v>
      </c>
      <c r="G139" s="47">
        <f>'Base de datos transacciones'!$H139*$C139</f>
        <v>252</v>
      </c>
      <c r="H139" s="47">
        <f t="shared" si="9"/>
        <v>151.6877863</v>
      </c>
      <c r="I139" s="48"/>
      <c r="J139" s="50"/>
      <c r="K139" s="50"/>
      <c r="L139" s="48"/>
      <c r="M139" s="50"/>
      <c r="N139" s="36">
        <f>SUM(G131:G139)</f>
        <v>2744</v>
      </c>
      <c r="O139" s="51">
        <f>((N139-N130)/N130)</f>
        <v>0.08673267327</v>
      </c>
      <c r="P139" s="52">
        <f>(N139-SUM(F131:F139))/N139</f>
        <v>0.5908939525</v>
      </c>
      <c r="Q139" s="53">
        <f>N139-(SUM(F131:F139))</f>
        <v>1621.413006</v>
      </c>
      <c r="R139" s="54">
        <f>((Q139-Q130)/Q130)</f>
        <v>0.08739623514</v>
      </c>
      <c r="S139" s="40"/>
      <c r="T139" s="22"/>
      <c r="U139" s="41"/>
      <c r="V139" s="4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>
      <c r="A140" s="43" t="str">
        <f t="array" ref="A140">XLOOKUP($B140,'Maestro de productos 2024'!$A$3:$A$163,'Maestro de productos 2024'!$B$3:$B$163,0)</f>
        <v>ID-3831</v>
      </c>
      <c r="B140" s="44" t="s">
        <v>109</v>
      </c>
      <c r="C140" s="45">
        <f t="array" ref="C140">XLOOKUP(B140,'Maestro de productos 2025'!$B$189:$B$196,'Maestro de productos 2025'!$D$189:$D$196,"No encontrado",0)</f>
        <v>20</v>
      </c>
      <c r="D140" s="45">
        <f t="array" ref="D140">XLOOKUP(B140,'Maestro de productos 2025'!$B$189:$B$196,'Maestro de productos 2025'!$E$189:$E$196,"No encontrado",0)</f>
        <v>7.889760073</v>
      </c>
      <c r="E140" s="46">
        <f t="shared" si="8"/>
        <v>12.11023993</v>
      </c>
      <c r="F140" s="47">
        <f>('Base de datos transacciones'!$H140)*$D140</f>
        <v>110.456641</v>
      </c>
      <c r="G140" s="47">
        <f>'Base de datos transacciones'!$H140*$C140</f>
        <v>280</v>
      </c>
      <c r="H140" s="47">
        <f t="shared" si="9"/>
        <v>169.543359</v>
      </c>
      <c r="I140" s="48">
        <f>SUM(G139:G140)</f>
        <v>532</v>
      </c>
      <c r="J140" s="50">
        <f>((I140-I138)/I138)</f>
        <v>0.1014492754</v>
      </c>
      <c r="K140" s="50">
        <f>(I140-(SUM(F139:F140)))/I140</f>
        <v>0.6038179423</v>
      </c>
      <c r="L140" s="48">
        <f>I140-(SUM(F139:F140))</f>
        <v>321.2311453</v>
      </c>
      <c r="M140" s="50">
        <f>((L140-L138)/L138)</f>
        <v>0.1472579303</v>
      </c>
      <c r="N140" s="36"/>
      <c r="O140" s="51"/>
      <c r="P140" s="38"/>
      <c r="Q140" s="38"/>
      <c r="R140" s="39"/>
      <c r="S140" s="40"/>
      <c r="T140" s="22"/>
      <c r="U140" s="41"/>
      <c r="V140" s="4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>
      <c r="A141" s="26" t="str">
        <f t="array" ref="A141">XLOOKUP($B141,'Maestro de productos 2024'!$A$3:$A$163,'Maestro de productos 2024'!$B$3:$B$163,0)</f>
        <v>ID-3826</v>
      </c>
      <c r="B141" s="27" t="s">
        <v>35</v>
      </c>
      <c r="C141" s="30">
        <f t="array" ref="C141">XLOOKUP(B141,'Maestro de productos 2025'!$B$189:$B$196,'Maestro de productos 2025'!$D$189:$D$196,"No encontrado",0)</f>
        <v>20</v>
      </c>
      <c r="D141" s="30">
        <f t="array" ref="D141">XLOOKUP(B141,'Maestro de productos 2025'!$B$189:$B$196,'Maestro de productos 2025'!$E$189:$E$196,"No encontrado",0)</f>
        <v>8.073123457</v>
      </c>
      <c r="E141" s="31">
        <f t="shared" si="8"/>
        <v>11.92687654</v>
      </c>
      <c r="F141" s="32">
        <f>('Base de datos transacciones'!$H141)*$D141</f>
        <v>145.3162222</v>
      </c>
      <c r="G141" s="32">
        <f>'Base de datos transacciones'!$H141*$C141</f>
        <v>360</v>
      </c>
      <c r="H141" s="32">
        <f t="shared" si="9"/>
        <v>214.6837778</v>
      </c>
      <c r="I141" s="34"/>
      <c r="J141" s="35"/>
      <c r="K141" s="35"/>
      <c r="L141" s="34"/>
      <c r="M141" s="35"/>
      <c r="N141" s="36"/>
      <c r="O141" s="51"/>
      <c r="P141" s="38"/>
      <c r="Q141" s="38"/>
      <c r="R141" s="39"/>
      <c r="S141" s="40"/>
      <c r="T141" s="22"/>
      <c r="U141" s="41"/>
      <c r="V141" s="4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>
      <c r="A142" s="26" t="str">
        <f t="array" ref="A142">XLOOKUP($B142,'Maestro de productos 2024'!$A$3:$A$163,'Maestro de productos 2024'!$B$3:$B$163,0)</f>
        <v>ID-3824</v>
      </c>
      <c r="B142" s="27" t="s">
        <v>34</v>
      </c>
      <c r="C142" s="30">
        <f t="array" ref="C142">XLOOKUP(B142,'Maestro de productos 2025'!$B$189:$B$196,'Maestro de productos 2025'!$D$189:$D$196,"No encontrado",0)</f>
        <v>10</v>
      </c>
      <c r="D142" s="30">
        <f t="array" ref="D142">XLOOKUP(B142,'Maestro de productos 2025'!$B$189:$B$196,'Maestro de productos 2025'!$E$189:$E$196,"No encontrado",0)</f>
        <v>4.07174399</v>
      </c>
      <c r="E142" s="31">
        <f t="shared" si="8"/>
        <v>5.92825601</v>
      </c>
      <c r="F142" s="32">
        <f>('Base de datos transacciones'!$H142)*$D142</f>
        <v>122.1523197</v>
      </c>
      <c r="G142" s="32">
        <f>'Base de datos transacciones'!$H142*$C142</f>
        <v>300</v>
      </c>
      <c r="H142" s="32">
        <f t="shared" si="9"/>
        <v>177.8476803</v>
      </c>
      <c r="I142" s="34">
        <f>SUM(G141:G142)</f>
        <v>660</v>
      </c>
      <c r="J142" s="35">
        <f>((I142-I140)/I140)</f>
        <v>0.2406015038</v>
      </c>
      <c r="K142" s="35">
        <f>(I142-(SUM(F141:F142)))/I142</f>
        <v>0.5947446334</v>
      </c>
      <c r="L142" s="34">
        <f>I142-(SUM(F141:F142))</f>
        <v>392.5314581</v>
      </c>
      <c r="M142" s="35">
        <f>((L142-L140)/L140)</f>
        <v>0.2219595261</v>
      </c>
      <c r="N142" s="36"/>
      <c r="O142" s="51"/>
      <c r="P142" s="38"/>
      <c r="Q142" s="38"/>
      <c r="R142" s="39"/>
      <c r="S142" s="40"/>
      <c r="T142" s="22"/>
      <c r="U142" s="41"/>
      <c r="V142" s="4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>
      <c r="A143" s="43" t="str">
        <f t="array" ref="A143">XLOOKUP($B143,'Maestro de productos 2024'!$A$3:$A$163,'Maestro de productos 2024'!$B$3:$B$163,0)</f>
        <v>ID-3824</v>
      </c>
      <c r="B143" s="44" t="s">
        <v>34</v>
      </c>
      <c r="C143" s="45">
        <f t="array" ref="C143">XLOOKUP(B143,'Maestro de productos 2025'!$B$189:$B$196,'Maestro de productos 2025'!$D$189:$D$196,"No encontrado",0)</f>
        <v>10</v>
      </c>
      <c r="D143" s="45">
        <f t="array" ref="D143">XLOOKUP(B143,'Maestro de productos 2025'!$B$189:$B$196,'Maestro de productos 2025'!$E$189:$E$196,"No encontrado",0)</f>
        <v>4.07174399</v>
      </c>
      <c r="E143" s="46">
        <f t="shared" si="8"/>
        <v>5.92825601</v>
      </c>
      <c r="F143" s="47">
        <f>('Base de datos transacciones'!$H143)*$D143</f>
        <v>130.2958077</v>
      </c>
      <c r="G143" s="47">
        <f>'Base de datos transacciones'!$H143*$C143</f>
        <v>320</v>
      </c>
      <c r="H143" s="47">
        <f t="shared" si="9"/>
        <v>189.7041923</v>
      </c>
      <c r="I143" s="48"/>
      <c r="J143" s="50"/>
      <c r="K143" s="50"/>
      <c r="L143" s="48"/>
      <c r="M143" s="50"/>
      <c r="N143" s="36"/>
      <c r="O143" s="51"/>
      <c r="P143" s="38"/>
      <c r="Q143" s="38"/>
      <c r="R143" s="39"/>
      <c r="S143" s="40"/>
      <c r="T143" s="22"/>
      <c r="U143" s="41"/>
      <c r="V143" s="4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>
      <c r="A144" s="43" t="str">
        <f t="array" ref="A144">XLOOKUP($B144,'Maestro de productos 2024'!$A$3:$A$163,'Maestro de productos 2024'!$B$3:$B$163,0)</f>
        <v>ID-3825</v>
      </c>
      <c r="B144" s="44" t="s">
        <v>37</v>
      </c>
      <c r="C144" s="45">
        <f t="array" ref="C144">XLOOKUP(B144,'Maestro de productos 2025'!$B$189:$B$196,'Maestro de productos 2025'!$D$189:$D$196,"No encontrado",0)</f>
        <v>25</v>
      </c>
      <c r="D144" s="45">
        <f t="array" ref="D144">XLOOKUP(B144,'Maestro de productos 2025'!$B$189:$B$196,'Maestro de productos 2025'!$E$189:$E$196,"No encontrado",0)</f>
        <v>10.26450643</v>
      </c>
      <c r="E144" s="46">
        <f t="shared" si="8"/>
        <v>14.73549357</v>
      </c>
      <c r="F144" s="47">
        <f>('Base de datos transacciones'!$H144)*$D144</f>
        <v>164.2321029</v>
      </c>
      <c r="G144" s="47">
        <f>'Base de datos transacciones'!$H144*$C144</f>
        <v>400</v>
      </c>
      <c r="H144" s="47">
        <f t="shared" si="9"/>
        <v>235.7678971</v>
      </c>
      <c r="I144" s="48">
        <f>SUM(G143:G144)</f>
        <v>720</v>
      </c>
      <c r="J144" s="50">
        <f>((I144-I142)/I142)</f>
        <v>0.09090909091</v>
      </c>
      <c r="K144" s="50">
        <f>(I144-(SUM(F143:F144)))/I144</f>
        <v>0.5909334575</v>
      </c>
      <c r="L144" s="48">
        <f>I144-(SUM(F143:F144))</f>
        <v>425.4720894</v>
      </c>
      <c r="M144" s="50">
        <f>((L144-L142)/L142)</f>
        <v>0.0839184494</v>
      </c>
      <c r="N144" s="36"/>
      <c r="O144" s="51"/>
      <c r="P144" s="38"/>
      <c r="Q144" s="38"/>
      <c r="R144" s="39"/>
      <c r="S144" s="40"/>
      <c r="T144" s="22"/>
      <c r="U144" s="41"/>
      <c r="V144" s="4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>
      <c r="A145" s="26" t="str">
        <f t="array" ref="A145">XLOOKUP($B145,'Maestro de productos 2024'!$A$3:$A$163,'Maestro de productos 2024'!$B$3:$B$163,0)</f>
        <v>ID-3831</v>
      </c>
      <c r="B145" s="27" t="s">
        <v>109</v>
      </c>
      <c r="C145" s="30">
        <f t="array" ref="C145">XLOOKUP(B145,'Maestro de productos 2025'!$B$189:$B$196,'Maestro de productos 2025'!$D$189:$D$196,"No encontrado",0)</f>
        <v>20</v>
      </c>
      <c r="D145" s="30">
        <f t="array" ref="D145">XLOOKUP(B145,'Maestro de productos 2025'!$B$189:$B$196,'Maestro de productos 2025'!$E$189:$E$196,"No encontrado",0)</f>
        <v>7.889760073</v>
      </c>
      <c r="E145" s="31">
        <f t="shared" si="8"/>
        <v>12.11023993</v>
      </c>
      <c r="F145" s="32">
        <f>('Base de datos transacciones'!$H145)*$D145</f>
        <v>102.566881</v>
      </c>
      <c r="G145" s="32">
        <f>'Base de datos transacciones'!$H145*$C145</f>
        <v>260</v>
      </c>
      <c r="H145" s="32">
        <f t="shared" si="9"/>
        <v>157.433119</v>
      </c>
      <c r="I145" s="34"/>
      <c r="J145" s="35"/>
      <c r="K145" s="35"/>
      <c r="L145" s="34"/>
      <c r="M145" s="35"/>
      <c r="N145" s="36"/>
      <c r="O145" s="51"/>
      <c r="P145" s="38"/>
      <c r="Q145" s="38"/>
      <c r="R145" s="39"/>
      <c r="S145" s="40"/>
      <c r="T145" s="22"/>
      <c r="U145" s="41"/>
      <c r="V145" s="4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>
      <c r="A146" s="26" t="str">
        <f t="array" ref="A146">XLOOKUP($B146,'Maestro de productos 2024'!$A$3:$A$163,'Maestro de productos 2024'!$B$3:$B$163,0)</f>
        <v>ID-3828</v>
      </c>
      <c r="B146" s="27" t="s">
        <v>38</v>
      </c>
      <c r="C146" s="30">
        <f t="array" ref="C146">XLOOKUP(B146,'Maestro de productos 2025'!$B$189:$B$196,'Maestro de productos 2025'!$D$189:$D$196,"No encontrado",0)</f>
        <v>21</v>
      </c>
      <c r="D146" s="30">
        <f t="array" ref="D146">XLOOKUP(B146,'Maestro de productos 2025'!$B$189:$B$196,'Maestro de productos 2025'!$E$189:$E$196,"No encontrado",0)</f>
        <v>8.35935114</v>
      </c>
      <c r="E146" s="31">
        <f t="shared" si="8"/>
        <v>12.64064886</v>
      </c>
      <c r="F146" s="32">
        <f>('Base de datos transacciones'!$H146)*$D146</f>
        <v>200.6244274</v>
      </c>
      <c r="G146" s="32">
        <f>'Base de datos transacciones'!$H146*$C146</f>
        <v>504</v>
      </c>
      <c r="H146" s="32">
        <f t="shared" si="9"/>
        <v>303.3755726</v>
      </c>
      <c r="I146" s="34">
        <f>SUM(G145:G146)</f>
        <v>764</v>
      </c>
      <c r="J146" s="35">
        <f>((I146-I144)/I144)</f>
        <v>0.06111111111</v>
      </c>
      <c r="K146" s="35">
        <f>(I146-(SUM(F145:F146)))/I146</f>
        <v>0.6031527378</v>
      </c>
      <c r="L146" s="34">
        <f>I146-(SUM(F145:F146))</f>
        <v>460.8086917</v>
      </c>
      <c r="M146" s="35">
        <f>((L146-L144)/L144)</f>
        <v>0.08305269185</v>
      </c>
      <c r="N146" s="36"/>
      <c r="O146" s="51"/>
      <c r="P146" s="38"/>
      <c r="Q146" s="38"/>
      <c r="R146" s="39"/>
      <c r="S146" s="40"/>
      <c r="T146" s="22"/>
      <c r="U146" s="41"/>
      <c r="V146" s="4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>
      <c r="A147" s="43" t="str">
        <f t="array" ref="A147">XLOOKUP($B147,'Maestro de productos 2024'!$A$3:$A$163,'Maestro de productos 2024'!$B$3:$B$163,0)</f>
        <v>ID-3824</v>
      </c>
      <c r="B147" s="44" t="s">
        <v>34</v>
      </c>
      <c r="C147" s="45">
        <f t="array" ref="C147">XLOOKUP(B147,'Maestro de productos 2025'!$B$189:$B$196,'Maestro de productos 2025'!$D$189:$D$196,"No encontrado",0)</f>
        <v>10</v>
      </c>
      <c r="D147" s="45">
        <f t="array" ref="D147">XLOOKUP(B147,'Maestro de productos 2025'!$B$189:$B$196,'Maestro de productos 2025'!$E$189:$E$196,"No encontrado",0)</f>
        <v>4.07174399</v>
      </c>
      <c r="E147" s="46">
        <f t="shared" si="8"/>
        <v>5.92825601</v>
      </c>
      <c r="F147" s="47">
        <f>('Base de datos transacciones'!$H147)*$D147</f>
        <v>109.9370877</v>
      </c>
      <c r="G147" s="47">
        <f>'Base de datos transacciones'!$H147*$C147</f>
        <v>270</v>
      </c>
      <c r="H147" s="47">
        <f t="shared" si="9"/>
        <v>160.0629123</v>
      </c>
      <c r="I147" s="48"/>
      <c r="J147" s="50"/>
      <c r="K147" s="50"/>
      <c r="L147" s="48"/>
      <c r="M147" s="50"/>
      <c r="N147" s="36"/>
      <c r="O147" s="51"/>
      <c r="P147" s="38"/>
      <c r="Q147" s="38"/>
      <c r="R147" s="39"/>
      <c r="S147" s="40"/>
      <c r="T147" s="22"/>
      <c r="U147" s="41"/>
      <c r="V147" s="4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>
      <c r="A148" s="43" t="str">
        <f t="array" ref="A148">XLOOKUP($B148,'Maestro de productos 2024'!$A$3:$A$163,'Maestro de productos 2024'!$B$3:$B$163,0)</f>
        <v>ID-3827</v>
      </c>
      <c r="B148" s="44" t="s">
        <v>36</v>
      </c>
      <c r="C148" s="45">
        <f t="array" ref="C148">XLOOKUP(B148,'Maestro de productos 2025'!$B$189:$B$196,'Maestro de productos 2025'!$D$189:$D$196,"No encontrado",0)</f>
        <v>7</v>
      </c>
      <c r="D148" s="45">
        <f t="array" ref="D148">XLOOKUP(B148,'Maestro de productos 2025'!$B$189:$B$196,'Maestro de productos 2025'!$E$189:$E$196,"No encontrado",0)</f>
        <v>3.1117795</v>
      </c>
      <c r="E148" s="46">
        <f t="shared" si="8"/>
        <v>3.8882205</v>
      </c>
      <c r="F148" s="47">
        <f>('Base de datos transacciones'!$H148)*$D148</f>
        <v>99.57694401</v>
      </c>
      <c r="G148" s="47">
        <f>'Base de datos transacciones'!$H148*$C148</f>
        <v>224</v>
      </c>
      <c r="H148" s="47">
        <f t="shared" si="9"/>
        <v>124.423056</v>
      </c>
      <c r="I148" s="48">
        <f>SUM(G147:G148)</f>
        <v>494</v>
      </c>
      <c r="J148" s="50">
        <f>((I148-I146)/I146)</f>
        <v>-0.3534031414</v>
      </c>
      <c r="K148" s="50">
        <f>(I148-(SUM(F147:F148)))/I148</f>
        <v>0.5758825268</v>
      </c>
      <c r="L148" s="48">
        <f>I148-(SUM(F147:F148))</f>
        <v>284.4859682</v>
      </c>
      <c r="M148" s="50">
        <f>((L148-L146)/L146)</f>
        <v>-0.3826375818</v>
      </c>
      <c r="N148" s="36">
        <f>SUM(G140:G148)</f>
        <v>2918</v>
      </c>
      <c r="O148" s="51">
        <f>((N148-N139)/N139)</f>
        <v>0.06341107872</v>
      </c>
      <c r="P148" s="52">
        <f>(N148-SUM(F140:F148))/N148</f>
        <v>0.5938456362</v>
      </c>
      <c r="Q148" s="53">
        <f>N148-(SUM(F140:F148))</f>
        <v>1732.841566</v>
      </c>
      <c r="R148" s="54">
        <f>((Q148-Q139)/Q139)</f>
        <v>0.06872312001</v>
      </c>
      <c r="S148" s="40"/>
      <c r="T148" s="22"/>
      <c r="U148" s="41"/>
      <c r="V148" s="4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>
      <c r="A149" s="26" t="str">
        <f t="array" ref="A149">XLOOKUP($B149,'Maestro de productos 2024'!$A$3:$A$163,'Maestro de productos 2024'!$B$3:$B$163,0)</f>
        <v>ID-3825</v>
      </c>
      <c r="B149" s="27" t="s">
        <v>37</v>
      </c>
      <c r="C149" s="30">
        <f t="array" ref="C149">XLOOKUP(B149,'Maestro de productos 2025'!$B$189:$B$196,'Maestro de productos 2025'!$D$189:$D$196,"No encontrado",0)</f>
        <v>25</v>
      </c>
      <c r="D149" s="30">
        <f t="array" ref="D149">XLOOKUP(B149,'Maestro de productos 2025'!$B$189:$B$196,'Maestro de productos 2025'!$E$189:$E$196,"No encontrado",0)</f>
        <v>10.26450643</v>
      </c>
      <c r="E149" s="31">
        <f t="shared" si="8"/>
        <v>14.73549357</v>
      </c>
      <c r="F149" s="32">
        <f>('Base de datos transacciones'!$H149)*$D149</f>
        <v>164.2321029</v>
      </c>
      <c r="G149" s="32">
        <f>'Base de datos transacciones'!$H149*$C149</f>
        <v>400</v>
      </c>
      <c r="H149" s="32">
        <f t="shared" si="9"/>
        <v>235.7678971</v>
      </c>
      <c r="I149" s="34"/>
      <c r="J149" s="35"/>
      <c r="K149" s="35"/>
      <c r="L149" s="34"/>
      <c r="M149" s="35"/>
      <c r="N149" s="36"/>
      <c r="O149" s="37"/>
      <c r="P149" s="38"/>
      <c r="Q149" s="38"/>
      <c r="R149" s="39"/>
      <c r="S149" s="40"/>
      <c r="T149" s="22"/>
      <c r="U149" s="41"/>
      <c r="V149" s="4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>
      <c r="A150" s="26" t="str">
        <f t="array" ref="A150">XLOOKUP($B150,'Maestro de productos 2024'!$A$3:$A$163,'Maestro de productos 2024'!$B$3:$B$163,0)</f>
        <v>ID-3831</v>
      </c>
      <c r="B150" s="27" t="s">
        <v>109</v>
      </c>
      <c r="C150" s="30">
        <f t="array" ref="C150">XLOOKUP(B150,'Maestro de productos 2025'!$B$189:$B$196,'Maestro de productos 2025'!$D$189:$D$196,"No encontrado",0)</f>
        <v>20</v>
      </c>
      <c r="D150" s="30">
        <f t="array" ref="D150">XLOOKUP(B150,'Maestro de productos 2025'!$B$189:$B$196,'Maestro de productos 2025'!$E$189:$E$196,"No encontrado",0)</f>
        <v>7.889760073</v>
      </c>
      <c r="E150" s="31">
        <f t="shared" si="8"/>
        <v>12.11023993</v>
      </c>
      <c r="F150" s="32">
        <f>('Base de datos transacciones'!$H150)*$D150</f>
        <v>110.456641</v>
      </c>
      <c r="G150" s="32">
        <f>'Base de datos transacciones'!$H150*$C150</f>
        <v>280</v>
      </c>
      <c r="H150" s="32">
        <f t="shared" si="9"/>
        <v>169.543359</v>
      </c>
      <c r="I150" s="34">
        <f>SUM(G149:G150)</f>
        <v>680</v>
      </c>
      <c r="J150" s="35">
        <f>((I150-I148)/I148)</f>
        <v>0.3765182186</v>
      </c>
      <c r="K150" s="35">
        <f>(I150-(SUM(F149:F150)))/I150</f>
        <v>0.5960459648</v>
      </c>
      <c r="L150" s="34">
        <f>I150-(SUM(F149:F150))</f>
        <v>405.311256</v>
      </c>
      <c r="M150" s="35">
        <f>((L150-L148)/L148)</f>
        <v>0.4247144017</v>
      </c>
      <c r="N150" s="36"/>
      <c r="O150" s="37"/>
      <c r="P150" s="38"/>
      <c r="Q150" s="38"/>
      <c r="R150" s="39"/>
      <c r="S150" s="40"/>
      <c r="T150" s="22"/>
      <c r="U150" s="41"/>
      <c r="V150" s="4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>
      <c r="A151" s="43" t="str">
        <f t="array" ref="A151">XLOOKUP($B151,'Maestro de productos 2024'!$A$3:$A$163,'Maestro de productos 2024'!$B$3:$B$163,0)</f>
        <v>ID-3826</v>
      </c>
      <c r="B151" s="44" t="s">
        <v>35</v>
      </c>
      <c r="C151" s="45">
        <f t="array" ref="C151">XLOOKUP(B151,'Maestro de productos 2025'!$B$189:$B$196,'Maestro de productos 2025'!$D$189:$D$196,"No encontrado",0)</f>
        <v>20</v>
      </c>
      <c r="D151" s="45">
        <f t="array" ref="D151">XLOOKUP(B151,'Maestro de productos 2025'!$B$189:$B$196,'Maestro de productos 2025'!$E$189:$E$196,"No encontrado",0)</f>
        <v>8.073123457</v>
      </c>
      <c r="E151" s="46">
        <f t="shared" si="8"/>
        <v>11.92687654</v>
      </c>
      <c r="F151" s="47">
        <f>('Base de datos transacciones'!$H151)*$D151</f>
        <v>145.3162222</v>
      </c>
      <c r="G151" s="47">
        <f>'Base de datos transacciones'!$H151*$C151</f>
        <v>360</v>
      </c>
      <c r="H151" s="47">
        <f t="shared" si="9"/>
        <v>214.6837778</v>
      </c>
      <c r="I151" s="48"/>
      <c r="J151" s="50"/>
      <c r="K151" s="50"/>
      <c r="L151" s="48"/>
      <c r="M151" s="50"/>
      <c r="N151" s="36"/>
      <c r="O151" s="37"/>
      <c r="P151" s="279"/>
      <c r="Q151" s="38"/>
      <c r="R151" s="39"/>
      <c r="S151" s="40"/>
      <c r="T151" s="22"/>
      <c r="U151" s="41"/>
      <c r="V151" s="4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>
      <c r="A152" s="43" t="str">
        <f t="array" ref="A152">XLOOKUP($B152,'Maestro de productos 2024'!$A$3:$A$163,'Maestro de productos 2024'!$B$3:$B$163,0)</f>
        <v>ID-3828</v>
      </c>
      <c r="B152" s="44" t="s">
        <v>38</v>
      </c>
      <c r="C152" s="45">
        <f t="array" ref="C152">XLOOKUP(B152,'Maestro de productos 2025'!$B$189:$B$196,'Maestro de productos 2025'!$D$189:$D$196,"No encontrado",0)</f>
        <v>21</v>
      </c>
      <c r="D152" s="45">
        <f t="array" ref="D152">XLOOKUP(B152,'Maestro de productos 2025'!$B$189:$B$196,'Maestro de productos 2025'!$E$189:$E$196,"No encontrado",0)</f>
        <v>8.35935114</v>
      </c>
      <c r="E152" s="46">
        <f t="shared" si="8"/>
        <v>12.64064886</v>
      </c>
      <c r="F152" s="47">
        <f>('Base de datos transacciones'!$H152)*$D152</f>
        <v>100.3122137</v>
      </c>
      <c r="G152" s="47">
        <f>'Base de datos transacciones'!$H152*$C152</f>
        <v>252</v>
      </c>
      <c r="H152" s="47">
        <f t="shared" si="9"/>
        <v>151.6877863</v>
      </c>
      <c r="I152" s="48">
        <f>SUM(G151:G152)</f>
        <v>612</v>
      </c>
      <c r="J152" s="50">
        <f>((I152-I150)/I150)</f>
        <v>-0.1</v>
      </c>
      <c r="K152" s="50">
        <f>(I152-(SUM(F151:F152)))/I152</f>
        <v>0.5986463466</v>
      </c>
      <c r="L152" s="48">
        <f>I152-(SUM(F151:F152))</f>
        <v>366.3715641</v>
      </c>
      <c r="M152" s="50">
        <f>((L152-L150)/L150)</f>
        <v>-0.09607355175</v>
      </c>
      <c r="N152" s="36"/>
      <c r="O152" s="37"/>
      <c r="P152" s="38"/>
      <c r="Q152" s="38"/>
      <c r="R152" s="39"/>
      <c r="S152" s="40"/>
      <c r="T152" s="22"/>
      <c r="U152" s="41"/>
      <c r="V152" s="4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>
      <c r="A153" s="26" t="str">
        <f t="array" ref="A153">XLOOKUP($B153,'Maestro de productos 2024'!$A$3:$A$163,'Maestro de productos 2024'!$B$3:$B$163,0)</f>
        <v>ID-3824</v>
      </c>
      <c r="B153" s="27" t="s">
        <v>34</v>
      </c>
      <c r="C153" s="30">
        <f t="array" ref="C153">XLOOKUP(B153,'Maestro de productos 2025'!$B$189:$B$196,'Maestro de productos 2025'!$D$189:$D$196,"No encontrado",0)</f>
        <v>10</v>
      </c>
      <c r="D153" s="30">
        <f t="array" ref="D153">XLOOKUP(B153,'Maestro de productos 2025'!$B$189:$B$196,'Maestro de productos 2025'!$E$189:$E$196,"No encontrado",0)</f>
        <v>4.07174399</v>
      </c>
      <c r="E153" s="31">
        <f t="shared" si="8"/>
        <v>5.92825601</v>
      </c>
      <c r="F153" s="32">
        <f>('Base de datos transacciones'!$H153)*$D153</f>
        <v>130.2958077</v>
      </c>
      <c r="G153" s="32">
        <f>'Base de datos transacciones'!$H153*$C153</f>
        <v>320</v>
      </c>
      <c r="H153" s="32">
        <f t="shared" si="9"/>
        <v>189.7041923</v>
      </c>
      <c r="I153" s="34"/>
      <c r="J153" s="35"/>
      <c r="K153" s="35"/>
      <c r="L153" s="34"/>
      <c r="M153" s="35"/>
      <c r="N153" s="36"/>
      <c r="O153" s="37"/>
      <c r="P153" s="38"/>
      <c r="Q153" s="38"/>
      <c r="R153" s="39"/>
      <c r="S153" s="40"/>
      <c r="T153" s="22"/>
      <c r="U153" s="41"/>
      <c r="V153" s="4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>
      <c r="A154" s="26" t="str">
        <f t="array" ref="A154">XLOOKUP($B154,'Maestro de productos 2024'!$A$3:$A$163,'Maestro de productos 2024'!$B$3:$B$163,0)</f>
        <v>ID-3825</v>
      </c>
      <c r="B154" s="27" t="s">
        <v>37</v>
      </c>
      <c r="C154" s="30">
        <f t="array" ref="C154">XLOOKUP(B154,'Maestro de productos 2025'!$B$189:$B$196,'Maestro de productos 2025'!$D$189:$D$196,"No encontrado",0)</f>
        <v>25</v>
      </c>
      <c r="D154" s="30">
        <f t="array" ref="D154">XLOOKUP(B154,'Maestro de productos 2025'!$B$189:$B$196,'Maestro de productos 2025'!$E$189:$E$196,"No encontrado",0)</f>
        <v>10.26450643</v>
      </c>
      <c r="E154" s="31">
        <f t="shared" si="8"/>
        <v>14.73549357</v>
      </c>
      <c r="F154" s="32">
        <f>('Base de datos transacciones'!$H154)*$D154</f>
        <v>153.9675965</v>
      </c>
      <c r="G154" s="32">
        <f>'Base de datos transacciones'!$H154*$C154</f>
        <v>375</v>
      </c>
      <c r="H154" s="32">
        <f t="shared" si="9"/>
        <v>221.0324035</v>
      </c>
      <c r="I154" s="34">
        <f>SUM(G153:G154)</f>
        <v>695</v>
      </c>
      <c r="J154" s="35">
        <f>((I154-I152)/I152)</f>
        <v>0.135620915</v>
      </c>
      <c r="K154" s="280">
        <f>(I154-(SUM(F153:F154)))/I154</f>
        <v>0.5909879076</v>
      </c>
      <c r="L154" s="281">
        <f>I154-(SUM(F153:F154))</f>
        <v>410.7365958</v>
      </c>
      <c r="M154" s="280">
        <f>((L154-L152)/L152)</f>
        <v>0.1210929997</v>
      </c>
      <c r="N154" s="36"/>
      <c r="O154" s="37"/>
      <c r="P154" s="38"/>
      <c r="Q154" s="38"/>
      <c r="R154" s="39"/>
      <c r="S154" s="40"/>
      <c r="T154" s="22"/>
      <c r="U154" s="41"/>
      <c r="V154" s="4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>
      <c r="A155" s="43" t="str">
        <f t="array" ref="A155">XLOOKUP($B155,'Maestro de productos 2024'!$A$3:$A$163,'Maestro de productos 2024'!$B$3:$B$163,0)</f>
        <v>ID-3827</v>
      </c>
      <c r="B155" s="44" t="s">
        <v>36</v>
      </c>
      <c r="C155" s="45">
        <f t="array" ref="C155">XLOOKUP(B155,'Maestro de productos 2025'!$B$189:$B$196,'Maestro de productos 2025'!$D$189:$D$196,"No encontrado",0)</f>
        <v>7</v>
      </c>
      <c r="D155" s="45">
        <f t="array" ref="D155">XLOOKUP(B155,'Maestro de productos 2025'!$B$189:$B$196,'Maestro de productos 2025'!$E$189:$E$196,"No encontrado",0)</f>
        <v>3.1117795</v>
      </c>
      <c r="E155" s="46">
        <f t="shared" si="8"/>
        <v>3.8882205</v>
      </c>
      <c r="F155" s="47">
        <f>('Base de datos transacciones'!$H155)*$D155</f>
        <v>108.9122825</v>
      </c>
      <c r="G155" s="47">
        <f>'Base de datos transacciones'!$H155*$C155</f>
        <v>245</v>
      </c>
      <c r="H155" s="47">
        <f t="shared" si="9"/>
        <v>136.0877175</v>
      </c>
      <c r="I155" s="48">
        <f>SUM(G155)</f>
        <v>245</v>
      </c>
      <c r="J155" s="50">
        <f>(I155-I154)/I154</f>
        <v>-0.6474820144</v>
      </c>
      <c r="K155" s="50">
        <f>(I155-(SUM(F155)))/I155</f>
        <v>0.5554600714</v>
      </c>
      <c r="L155" s="48">
        <f>I155-(SUM(F155))</f>
        <v>136.0877175</v>
      </c>
      <c r="M155" s="50">
        <f>((L155-L154)/L154)</f>
        <v>-0.6686739899</v>
      </c>
      <c r="N155" s="36">
        <f>SUM(G149:G155)</f>
        <v>2232</v>
      </c>
      <c r="O155" s="51">
        <f>((N155-N148)/N148)</f>
        <v>-0.2350925291</v>
      </c>
      <c r="P155" s="52">
        <f>(N155-SUM(F149:F155))/N155</f>
        <v>0.5907290024</v>
      </c>
      <c r="Q155" s="53">
        <f>N155-(SUM(F149:F155))</f>
        <v>1318.507133</v>
      </c>
      <c r="R155" s="54">
        <f>((Q155-Q148)/Q148)</f>
        <v>-0.2391069334</v>
      </c>
      <c r="S155" s="40"/>
      <c r="T155" s="22"/>
      <c r="U155" s="41"/>
      <c r="V155" s="4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>
      <c r="A156" s="26" t="str">
        <f t="array" ref="A156">XLOOKUP($B156,'Maestro de productos 2024'!$A$3:$A$163,'Maestro de productos 2024'!$B$3:$B$163,0)</f>
        <v>ID-3824</v>
      </c>
      <c r="B156" s="27" t="s">
        <v>34</v>
      </c>
      <c r="C156" s="30">
        <f t="array" ref="C156">XLOOKUP(B156,'Maestro de productos 2025'!$B$189:$B$196,'Maestro de productos 2025'!$D$189:$D$196,"No encontrado",0)</f>
        <v>10</v>
      </c>
      <c r="D156" s="30">
        <f t="array" ref="D156">XLOOKUP(B156,'Maestro de productos 2025'!$B$189:$B$196,'Maestro de productos 2025'!$E$189:$E$196,"No encontrado",0)</f>
        <v>4.07174399</v>
      </c>
      <c r="E156" s="31">
        <f t="shared" si="8"/>
        <v>5.92825601</v>
      </c>
      <c r="F156" s="32">
        <f>('Base de datos transacciones'!$H156)*$D156</f>
        <v>130.2958077</v>
      </c>
      <c r="G156" s="32">
        <f>'Base de datos transacciones'!$H156*$C156</f>
        <v>320</v>
      </c>
      <c r="H156" s="32">
        <f t="shared" si="9"/>
        <v>189.7041923</v>
      </c>
      <c r="I156" s="34"/>
      <c r="J156" s="35"/>
      <c r="K156" s="35"/>
      <c r="L156" s="34"/>
      <c r="M156" s="35"/>
      <c r="N156" s="36"/>
      <c r="O156" s="37"/>
      <c r="P156" s="38"/>
      <c r="Q156" s="38"/>
      <c r="R156" s="39"/>
      <c r="S156" s="40"/>
      <c r="T156" s="22"/>
      <c r="U156" s="41"/>
      <c r="V156" s="4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>
      <c r="A157" s="26" t="str">
        <f t="array" ref="A157">XLOOKUP($B157,'Maestro de productos 2024'!$A$3:$A$163,'Maestro de productos 2024'!$B$3:$B$163,0)</f>
        <v>ID-3828</v>
      </c>
      <c r="B157" s="27" t="s">
        <v>38</v>
      </c>
      <c r="C157" s="30">
        <f t="array" ref="C157">XLOOKUP(B157,'Maestro de productos 2025'!$B$189:$B$196,'Maestro de productos 2025'!$D$189:$D$196,"No encontrado",0)</f>
        <v>21</v>
      </c>
      <c r="D157" s="30">
        <f t="array" ref="D157">XLOOKUP(B157,'Maestro de productos 2025'!$B$189:$B$196,'Maestro de productos 2025'!$E$189:$E$196,"No encontrado",0)</f>
        <v>8.35935114</v>
      </c>
      <c r="E157" s="31">
        <f t="shared" si="8"/>
        <v>12.64064886</v>
      </c>
      <c r="F157" s="32">
        <f>('Base de datos transacciones'!$H157)*$D157</f>
        <v>200.6244274</v>
      </c>
      <c r="G157" s="32">
        <f>'Base de datos transacciones'!$H157*$C157</f>
        <v>504</v>
      </c>
      <c r="H157" s="32">
        <f t="shared" si="9"/>
        <v>303.3755726</v>
      </c>
      <c r="I157" s="34">
        <f>SUM(G156:G157)</f>
        <v>824</v>
      </c>
      <c r="J157" s="35">
        <f>((I157-I155)/I155)</f>
        <v>2.363265306</v>
      </c>
      <c r="K157" s="35">
        <f>(I157-(SUM(F156:F157)))/I157</f>
        <v>0.598397773</v>
      </c>
      <c r="L157" s="34">
        <f>I157-(SUM(F156:F157))</f>
        <v>493.079765</v>
      </c>
      <c r="M157" s="35">
        <f>((L157-L155)/L155)</f>
        <v>2.623249578</v>
      </c>
      <c r="N157" s="36"/>
      <c r="O157" s="37"/>
      <c r="P157" s="38"/>
      <c r="Q157" s="38"/>
      <c r="R157" s="39"/>
      <c r="S157" s="40"/>
      <c r="T157" s="22"/>
      <c r="U157" s="41"/>
      <c r="V157" s="4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>
      <c r="A158" s="43" t="str">
        <f t="array" ref="A158">XLOOKUP($B158,'Maestro de productos 2024'!$A$3:$A$163,'Maestro de productos 2024'!$B$3:$B$163,0)</f>
        <v>ID-3831</v>
      </c>
      <c r="B158" s="44" t="s">
        <v>109</v>
      </c>
      <c r="C158" s="45">
        <f t="array" ref="C158">XLOOKUP(B158,'Maestro de productos 2025'!$B$189:$B$196,'Maestro de productos 2025'!$D$189:$D$196,"No encontrado",0)</f>
        <v>20</v>
      </c>
      <c r="D158" s="45">
        <f t="array" ref="D158">XLOOKUP(B158,'Maestro de productos 2025'!$B$189:$B$196,'Maestro de productos 2025'!$E$189:$E$196,"No encontrado",0)</f>
        <v>7.889760073</v>
      </c>
      <c r="E158" s="46">
        <f t="shared" si="8"/>
        <v>12.11023993</v>
      </c>
      <c r="F158" s="47">
        <f>('Base de datos transacciones'!$H158)*$D158</f>
        <v>94.67712088</v>
      </c>
      <c r="G158" s="47">
        <f>'Base de datos transacciones'!$H158*$C158</f>
        <v>240</v>
      </c>
      <c r="H158" s="47">
        <f t="shared" si="9"/>
        <v>145.3228791</v>
      </c>
      <c r="I158" s="48"/>
      <c r="J158" s="50"/>
      <c r="K158" s="50"/>
      <c r="L158" s="48"/>
      <c r="M158" s="50"/>
      <c r="N158" s="36"/>
      <c r="O158" s="37"/>
      <c r="P158" s="38"/>
      <c r="Q158" s="38"/>
      <c r="R158" s="39"/>
      <c r="S158" s="40"/>
      <c r="T158" s="22"/>
      <c r="U158" s="41"/>
      <c r="V158" s="4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>
      <c r="A159" s="43" t="str">
        <f t="array" ref="A159">XLOOKUP($B159,'Maestro de productos 2024'!$A$3:$A$163,'Maestro de productos 2024'!$B$3:$B$163,0)</f>
        <v>ID-3826</v>
      </c>
      <c r="B159" s="44" t="s">
        <v>35</v>
      </c>
      <c r="C159" s="45">
        <f t="array" ref="C159">XLOOKUP(B159,'Maestro de productos 2025'!$B$189:$B$196,'Maestro de productos 2025'!$D$189:$D$196,"No encontrado",0)</f>
        <v>20</v>
      </c>
      <c r="D159" s="45">
        <f t="array" ref="D159">XLOOKUP(B159,'Maestro de productos 2025'!$B$189:$B$196,'Maestro de productos 2025'!$E$189:$E$196,"No encontrado",0)</f>
        <v>8.073123457</v>
      </c>
      <c r="E159" s="46">
        <f t="shared" si="8"/>
        <v>11.92687654</v>
      </c>
      <c r="F159" s="47">
        <f>('Base de datos transacciones'!$H159)*$D159</f>
        <v>145.3162222</v>
      </c>
      <c r="G159" s="47">
        <f>'Base de datos transacciones'!$H159*$C159</f>
        <v>360</v>
      </c>
      <c r="H159" s="47">
        <f t="shared" si="9"/>
        <v>214.6837778</v>
      </c>
      <c r="I159" s="48">
        <f>SUM(G158:G159)</f>
        <v>600</v>
      </c>
      <c r="J159" s="50">
        <f>((I159-I157)/I157)</f>
        <v>-0.2718446602</v>
      </c>
      <c r="K159" s="50">
        <f>(I159-(SUM(F158:F159)))/I159</f>
        <v>0.6000110948</v>
      </c>
      <c r="L159" s="48">
        <f>I159-(SUM(F158:F159))</f>
        <v>360.0066569</v>
      </c>
      <c r="M159" s="50">
        <f>((L159-L157)/L157)</f>
        <v>-0.269881503</v>
      </c>
      <c r="N159" s="36"/>
      <c r="O159" s="37"/>
      <c r="P159" s="279"/>
      <c r="Q159" s="38"/>
      <c r="R159" s="39"/>
      <c r="S159" s="40"/>
      <c r="T159" s="22"/>
      <c r="U159" s="41"/>
      <c r="V159" s="4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>
      <c r="A160" s="26" t="str">
        <f t="array" ref="A160">XLOOKUP($B160,'Maestro de productos 2024'!$A$3:$A$163,'Maestro de productos 2024'!$B$3:$B$163,0)</f>
        <v>ID-3827</v>
      </c>
      <c r="B160" s="27" t="s">
        <v>36</v>
      </c>
      <c r="C160" s="30">
        <f t="array" ref="C160">XLOOKUP(B160,'Maestro de productos 2025'!$B$189:$B$196,'Maestro de productos 2025'!$D$189:$D$196,"No encontrado",0)</f>
        <v>7</v>
      </c>
      <c r="D160" s="30">
        <f t="array" ref="D160">XLOOKUP(B160,'Maestro de productos 2025'!$B$189:$B$196,'Maestro de productos 2025'!$E$189:$E$196,"No encontrado",0)</f>
        <v>3.1117795</v>
      </c>
      <c r="E160" s="31">
        <f t="shared" si="8"/>
        <v>3.8882205</v>
      </c>
      <c r="F160" s="32">
        <f>('Base de datos transacciones'!$H160)*$D160</f>
        <v>105.800503</v>
      </c>
      <c r="G160" s="32">
        <f>'Base de datos transacciones'!$H160*$C160</f>
        <v>238</v>
      </c>
      <c r="H160" s="32">
        <f t="shared" si="9"/>
        <v>132.199497</v>
      </c>
      <c r="I160" s="34"/>
      <c r="J160" s="35"/>
      <c r="K160" s="35"/>
      <c r="L160" s="34"/>
      <c r="M160" s="35"/>
      <c r="N160" s="36"/>
      <c r="O160" s="37"/>
      <c r="P160" s="38"/>
      <c r="Q160" s="38"/>
      <c r="R160" s="39"/>
      <c r="S160" s="40"/>
      <c r="T160" s="22"/>
      <c r="U160" s="41"/>
      <c r="V160" s="4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>
      <c r="A161" s="26" t="str">
        <f t="array" ref="A161">XLOOKUP($B161,'Maestro de productos 2024'!$A$3:$A$163,'Maestro de productos 2024'!$B$3:$B$163,0)</f>
        <v>ID-3824</v>
      </c>
      <c r="B161" s="27" t="s">
        <v>34</v>
      </c>
      <c r="C161" s="30">
        <f t="array" ref="C161">XLOOKUP(B161,'Maestro de productos 2025'!$B$189:$B$196,'Maestro de productos 2025'!$D$189:$D$196,"No encontrado",0)</f>
        <v>10</v>
      </c>
      <c r="D161" s="30">
        <f t="array" ref="D161">XLOOKUP(B161,'Maestro de productos 2025'!$B$189:$B$196,'Maestro de productos 2025'!$E$189:$E$196,"No encontrado",0)</f>
        <v>4.07174399</v>
      </c>
      <c r="E161" s="31">
        <f t="shared" si="8"/>
        <v>5.92825601</v>
      </c>
      <c r="F161" s="32">
        <f>('Base de datos transacciones'!$H161)*$D161</f>
        <v>126.2240637</v>
      </c>
      <c r="G161" s="32">
        <f>'Base de datos transacciones'!$H161*$C161</f>
        <v>310</v>
      </c>
      <c r="H161" s="32">
        <f t="shared" si="9"/>
        <v>183.7759363</v>
      </c>
      <c r="I161" s="34">
        <f>SUM(G160:G161)</f>
        <v>548</v>
      </c>
      <c r="J161" s="35">
        <f>((I161-I159)/I159)</f>
        <v>-0.08666666667</v>
      </c>
      <c r="K161" s="35">
        <f t="shared" ref="K161:K162" si="10">(I161-(SUM(F160:F161)))/I161</f>
        <v>0.576597506</v>
      </c>
      <c r="L161" s="34">
        <f>I161-(SUM(F160:F161))</f>
        <v>315.9754333</v>
      </c>
      <c r="M161" s="35">
        <f>((L161-L159)/L159)</f>
        <v>-0.1223066929</v>
      </c>
      <c r="N161" s="36"/>
      <c r="O161" s="37"/>
      <c r="P161" s="38"/>
      <c r="Q161" s="38"/>
      <c r="R161" s="39"/>
      <c r="S161" s="40"/>
      <c r="T161" s="22"/>
      <c r="U161" s="41"/>
      <c r="V161" s="4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>
      <c r="A162" s="43" t="str">
        <f t="array" ref="A162">XLOOKUP($B162,'Maestro de productos 2024'!$A$3:$A$163,'Maestro de productos 2024'!$B$3:$B$163,0)</f>
        <v>ID-3828</v>
      </c>
      <c r="B162" s="44" t="s">
        <v>38</v>
      </c>
      <c r="C162" s="45">
        <f t="array" ref="C162">XLOOKUP(B162,'Maestro de productos 2025'!$B$189:$B$196,'Maestro de productos 2025'!$D$189:$D$196,"No encontrado",0)</f>
        <v>21</v>
      </c>
      <c r="D162" s="45">
        <f t="array" ref="D162">XLOOKUP(B162,'Maestro de productos 2025'!$B$189:$B$196,'Maestro de productos 2025'!$E$189:$E$196,"No encontrado",0)</f>
        <v>8.35935114</v>
      </c>
      <c r="E162" s="46">
        <f t="shared" si="8"/>
        <v>12.64064886</v>
      </c>
      <c r="F162" s="47">
        <f>('Base de datos transacciones'!$H162)*$D162</f>
        <v>200.6244274</v>
      </c>
      <c r="G162" s="47">
        <f>'Base de datos transacciones'!$H162*$C162</f>
        <v>504</v>
      </c>
      <c r="H162" s="47">
        <f t="shared" si="9"/>
        <v>303.3755726</v>
      </c>
      <c r="I162" s="48">
        <f>SUM(G162)</f>
        <v>504</v>
      </c>
      <c r="J162" s="50">
        <f>(I162-I161)/I161</f>
        <v>-0.0802919708</v>
      </c>
      <c r="K162" s="50">
        <f t="shared" si="10"/>
        <v>0.3514910892</v>
      </c>
      <c r="L162" s="48">
        <f>I162-(SUM(F162))</f>
        <v>303.3755726</v>
      </c>
      <c r="M162" s="50">
        <f>((L162-L161)/L161)</f>
        <v>-0.03987607676</v>
      </c>
      <c r="N162" s="36">
        <f>SUM(G156:G162)</f>
        <v>2476</v>
      </c>
      <c r="O162" s="51">
        <f>((N162-N155)/N155)</f>
        <v>0.1093189964</v>
      </c>
      <c r="P162" s="52">
        <f>(N162-SUM(F156:F162))/N162</f>
        <v>0.5946839369</v>
      </c>
      <c r="Q162" s="53">
        <f>N162-(SUM(F156:F162))</f>
        <v>1472.437428</v>
      </c>
      <c r="R162" s="52">
        <f>((Q162-Q155)/Q155)</f>
        <v>0.1167458943</v>
      </c>
      <c r="S162" s="40">
        <f>SUM(G80:G162)</f>
        <v>27174</v>
      </c>
      <c r="T162" s="286">
        <f>((S162-S78)/S78)</f>
        <v>-0.01511362401</v>
      </c>
      <c r="U162" s="287">
        <f>(S162-(SUM(F80:F162)))/S162</f>
        <v>0.5926497652</v>
      </c>
      <c r="V162" s="32">
        <f>S162-(SUM(F80:F162))</f>
        <v>16104.66472</v>
      </c>
      <c r="W162" s="37">
        <f>((V162-V78)/V78)</f>
        <v>-0.07283562041</v>
      </c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>
      <c r="A163" s="288"/>
      <c r="B163" s="289"/>
      <c r="C163" s="290"/>
      <c r="D163" s="291"/>
      <c r="E163" s="292"/>
      <c r="F163" s="293">
        <f t="shared" ref="F163:I163" si="11">SUM(F2:F162)</f>
        <v>21290.53002</v>
      </c>
      <c r="G163" s="293">
        <f t="shared" si="11"/>
        <v>54765</v>
      </c>
      <c r="H163" s="293">
        <f t="shared" si="11"/>
        <v>33474.46998</v>
      </c>
      <c r="I163" s="294">
        <f t="shared" si="11"/>
        <v>54765</v>
      </c>
      <c r="J163" s="35"/>
      <c r="K163" s="295"/>
      <c r="L163" s="294">
        <f>SUM(L2:L162)</f>
        <v>33474.46998</v>
      </c>
      <c r="M163" s="295"/>
      <c r="N163" s="296">
        <f>SUM(N2:N162)</f>
        <v>54765</v>
      </c>
      <c r="O163" s="297"/>
      <c r="P163" s="298"/>
      <c r="Q163" s="298">
        <f>SUM(Q2:Q162)</f>
        <v>33474.46998</v>
      </c>
      <c r="R163" s="299"/>
      <c r="S163" s="300"/>
      <c r="T163" s="301"/>
      <c r="U163" s="302"/>
      <c r="V163" s="293">
        <f>SUM(V2:V162)</f>
        <v>33474.46998</v>
      </c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</row>
    <row r="164">
      <c r="A164" s="288"/>
      <c r="B164" s="289"/>
      <c r="C164" s="303"/>
      <c r="D164" s="304"/>
      <c r="E164" s="305"/>
      <c r="F164" s="293"/>
      <c r="G164" s="293"/>
      <c r="H164" s="306"/>
      <c r="I164" s="294"/>
      <c r="J164" s="35"/>
      <c r="K164" s="295"/>
      <c r="L164" s="294"/>
      <c r="M164" s="295"/>
      <c r="N164" s="296"/>
      <c r="O164" s="297"/>
      <c r="P164" s="298"/>
      <c r="Q164" s="298"/>
      <c r="R164" s="299"/>
      <c r="S164" s="300"/>
      <c r="T164" s="301"/>
      <c r="U164" s="302"/>
      <c r="V164" s="293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</row>
    <row r="165">
      <c r="A165" s="307"/>
      <c r="B165" s="308"/>
      <c r="C165" s="309" t="s">
        <v>250</v>
      </c>
      <c r="D165" s="310"/>
      <c r="E165" s="311"/>
      <c r="F165" s="312"/>
      <c r="G165" s="312"/>
      <c r="H165" s="313"/>
      <c r="I165" s="294"/>
      <c r="J165" s="34"/>
      <c r="K165" s="295"/>
      <c r="L165" s="294"/>
      <c r="M165" s="295"/>
      <c r="N165" s="296"/>
      <c r="O165" s="297"/>
      <c r="P165" s="298"/>
      <c r="Q165" s="298"/>
      <c r="R165" s="299"/>
      <c r="S165" s="300"/>
      <c r="T165" s="301"/>
      <c r="U165" s="302"/>
      <c r="V165" s="293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301"/>
    </row>
    <row r="166">
      <c r="A166" s="288"/>
      <c r="B166" s="289" t="s">
        <v>251</v>
      </c>
      <c r="C166" s="303" t="s">
        <v>2</v>
      </c>
      <c r="D166" s="304" t="s">
        <v>3</v>
      </c>
      <c r="E166" s="314" t="s">
        <v>4</v>
      </c>
      <c r="F166" s="314" t="s">
        <v>252</v>
      </c>
      <c r="G166" s="314" t="s">
        <v>7</v>
      </c>
      <c r="H166" s="315" t="s">
        <v>8</v>
      </c>
      <c r="I166" s="294"/>
      <c r="J166" s="34"/>
      <c r="K166" s="34"/>
      <c r="L166" s="294"/>
      <c r="M166" s="295"/>
      <c r="N166" s="296"/>
      <c r="O166" s="297"/>
      <c r="P166" s="298"/>
      <c r="Q166" s="298"/>
      <c r="R166" s="299"/>
      <c r="S166" s="300"/>
      <c r="T166" s="301"/>
      <c r="U166" s="302"/>
      <c r="V166" s="293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301"/>
    </row>
    <row r="167">
      <c r="A167" s="316">
        <v>2024.0</v>
      </c>
      <c r="B167" s="317">
        <f>COUNT(C2:C78)</f>
        <v>77</v>
      </c>
      <c r="C167" s="14">
        <f>AVERAGE('Maestro de productos 2024'!$D$189:$D$196)</f>
        <v>16.125</v>
      </c>
      <c r="D167" s="318">
        <f>AVERAGE('Maestro de productos 2024'!$E$189:$E$196)</f>
        <v>6.119578865</v>
      </c>
      <c r="E167" s="319">
        <f>AVERAGE('Maestro de productos 2024'!$K$189:$K$196)</f>
        <v>10.00542114</v>
      </c>
      <c r="F167" s="14">
        <f>AVERAGE($F$2:$F$78)</f>
        <v>132.7427888</v>
      </c>
      <c r="G167" s="14">
        <f>AVERAGE($G$2:$G$78)</f>
        <v>358.3246753</v>
      </c>
      <c r="H167" s="14">
        <f>AVERAGE($H$2:$H$78)</f>
        <v>225.5818865</v>
      </c>
      <c r="K167" s="34"/>
      <c r="L167" s="34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301"/>
    </row>
    <row r="168">
      <c r="A168" s="11">
        <v>2025.0</v>
      </c>
      <c r="B168" s="317">
        <f>COUNT(C80:C162)</f>
        <v>83</v>
      </c>
      <c r="C168" s="14">
        <f>AVERAGE('Maestro de productos 2025'!$D$189:$D$196)</f>
        <v>17.625</v>
      </c>
      <c r="D168" s="318">
        <f>AVERAGE('Maestro de productos 2025'!$E$189:$E$196)</f>
        <v>7.164751023</v>
      </c>
      <c r="E168" s="318">
        <f>AVERAGE('Maestro de productos 2025'!$K$189:$K$196)</f>
        <v>10.46024898</v>
      </c>
      <c r="F168" s="318">
        <f>AVERAGE($F$80:$F$162)</f>
        <v>133.3654853</v>
      </c>
      <c r="G168" s="318">
        <f>AVERAGE($G$80:$G$162)</f>
        <v>327.3975904</v>
      </c>
      <c r="H168" s="318">
        <f>AVERAGE($H$80:$H$162)</f>
        <v>194.0321051</v>
      </c>
      <c r="I168" s="34"/>
      <c r="J168" s="35"/>
      <c r="K168" s="34"/>
      <c r="L168" s="34"/>
      <c r="M168" s="35"/>
      <c r="N168" s="36"/>
      <c r="O168" s="320"/>
      <c r="P168" s="38"/>
      <c r="Q168" s="38"/>
      <c r="R168" s="279"/>
      <c r="S168" s="40"/>
      <c r="T168" s="22"/>
      <c r="U168" s="41"/>
      <c r="V168" s="4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>
      <c r="A169" s="5" t="s">
        <v>253</v>
      </c>
      <c r="B169" s="322">
        <f t="shared" ref="B169:H169" si="12">((B168-B167)/B167)</f>
        <v>0.07792207792</v>
      </c>
      <c r="C169" s="33">
        <f t="shared" si="12"/>
        <v>0.09302325581</v>
      </c>
      <c r="D169" s="322">
        <f t="shared" si="12"/>
        <v>0.1707915171</v>
      </c>
      <c r="E169" s="322">
        <f t="shared" si="12"/>
        <v>0.0454581407</v>
      </c>
      <c r="F169" s="322">
        <f t="shared" si="12"/>
        <v>0.004691000624</v>
      </c>
      <c r="G169" s="322">
        <f t="shared" si="12"/>
        <v>-0.0863102295</v>
      </c>
      <c r="H169" s="322">
        <f t="shared" si="12"/>
        <v>-0.1398595515</v>
      </c>
      <c r="I169" s="34"/>
      <c r="J169" s="35"/>
      <c r="K169" s="34"/>
      <c r="L169" s="34"/>
      <c r="M169" s="35"/>
      <c r="N169" s="36"/>
      <c r="O169" s="322"/>
      <c r="P169" s="38"/>
      <c r="Q169" s="38"/>
      <c r="R169" s="279"/>
      <c r="S169" s="40"/>
      <c r="T169" s="22"/>
      <c r="U169" s="41"/>
      <c r="V169" s="4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>
      <c r="B170" s="22"/>
      <c r="C170" s="323"/>
      <c r="D170" s="323"/>
      <c r="E170" s="30"/>
      <c r="F170" s="32"/>
      <c r="G170" s="32"/>
      <c r="H170" s="42"/>
      <c r="I170" s="34"/>
      <c r="J170" s="35"/>
      <c r="K170" s="34"/>
      <c r="L170" s="34"/>
      <c r="M170" s="35"/>
      <c r="N170" s="36"/>
      <c r="O170" s="322"/>
      <c r="P170" s="38"/>
      <c r="Q170" s="38"/>
      <c r="R170" s="279"/>
      <c r="S170" s="40"/>
      <c r="T170" s="22"/>
      <c r="U170" s="41"/>
      <c r="V170" s="4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>
      <c r="A171" s="325"/>
      <c r="B171" s="326"/>
      <c r="C171" s="327" t="s">
        <v>254</v>
      </c>
      <c r="D171" s="328"/>
      <c r="E171" s="329"/>
      <c r="F171" s="330"/>
      <c r="G171" s="330"/>
      <c r="H171" s="331"/>
      <c r="I171" s="34"/>
      <c r="J171" s="35"/>
      <c r="K171" s="34"/>
      <c r="L171" s="34"/>
      <c r="M171" s="35"/>
      <c r="N171" s="36"/>
      <c r="O171" s="322"/>
      <c r="P171" s="38"/>
      <c r="Q171" s="38"/>
      <c r="R171" s="279"/>
      <c r="S171" s="40"/>
      <c r="T171" s="22"/>
      <c r="U171" s="41"/>
      <c r="V171" s="4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>
      <c r="A172" s="316">
        <v>2024.0</v>
      </c>
      <c r="B172" s="332" t="s">
        <v>255</v>
      </c>
      <c r="C172" s="332">
        <f>MEDIAN('Maestro de productos 2024'!$D$189:$D$196)</f>
        <v>20</v>
      </c>
      <c r="D172" s="333">
        <f>MEDIAN('Maestro de productos 2024'!$E$189:$E$196)</f>
        <v>7.079449481</v>
      </c>
      <c r="E172" s="333">
        <f>MEDIAN('Maestro de productos 2024'!$K$189:$K$196)</f>
        <v>12.54489483</v>
      </c>
      <c r="F172" s="333">
        <f>MEDIAN($F$2:$F$78)</f>
        <v>121.7463399</v>
      </c>
      <c r="G172" s="333">
        <f>MEDIAN($G$2:$G$78)</f>
        <v>320</v>
      </c>
      <c r="H172" s="333">
        <f>MEDIAN($H$2:$H$78)</f>
        <v>210.95</v>
      </c>
      <c r="I172" s="34"/>
      <c r="J172" s="35"/>
      <c r="K172" s="34"/>
      <c r="L172" s="34"/>
      <c r="M172" s="35"/>
      <c r="N172" s="36"/>
      <c r="O172" s="322"/>
      <c r="P172" s="38"/>
      <c r="Q172" s="38"/>
      <c r="R172" s="279"/>
      <c r="S172" s="40"/>
      <c r="T172" s="22"/>
      <c r="U172" s="41"/>
      <c r="V172" s="4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>
      <c r="A173" s="11">
        <v>2025.0</v>
      </c>
      <c r="B173" s="332" t="s">
        <v>255</v>
      </c>
      <c r="C173" s="332">
        <f>MEDIAN('Maestro de productos 2025'!$D$189:$D$196)</f>
        <v>20</v>
      </c>
      <c r="D173" s="333">
        <f>MEDIAN('Maestro de productos 2025'!$E$189:$E$196)</f>
        <v>7.981441765</v>
      </c>
      <c r="E173" s="333">
        <f>MEDIAN('Maestro de productos 2025'!$K$189:$K$196)</f>
        <v>12.01855823</v>
      </c>
      <c r="F173" s="318">
        <f>MEDIAN($F$80:$F$162)</f>
        <v>126.2240637</v>
      </c>
      <c r="G173" s="318">
        <f>MEDIAN($G$80:$G$162)</f>
        <v>310</v>
      </c>
      <c r="H173" s="318">
        <f>MEDIAN($H$80:$H$162)</f>
        <v>183.7759363</v>
      </c>
      <c r="I173" s="34"/>
      <c r="J173" s="35"/>
      <c r="K173" s="34"/>
      <c r="L173" s="34"/>
      <c r="M173" s="35"/>
      <c r="N173" s="36"/>
      <c r="O173" s="322"/>
      <c r="P173" s="38"/>
      <c r="Q173" s="38"/>
      <c r="R173" s="279"/>
      <c r="S173" s="40"/>
      <c r="T173" s="22"/>
      <c r="U173" s="41"/>
      <c r="V173" s="4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>
      <c r="A174" s="5" t="s">
        <v>253</v>
      </c>
      <c r="B174" s="335" t="s">
        <v>255</v>
      </c>
      <c r="C174" s="322">
        <f t="shared" ref="C174:H174" si="13">((C173-C172)/C172)</f>
        <v>0</v>
      </c>
      <c r="D174" s="322">
        <f t="shared" si="13"/>
        <v>0.1274099471</v>
      </c>
      <c r="E174" s="322">
        <f t="shared" si="13"/>
        <v>-0.04195623798</v>
      </c>
      <c r="F174" s="322">
        <f t="shared" si="13"/>
        <v>0.03677912484</v>
      </c>
      <c r="G174" s="322">
        <f t="shared" si="13"/>
        <v>-0.03125</v>
      </c>
      <c r="H174" s="322">
        <f t="shared" si="13"/>
        <v>-0.1288175573</v>
      </c>
      <c r="I174" s="34"/>
      <c r="J174" s="34"/>
      <c r="K174" s="294"/>
      <c r="L174" s="34"/>
      <c r="M174" s="35"/>
      <c r="N174" s="36"/>
      <c r="O174" s="322"/>
      <c r="P174" s="38"/>
      <c r="Q174" s="38"/>
      <c r="R174" s="279"/>
      <c r="S174" s="40"/>
      <c r="T174" s="22"/>
      <c r="U174" s="41"/>
      <c r="V174" s="4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>
      <c r="B175" s="336"/>
      <c r="C175" s="337"/>
      <c r="D175" s="1"/>
      <c r="E175" s="127"/>
      <c r="F175" s="127"/>
      <c r="G175" s="127"/>
      <c r="H175" s="42"/>
      <c r="I175" s="34"/>
      <c r="J175" s="35"/>
      <c r="K175" s="14"/>
      <c r="L175" s="34"/>
      <c r="M175" s="35"/>
      <c r="N175" s="36"/>
      <c r="O175" s="322"/>
      <c r="P175" s="38"/>
      <c r="Q175" s="38"/>
      <c r="R175" s="279"/>
      <c r="S175" s="40"/>
      <c r="T175" s="22"/>
      <c r="U175" s="41"/>
      <c r="V175" s="4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>
      <c r="A176" s="338"/>
      <c r="B176" s="339"/>
      <c r="C176" s="340" t="s">
        <v>256</v>
      </c>
      <c r="D176" s="341"/>
      <c r="E176" s="342"/>
      <c r="F176" s="342"/>
      <c r="G176" s="342"/>
      <c r="H176" s="343"/>
      <c r="I176" s="34"/>
      <c r="J176" s="35"/>
      <c r="K176" s="14"/>
      <c r="L176" s="34"/>
      <c r="M176" s="35"/>
      <c r="N176" s="36"/>
      <c r="O176" s="322"/>
      <c r="P176" s="38"/>
      <c r="Q176" s="38"/>
      <c r="R176" s="279"/>
      <c r="S176" s="40"/>
      <c r="T176" s="22"/>
      <c r="U176" s="41"/>
      <c r="V176" s="4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>
      <c r="A177" s="11">
        <v>2024.0</v>
      </c>
      <c r="B177" s="344" t="s">
        <v>255</v>
      </c>
      <c r="C177" s="344">
        <v>20.0</v>
      </c>
      <c r="D177" s="344" t="s">
        <v>255</v>
      </c>
      <c r="E177" s="344" t="s">
        <v>255</v>
      </c>
      <c r="F177" s="344">
        <f t="shared" ref="F177:H177" si="14">MODE(F2:F78)</f>
        <v>175.2255385</v>
      </c>
      <c r="G177" s="344">
        <f t="shared" si="14"/>
        <v>320</v>
      </c>
      <c r="H177" s="344">
        <f t="shared" si="14"/>
        <v>304.7744615</v>
      </c>
      <c r="I177" s="34"/>
      <c r="J177" s="35"/>
      <c r="K177" s="14"/>
      <c r="L177" s="34"/>
      <c r="M177" s="35"/>
      <c r="N177" s="36"/>
      <c r="O177" s="322"/>
      <c r="P177" s="38"/>
      <c r="Q177" s="38"/>
      <c r="R177" s="279"/>
      <c r="S177" s="40"/>
      <c r="T177" s="22"/>
      <c r="U177" s="41"/>
      <c r="V177" s="4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>
      <c r="A178" s="11">
        <v>2025.0</v>
      </c>
      <c r="B178" s="344" t="s">
        <v>255</v>
      </c>
      <c r="C178" s="344">
        <v>20.0</v>
      </c>
      <c r="D178" s="344" t="s">
        <v>255</v>
      </c>
      <c r="E178" s="344" t="s">
        <v>255</v>
      </c>
      <c r="F178" s="344">
        <f t="shared" ref="F178:H178" si="15">MODE(F80:F162)</f>
        <v>200.6244274</v>
      </c>
      <c r="G178" s="344">
        <f t="shared" si="15"/>
        <v>504</v>
      </c>
      <c r="H178" s="344">
        <f t="shared" si="15"/>
        <v>303.3755726</v>
      </c>
      <c r="I178" s="34"/>
      <c r="J178" s="35"/>
      <c r="K178" s="14"/>
      <c r="L178" s="34"/>
      <c r="M178" s="35"/>
      <c r="N178" s="36"/>
      <c r="O178" s="322"/>
      <c r="P178" s="38"/>
      <c r="Q178" s="38"/>
      <c r="R178" s="279"/>
      <c r="S178" s="40"/>
      <c r="T178" s="22"/>
      <c r="U178" s="41"/>
      <c r="V178" s="4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>
      <c r="B179" s="345"/>
      <c r="C179" s="1"/>
      <c r="D179" s="1"/>
      <c r="E179" s="127"/>
      <c r="F179" s="127"/>
      <c r="G179" s="127"/>
      <c r="H179" s="42"/>
      <c r="I179" s="34"/>
      <c r="J179" s="35"/>
      <c r="K179" s="14"/>
      <c r="L179" s="34"/>
      <c r="M179" s="35"/>
      <c r="N179" s="36"/>
      <c r="O179" s="322"/>
      <c r="P179" s="38"/>
      <c r="Q179" s="38"/>
      <c r="R179" s="279"/>
      <c r="S179" s="40"/>
      <c r="T179" s="22"/>
      <c r="U179" s="41"/>
      <c r="V179" s="4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>
      <c r="A180" s="346"/>
      <c r="B180" s="348"/>
      <c r="C180" s="349" t="s">
        <v>257</v>
      </c>
      <c r="D180" s="350"/>
      <c r="E180" s="351"/>
      <c r="F180" s="351"/>
      <c r="G180" s="351"/>
      <c r="H180" s="352"/>
      <c r="I180" s="34"/>
      <c r="J180" s="35"/>
      <c r="K180" s="14"/>
      <c r="L180" s="34"/>
      <c r="M180" s="35"/>
      <c r="N180" s="36"/>
      <c r="O180" s="322"/>
      <c r="P180" s="38"/>
      <c r="Q180" s="38"/>
      <c r="R180" s="279"/>
      <c r="S180" s="40"/>
      <c r="T180" s="22"/>
      <c r="U180" s="41"/>
      <c r="V180" s="4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>
      <c r="A181" s="11">
        <v>2024.0</v>
      </c>
      <c r="B181" s="345" t="s">
        <v>255</v>
      </c>
      <c r="C181" s="344">
        <f>VARP('Maestro de productos 2024'!D189:D196)</f>
        <v>42.859375</v>
      </c>
      <c r="D181" s="344">
        <f>VARP('Maestro de productos 2024'!E189:E196)</f>
        <v>7.302590766</v>
      </c>
      <c r="E181" s="344">
        <f>VARP('Maestro de productos 2024'!K189:K196)</f>
        <v>15.65151134</v>
      </c>
      <c r="F181" s="344">
        <f t="shared" ref="F181:H181" si="16">VARP(F2:F78)</f>
        <v>1643.730878</v>
      </c>
      <c r="G181" s="344">
        <f t="shared" si="16"/>
        <v>12073.46601</v>
      </c>
      <c r="H181" s="344">
        <f t="shared" si="16"/>
        <v>5178.196417</v>
      </c>
      <c r="I181" s="34"/>
      <c r="J181" s="34"/>
      <c r="K181" s="14"/>
      <c r="L181" s="34"/>
      <c r="M181" s="34"/>
      <c r="N181" s="36"/>
      <c r="O181" s="322"/>
      <c r="P181" s="38"/>
      <c r="Q181" s="38"/>
      <c r="R181" s="279"/>
      <c r="S181" s="40"/>
      <c r="T181" s="22"/>
      <c r="U181" s="41"/>
      <c r="V181" s="4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>
      <c r="A182" s="11">
        <v>2025.0</v>
      </c>
      <c r="B182" s="345" t="s">
        <v>255</v>
      </c>
      <c r="C182" s="344">
        <f>VARP('Maestro de productos 2025'!D189:D196)</f>
        <v>56.484375</v>
      </c>
      <c r="D182" s="344">
        <f>VARP('Maestro de productos 2025'!E189:E196)</f>
        <v>9.222856239</v>
      </c>
      <c r="E182" s="344">
        <f>VARP('Maestro de productos 2025'!K189:K196)</f>
        <v>20.11875628</v>
      </c>
      <c r="F182" s="344">
        <f t="shared" ref="F182:H182" si="17">VARP(F80:F162)</f>
        <v>1194.460736</v>
      </c>
      <c r="G182" s="344">
        <f t="shared" si="17"/>
        <v>8024.552765</v>
      </c>
      <c r="H182" s="344">
        <f t="shared" si="17"/>
        <v>3059.244322</v>
      </c>
      <c r="I182" s="34"/>
      <c r="J182" s="34"/>
      <c r="K182" s="14"/>
      <c r="L182" s="34"/>
      <c r="M182" s="34"/>
      <c r="N182" s="36"/>
      <c r="O182" s="322"/>
      <c r="P182" s="38"/>
      <c r="Q182" s="38"/>
      <c r="R182" s="279"/>
      <c r="S182" s="40"/>
      <c r="T182" s="22"/>
      <c r="U182" s="41"/>
      <c r="V182" s="4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>
      <c r="B183" s="336"/>
      <c r="C183" s="1"/>
      <c r="D183" s="1"/>
      <c r="E183" s="127"/>
      <c r="F183" s="127"/>
      <c r="G183" s="127"/>
      <c r="H183" s="42"/>
      <c r="I183" s="34"/>
      <c r="J183" s="35"/>
      <c r="K183" s="14"/>
      <c r="L183" s="34"/>
      <c r="M183" s="35"/>
      <c r="N183" s="36"/>
      <c r="O183" s="322"/>
      <c r="P183" s="38"/>
      <c r="Q183" s="38"/>
      <c r="R183" s="279"/>
      <c r="S183" s="40"/>
      <c r="T183" s="22"/>
      <c r="U183" s="41"/>
      <c r="V183" s="4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>
      <c r="A184" s="353"/>
      <c r="B184" s="354"/>
      <c r="C184" s="355" t="s">
        <v>259</v>
      </c>
      <c r="D184" s="356"/>
      <c r="E184" s="357"/>
      <c r="F184" s="357"/>
      <c r="G184" s="353"/>
      <c r="H184" s="358"/>
      <c r="I184" s="34"/>
      <c r="J184" s="34"/>
      <c r="K184" s="14"/>
      <c r="L184" s="34"/>
      <c r="M184" s="35"/>
      <c r="N184" s="36"/>
      <c r="O184" s="322"/>
      <c r="P184" s="38"/>
      <c r="Q184" s="38"/>
      <c r="R184" s="279"/>
      <c r="S184" s="40"/>
      <c r="T184" s="22"/>
      <c r="U184" s="41"/>
      <c r="V184" s="4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>
      <c r="A185" s="11">
        <v>2024.0</v>
      </c>
      <c r="B185" s="345" t="s">
        <v>255</v>
      </c>
      <c r="C185" s="344">
        <f>STDEVP('Maestro de productos 2024'!D189:D196)</f>
        <v>6.546707188</v>
      </c>
      <c r="D185" s="344">
        <f>STDEVP('Maestro de productos 2024'!E189:E196)</f>
        <v>2.702330617</v>
      </c>
      <c r="E185" s="344">
        <f>STDEVP('Maestro de productos 2024'!K189:K196)</f>
        <v>3.956199103</v>
      </c>
      <c r="F185" s="344">
        <f t="shared" ref="F185:H185" si="18">STDEVP(F2:F78)</f>
        <v>40.54295103</v>
      </c>
      <c r="G185" s="344">
        <f t="shared" si="18"/>
        <v>109.8793248</v>
      </c>
      <c r="H185" s="344">
        <f t="shared" si="18"/>
        <v>71.95968605</v>
      </c>
      <c r="I185" s="34"/>
      <c r="J185" s="34"/>
      <c r="K185" s="14"/>
      <c r="L185" s="34"/>
      <c r="M185" s="35"/>
      <c r="N185" s="36"/>
      <c r="O185" s="318"/>
      <c r="P185" s="38"/>
      <c r="Q185" s="38"/>
      <c r="R185" s="279"/>
      <c r="S185" s="40"/>
      <c r="T185" s="22"/>
      <c r="U185" s="41"/>
      <c r="V185" s="4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>
      <c r="A186" s="11">
        <v>2025.0</v>
      </c>
      <c r="B186" s="345" t="s">
        <v>255</v>
      </c>
      <c r="C186" s="344">
        <f>STDEVP('Maestro de productos 2025'!D189:D196)</f>
        <v>7.515608758</v>
      </c>
      <c r="D186" s="344">
        <f>STDEVP('Maestro de productos 2025'!E189:E196)</f>
        <v>3.03691558</v>
      </c>
      <c r="E186" s="344">
        <f>STDEVP('Maestro de productos 2025'!K189:K196)</f>
        <v>4.485393659</v>
      </c>
      <c r="F186" s="344">
        <f t="shared" ref="F186:H186" si="19">STDEVP(F80:F162)</f>
        <v>34.56097129</v>
      </c>
      <c r="G186" s="344">
        <f t="shared" si="19"/>
        <v>89.57986808</v>
      </c>
      <c r="H186" s="344">
        <f t="shared" si="19"/>
        <v>55.31043593</v>
      </c>
      <c r="I186" s="34"/>
      <c r="J186" s="35"/>
      <c r="K186" s="14"/>
      <c r="L186" s="34"/>
      <c r="M186" s="35"/>
      <c r="N186" s="36"/>
      <c r="O186" s="322"/>
      <c r="P186" s="38"/>
      <c r="Q186" s="38"/>
      <c r="R186" s="279"/>
      <c r="S186" s="40"/>
      <c r="T186" s="22"/>
      <c r="U186" s="41"/>
      <c r="V186" s="4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>
      <c r="B187" s="336"/>
      <c r="C187" s="1"/>
      <c r="D187" s="1"/>
      <c r="E187" s="127"/>
      <c r="F187" s="127"/>
      <c r="G187" s="359"/>
      <c r="H187" s="42"/>
      <c r="I187" s="34"/>
      <c r="J187" s="35"/>
      <c r="K187" s="14"/>
      <c r="L187" s="34"/>
      <c r="M187" s="35"/>
      <c r="N187" s="36"/>
      <c r="O187" s="322"/>
      <c r="P187" s="38"/>
      <c r="Q187" s="38"/>
      <c r="R187" s="279"/>
      <c r="S187" s="40"/>
      <c r="T187" s="22"/>
      <c r="U187" s="41"/>
      <c r="V187" s="4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>
      <c r="B188" s="336"/>
      <c r="C188" s="1"/>
      <c r="D188" s="1"/>
      <c r="E188" s="127"/>
      <c r="F188" s="127"/>
      <c r="G188" s="127"/>
      <c r="H188" s="42"/>
      <c r="I188" s="34"/>
      <c r="J188" s="35"/>
      <c r="K188" s="14"/>
      <c r="L188" s="34"/>
      <c r="M188" s="35"/>
      <c r="N188" s="36"/>
      <c r="O188" s="322"/>
      <c r="P188" s="38"/>
      <c r="Q188" s="38"/>
      <c r="R188" s="279"/>
      <c r="S188" s="40"/>
      <c r="T188" s="22"/>
      <c r="U188" s="41"/>
      <c r="V188" s="4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>
      <c r="B189" s="336"/>
      <c r="C189" s="1"/>
      <c r="D189" s="1"/>
      <c r="E189" s="127"/>
      <c r="F189" s="127"/>
      <c r="G189" s="127"/>
      <c r="H189" s="42"/>
      <c r="I189" s="34"/>
      <c r="J189" s="35"/>
      <c r="K189" s="14"/>
      <c r="L189" s="34"/>
      <c r="M189" s="35"/>
      <c r="N189" s="36"/>
      <c r="O189" s="322"/>
      <c r="P189" s="38"/>
      <c r="Q189" s="38"/>
      <c r="R189" s="279"/>
      <c r="S189" s="40"/>
      <c r="T189" s="22"/>
      <c r="U189" s="41"/>
      <c r="V189" s="4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>
      <c r="B190" s="336"/>
      <c r="C190" s="1"/>
      <c r="D190" s="1"/>
      <c r="E190" s="127"/>
      <c r="F190" s="127"/>
      <c r="G190" s="127"/>
      <c r="H190" s="42"/>
      <c r="I190" s="34"/>
      <c r="J190" s="35"/>
      <c r="K190" s="34"/>
      <c r="L190" s="34"/>
      <c r="M190" s="35"/>
      <c r="N190" s="36"/>
      <c r="O190" s="322"/>
      <c r="P190" s="38"/>
      <c r="Q190" s="38"/>
      <c r="R190" s="279"/>
      <c r="S190" s="40"/>
      <c r="T190" s="22"/>
      <c r="U190" s="41"/>
      <c r="V190" s="4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>
      <c r="B191" s="336" t="s">
        <v>260</v>
      </c>
      <c r="C191" s="1" t="s">
        <v>2</v>
      </c>
      <c r="D191" s="1" t="s">
        <v>3</v>
      </c>
      <c r="E191" s="127" t="s">
        <v>261</v>
      </c>
      <c r="F191" s="127" t="s">
        <v>8</v>
      </c>
      <c r="G191" s="127" t="s">
        <v>262</v>
      </c>
      <c r="H191" s="42"/>
      <c r="I191" s="34"/>
      <c r="J191" s="35"/>
      <c r="K191" s="34"/>
      <c r="L191" s="34"/>
      <c r="M191" s="35"/>
      <c r="N191" s="36"/>
      <c r="O191" s="322"/>
      <c r="P191" s="38"/>
      <c r="Q191" s="38"/>
      <c r="R191" s="279"/>
      <c r="S191" s="40"/>
      <c r="T191" s="22"/>
      <c r="U191" s="41"/>
      <c r="V191" s="4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>
      <c r="A192" s="14" t="s">
        <v>66</v>
      </c>
      <c r="B192" s="14" t="s">
        <v>34</v>
      </c>
      <c r="C192" s="322">
        <f t="shared" ref="C192:D192" si="20">((C83-C2)/C2)</f>
        <v>0</v>
      </c>
      <c r="D192" s="322">
        <f t="shared" si="20"/>
        <v>0.2199794539</v>
      </c>
      <c r="E192" s="322">
        <f>(((SUMIF('Base de datos transacciones'!$A$80:$A$162,$A192,'Base de datos transacciones'!$H$80:$H$162))-(SUMIF('Base de datos transacciones'!$A$2:$A$78,$A192,'Base de datos transacciones'!$H$2:$H$78)))/(SUMIF('Base de datos transacciones'!$A$2:$A$78,$A192,'Base de datos transacciones'!$H$2:$H$78)))</f>
        <v>0.02477876106</v>
      </c>
      <c r="F192" s="322">
        <f t="shared" ref="F192:F199" si="22">(((SUMIF($A$80:$A$162,$A192,$H$80:$H$162))-(SUMIF($A$2:$A$78,$A192,$H$2:$H$78)))/(SUMIF($A$2:$A$78,$A192,$H$2:$H$78)))</f>
        <v>-0.08815045249</v>
      </c>
      <c r="G192" s="322">
        <f t="shared" ref="G192:G199" si="23">(((COUNTIF($A$80:$A$162,$A192))-(COUNTIF($A$2:$A$78,$A192)))/(COUNTIF($A$2:$A$78,$A192)))</f>
        <v>0.1875</v>
      </c>
      <c r="H192" s="42"/>
      <c r="I192" s="34"/>
      <c r="J192" s="35"/>
      <c r="K192" s="34"/>
      <c r="L192" s="34"/>
      <c r="M192" s="35"/>
      <c r="N192" s="36"/>
      <c r="O192" s="322"/>
      <c r="P192" s="38"/>
      <c r="Q192" s="38"/>
      <c r="R192" s="279"/>
      <c r="S192" s="40"/>
      <c r="T192" s="22"/>
      <c r="U192" s="41"/>
      <c r="V192" s="4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>
      <c r="A193" s="14" t="s">
        <v>68</v>
      </c>
      <c r="B193" s="14" t="s">
        <v>37</v>
      </c>
      <c r="C193" s="322">
        <f t="shared" ref="C193:D193" si="21">((C82-C7)/C7)</f>
        <v>0.25</v>
      </c>
      <c r="D193" s="322">
        <f t="shared" si="21"/>
        <v>0.3489695306</v>
      </c>
      <c r="E193" s="322">
        <f>(((SUMIF('Base de datos transacciones'!$A$80:$A$162,$A193,'Base de datos transacciones'!$H$80:$H$162))-(SUMIF('Base de datos transacciones'!$A$2:$A$78,$A193,'Base de datos transacciones'!$H$2:$H$78)))/(SUMIF('Base de datos transacciones'!$A$2:$A$78,$A193,'Base de datos transacciones'!$H$2:$H$78)))</f>
        <v>-0.1032258065</v>
      </c>
      <c r="F193" s="322">
        <f t="shared" si="22"/>
        <v>0.06646487944</v>
      </c>
      <c r="G193" s="322">
        <f t="shared" si="23"/>
        <v>-0.1</v>
      </c>
      <c r="H193" s="42"/>
      <c r="I193" s="34"/>
      <c r="J193" s="35"/>
      <c r="K193" s="34"/>
      <c r="L193" s="34"/>
      <c r="M193" s="35"/>
      <c r="N193" s="36"/>
      <c r="O193" s="322"/>
      <c r="P193" s="38"/>
      <c r="Q193" s="38"/>
      <c r="R193" s="279"/>
      <c r="S193" s="40"/>
      <c r="T193" s="22"/>
      <c r="U193" s="41"/>
      <c r="V193" s="4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>
      <c r="A194" s="14" t="s">
        <v>70</v>
      </c>
      <c r="B194" s="14" t="s">
        <v>35</v>
      </c>
      <c r="C194" s="322">
        <f t="shared" ref="C194:D194" si="24">((C88-C8)/C8)</f>
        <v>0</v>
      </c>
      <c r="D194" s="322">
        <f t="shared" si="24"/>
        <v>0.1364238491</v>
      </c>
      <c r="E194" s="322">
        <f>(((SUMIF('Base de datos transacciones'!$A$80:$A$162,$A194,'Base de datos transacciones'!$H$80:$H$162))-(SUMIF('Base de datos transacciones'!$A$2:$A$78,$A194,'Base de datos transacciones'!$H$2:$H$78)))/(SUMIF('Base de datos transacciones'!$A$2:$A$78,$A194,'Base de datos transacciones'!$H$2:$H$78)))</f>
        <v>-0.3481781377</v>
      </c>
      <c r="F194" s="322">
        <f t="shared" si="22"/>
        <v>-0.397163296</v>
      </c>
      <c r="G194" s="322">
        <f t="shared" si="23"/>
        <v>-0.25</v>
      </c>
      <c r="H194" s="42"/>
      <c r="I194" s="34"/>
      <c r="J194" s="35"/>
      <c r="K194" s="34"/>
      <c r="L194" s="34"/>
      <c r="M194" s="35"/>
      <c r="N194" s="36"/>
      <c r="O194" s="322"/>
      <c r="P194" s="38"/>
      <c r="Q194" s="38"/>
      <c r="R194" s="279"/>
      <c r="S194" s="40"/>
      <c r="T194" s="22"/>
      <c r="U194" s="41"/>
      <c r="V194" s="4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>
      <c r="A195" s="14" t="s">
        <v>72</v>
      </c>
      <c r="B195" s="14" t="s">
        <v>36</v>
      </c>
      <c r="C195" s="322">
        <f t="shared" ref="C195:D195" si="25">((C86-C5)/C5)</f>
        <v>0</v>
      </c>
      <c r="D195" s="322">
        <f t="shared" si="25"/>
        <v>0.1861356428</v>
      </c>
      <c r="E195" s="322">
        <f>(((SUMIF('Base de datos transacciones'!$A$80:$A$162,$A195,'Base de datos transacciones'!$H$80:$H$162))-(SUMIF('Base de datos transacciones'!$A$2:$A$78,$A195,'Base de datos transacciones'!$H$2:$H$78)))/(SUMIF('Base de datos transacciones'!$A$2:$A$78,$A195,'Base de datos transacciones'!$H$2:$H$78)))</f>
        <v>0.4455782313</v>
      </c>
      <c r="F195" s="322">
        <f t="shared" si="22"/>
        <v>0.284285533</v>
      </c>
      <c r="G195" s="322">
        <f t="shared" si="23"/>
        <v>0.4444444444</v>
      </c>
      <c r="H195" s="42"/>
      <c r="I195" s="34"/>
      <c r="J195" s="35"/>
      <c r="K195" s="34"/>
      <c r="L195" s="34"/>
      <c r="M195" s="35"/>
      <c r="N195" s="36"/>
      <c r="O195" s="322"/>
      <c r="P195" s="38"/>
      <c r="Q195" s="38"/>
      <c r="R195" s="279"/>
      <c r="S195" s="40"/>
      <c r="T195" s="22"/>
      <c r="U195" s="41"/>
      <c r="V195" s="4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>
      <c r="A196" s="14" t="s">
        <v>74</v>
      </c>
      <c r="B196" s="14" t="s">
        <v>38</v>
      </c>
      <c r="C196" s="322">
        <f t="shared" ref="C196:D196" si="26">((C80-C15)/C15)</f>
        <v>0.05</v>
      </c>
      <c r="D196" s="322">
        <f t="shared" si="26"/>
        <v>0.144949698</v>
      </c>
      <c r="E196" s="322">
        <f>(((SUMIF('Base de datos transacciones'!$A$80:$A$162,$A196,'Base de datos transacciones'!$H$80:$H$162))-(SUMIF('Base de datos transacciones'!$A$2:$A$78,$A196,'Base de datos transacciones'!$H$2:$H$78)))/(SUMIF('Base de datos transacciones'!$A$2:$A$78,$A196,'Base de datos transacciones'!$H$2:$H$78)))</f>
        <v>0.1923076923</v>
      </c>
      <c r="F196" s="322">
        <f t="shared" si="22"/>
        <v>0.1868351013</v>
      </c>
      <c r="G196" s="322">
        <f t="shared" si="23"/>
        <v>0.3333333333</v>
      </c>
      <c r="H196" s="42"/>
      <c r="I196" s="34"/>
      <c r="J196" s="35"/>
      <c r="K196" s="34"/>
      <c r="L196" s="34"/>
      <c r="M196" s="35"/>
      <c r="N196" s="36"/>
      <c r="O196" s="322"/>
      <c r="P196" s="38"/>
      <c r="Q196" s="38"/>
      <c r="R196" s="279"/>
      <c r="S196" s="40"/>
      <c r="T196" s="22"/>
      <c r="U196" s="41"/>
      <c r="V196" s="4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>
      <c r="A197" s="14" t="s">
        <v>76</v>
      </c>
      <c r="B197" s="14" t="s">
        <v>97</v>
      </c>
      <c r="C197" s="322">
        <f t="shared" ref="C197:D197" si="27">((C84-C31)/C31)</f>
        <v>0.2857142857</v>
      </c>
      <c r="D197" s="322">
        <f t="shared" si="27"/>
        <v>0.2077115345</v>
      </c>
      <c r="E197" s="322">
        <f>(((SUMIF('Base de datos transacciones'!$A$80:$A$162,$A197,'Base de datos transacciones'!$H$80:$H$162))-(SUMIF('Base de datos transacciones'!$A$2:$A$78,$A197,'Base de datos transacciones'!$H$2:$H$78)))/(SUMIF('Base de datos transacciones'!$A$2:$A$78,$A197,'Base de datos transacciones'!$H$2:$H$78)))</f>
        <v>-0.7916666667</v>
      </c>
      <c r="F197" s="322">
        <f t="shared" si="22"/>
        <v>-0.7200269527</v>
      </c>
      <c r="G197" s="322">
        <f t="shared" si="23"/>
        <v>-0.75</v>
      </c>
      <c r="H197" s="42"/>
      <c r="I197" s="34"/>
      <c r="J197" s="35"/>
      <c r="K197" s="34"/>
      <c r="L197" s="34"/>
      <c r="M197" s="35"/>
      <c r="N197" s="36"/>
      <c r="O197" s="322"/>
      <c r="P197" s="38"/>
      <c r="Q197" s="38"/>
      <c r="R197" s="279"/>
      <c r="S197" s="40"/>
      <c r="T197" s="22"/>
      <c r="U197" s="41"/>
      <c r="V197" s="4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>
      <c r="A198" s="14" t="s">
        <v>78</v>
      </c>
      <c r="B198" s="14" t="s">
        <v>108</v>
      </c>
      <c r="C198" s="322">
        <f t="shared" ref="C198:D198" si="28">((C87-C34)/C34)</f>
        <v>0.16</v>
      </c>
      <c r="D198" s="322">
        <f t="shared" si="28"/>
        <v>0.09145458702</v>
      </c>
      <c r="E198" s="322">
        <f>(((SUMIF('Base de datos transacciones'!$A$80:$A$162,$A198,'Base de datos transacciones'!$H$80:$H$162))-(SUMIF('Base de datos transacciones'!$A$2:$A$78,$A198,'Base de datos transacciones'!$H$2:$H$78)))/(SUMIF('Base de datos transacciones'!$A$2:$A$78,$A198,'Base de datos transacciones'!$H$2:$H$78)))</f>
        <v>-0.7831325301</v>
      </c>
      <c r="F198" s="322">
        <f t="shared" si="22"/>
        <v>-0.736873424</v>
      </c>
      <c r="G198" s="322">
        <f t="shared" si="23"/>
        <v>-0.8</v>
      </c>
      <c r="H198" s="42"/>
      <c r="I198" s="34"/>
      <c r="J198" s="35"/>
      <c r="K198" s="34"/>
      <c r="L198" s="34"/>
      <c r="M198" s="35"/>
      <c r="N198" s="36"/>
      <c r="O198" s="322"/>
      <c r="P198" s="38"/>
      <c r="Q198" s="38"/>
      <c r="R198" s="279"/>
      <c r="S198" s="40"/>
      <c r="T198" s="22"/>
      <c r="U198" s="41"/>
      <c r="V198" s="4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>
      <c r="A199" s="14" t="s">
        <v>79</v>
      </c>
      <c r="B199" s="14" t="s">
        <v>109</v>
      </c>
      <c r="C199" s="322">
        <f t="shared" ref="C199:D199" si="29">((C81-C48)/C48)</f>
        <v>0</v>
      </c>
      <c r="D199" s="322">
        <f t="shared" si="29"/>
        <v>0.1183333809</v>
      </c>
      <c r="E199" s="322">
        <f>(((SUMIF('Base de datos transacciones'!$A$80:$A$162,$A199,'Base de datos transacciones'!$H$80:$H$162))-(SUMIF('Base de datos transacciones'!$A$2:$A$78,$A199,'Base de datos transacciones'!$H$2:$H$78)))/(SUMIF('Base de datos transacciones'!$A$2:$A$78,$A199,'Base de datos transacciones'!$H$2:$H$78)))</f>
        <v>2.166666667</v>
      </c>
      <c r="F199" s="322">
        <f t="shared" si="22"/>
        <v>1.962446974</v>
      </c>
      <c r="G199" s="322">
        <f t="shared" si="23"/>
        <v>4</v>
      </c>
      <c r="H199" s="42"/>
      <c r="I199" s="34"/>
      <c r="J199" s="35"/>
      <c r="K199" s="34"/>
      <c r="L199" s="34"/>
      <c r="M199" s="35"/>
      <c r="N199" s="36"/>
      <c r="O199" s="322"/>
      <c r="P199" s="38"/>
      <c r="Q199" s="38"/>
      <c r="R199" s="279"/>
      <c r="S199" s="40"/>
      <c r="T199" s="22"/>
      <c r="U199" s="41"/>
      <c r="V199" s="4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>
      <c r="B200" s="22"/>
      <c r="C200" s="30"/>
      <c r="D200" s="30"/>
      <c r="E200" s="30"/>
      <c r="F200" s="32"/>
      <c r="G200" s="362"/>
      <c r="H200" s="42"/>
      <c r="I200" s="34"/>
      <c r="J200" s="35"/>
      <c r="K200" s="34"/>
      <c r="L200" s="34"/>
      <c r="M200" s="35"/>
      <c r="N200" s="36"/>
      <c r="O200" s="322"/>
      <c r="P200" s="38"/>
      <c r="Q200" s="38"/>
      <c r="R200" s="279"/>
      <c r="S200" s="40"/>
      <c r="T200" s="22"/>
      <c r="U200" s="41"/>
      <c r="V200" s="4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>
      <c r="B201" s="22"/>
      <c r="C201" s="30"/>
      <c r="D201" s="30"/>
      <c r="E201" s="30"/>
      <c r="F201" s="32"/>
      <c r="G201" s="32"/>
      <c r="H201" s="42"/>
      <c r="I201" s="34"/>
      <c r="J201" s="35"/>
      <c r="K201" s="34"/>
      <c r="L201" s="34"/>
      <c r="M201" s="35"/>
      <c r="N201" s="36"/>
      <c r="O201" s="322"/>
      <c r="P201" s="38"/>
      <c r="Q201" s="38"/>
      <c r="R201" s="279"/>
      <c r="S201" s="40"/>
      <c r="T201" s="22"/>
      <c r="U201" s="41"/>
      <c r="V201" s="4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>
      <c r="B202" s="22"/>
      <c r="C202" s="30"/>
      <c r="D202" s="30"/>
      <c r="E202" s="30"/>
      <c r="F202" s="32"/>
      <c r="G202" s="32"/>
      <c r="H202" s="42"/>
      <c r="I202" s="34"/>
      <c r="J202" s="35"/>
      <c r="K202" s="34"/>
      <c r="L202" s="14"/>
      <c r="M202" s="35"/>
      <c r="N202" s="36"/>
      <c r="O202" s="322"/>
      <c r="P202" s="38"/>
      <c r="Q202" s="38"/>
      <c r="R202" s="279"/>
      <c r="S202" s="40"/>
      <c r="T202" s="22"/>
      <c r="U202" s="41"/>
      <c r="V202" s="4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>
      <c r="B203" s="22"/>
      <c r="C203" s="30"/>
      <c r="D203" s="30"/>
      <c r="E203" s="30"/>
      <c r="F203" s="32"/>
      <c r="G203" s="32"/>
      <c r="H203" s="42"/>
      <c r="I203" s="34"/>
      <c r="J203" s="35"/>
      <c r="K203" s="34"/>
      <c r="L203" s="34"/>
      <c r="M203" s="35"/>
      <c r="N203" s="36"/>
      <c r="O203" s="322"/>
      <c r="P203" s="38"/>
      <c r="Q203" s="38"/>
      <c r="R203" s="279"/>
      <c r="S203" s="40"/>
      <c r="T203" s="22"/>
      <c r="U203" s="41"/>
      <c r="V203" s="4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>
      <c r="B204" s="22"/>
      <c r="C204" s="30"/>
      <c r="D204" s="30"/>
      <c r="E204" s="30"/>
      <c r="F204" s="32"/>
      <c r="G204" s="32"/>
      <c r="H204" s="42"/>
      <c r="I204" s="34"/>
      <c r="J204" s="35"/>
      <c r="K204" s="34"/>
      <c r="L204" s="34"/>
      <c r="M204" s="35"/>
      <c r="N204" s="36"/>
      <c r="O204" s="322"/>
      <c r="P204" s="38"/>
      <c r="Q204" s="38"/>
      <c r="R204" s="279"/>
      <c r="S204" s="40"/>
      <c r="T204" s="22"/>
      <c r="U204" s="41"/>
      <c r="V204" s="4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>
      <c r="B205" s="22"/>
      <c r="C205" s="30"/>
      <c r="D205" s="30"/>
      <c r="E205" s="30"/>
      <c r="F205" s="32"/>
      <c r="G205" s="32"/>
      <c r="H205" s="42"/>
      <c r="I205" s="34"/>
      <c r="J205" s="35"/>
      <c r="K205" s="34"/>
      <c r="L205" s="34"/>
      <c r="M205" s="35"/>
      <c r="N205" s="36"/>
      <c r="O205" s="322"/>
      <c r="P205" s="38"/>
      <c r="Q205" s="38"/>
      <c r="R205" s="279"/>
      <c r="S205" s="40"/>
      <c r="T205" s="22"/>
      <c r="U205" s="41"/>
      <c r="V205" s="4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>
      <c r="B206" s="22"/>
      <c r="C206" s="30"/>
      <c r="D206" s="30"/>
      <c r="E206" s="30"/>
      <c r="F206" s="32"/>
      <c r="G206" s="32"/>
      <c r="H206" s="42"/>
      <c r="I206" s="34"/>
      <c r="J206" s="35"/>
      <c r="K206" s="34"/>
      <c r="L206" s="34"/>
      <c r="M206" s="35"/>
      <c r="N206" s="36"/>
      <c r="O206" s="322"/>
      <c r="P206" s="38"/>
      <c r="Q206" s="38"/>
      <c r="R206" s="279"/>
      <c r="S206" s="40"/>
      <c r="T206" s="22"/>
      <c r="U206" s="41"/>
      <c r="V206" s="4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>
      <c r="B207" s="22"/>
      <c r="C207" s="30"/>
      <c r="D207" s="30"/>
      <c r="E207" s="30"/>
      <c r="F207" s="32"/>
      <c r="G207" s="32"/>
      <c r="H207" s="42"/>
      <c r="I207" s="34"/>
      <c r="J207" s="35"/>
      <c r="K207" s="34"/>
      <c r="L207" s="34"/>
      <c r="M207" s="35"/>
      <c r="N207" s="36"/>
      <c r="O207" s="322"/>
      <c r="P207" s="38"/>
      <c r="Q207" s="38"/>
      <c r="R207" s="279"/>
      <c r="S207" s="40"/>
      <c r="T207" s="22"/>
      <c r="U207" s="41"/>
      <c r="V207" s="4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>
      <c r="B208" s="22"/>
      <c r="C208" s="30"/>
      <c r="D208" s="30"/>
      <c r="E208" s="30"/>
      <c r="F208" s="32"/>
      <c r="G208" s="32"/>
      <c r="H208" s="42"/>
      <c r="I208" s="34"/>
      <c r="J208" s="35"/>
      <c r="K208" s="34"/>
      <c r="L208" s="34"/>
      <c r="M208" s="35"/>
      <c r="N208" s="36"/>
      <c r="O208" s="322"/>
      <c r="P208" s="38"/>
      <c r="Q208" s="38"/>
      <c r="R208" s="279"/>
      <c r="S208" s="40"/>
      <c r="T208" s="22"/>
      <c r="U208" s="41"/>
      <c r="V208" s="4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>
      <c r="B209" s="22"/>
      <c r="C209" s="30"/>
      <c r="D209" s="30"/>
      <c r="E209" s="30"/>
      <c r="F209" s="32"/>
      <c r="G209" s="32"/>
      <c r="H209" s="42"/>
      <c r="I209" s="34"/>
      <c r="J209" s="35"/>
      <c r="K209" s="34"/>
      <c r="L209" s="34"/>
      <c r="M209" s="35"/>
      <c r="N209" s="36"/>
      <c r="O209" s="322"/>
      <c r="P209" s="38"/>
      <c r="Q209" s="38"/>
      <c r="R209" s="279"/>
      <c r="S209" s="40"/>
      <c r="T209" s="22"/>
      <c r="U209" s="41"/>
      <c r="V209" s="4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>
      <c r="B210" s="22"/>
      <c r="C210" s="30"/>
      <c r="D210" s="30"/>
      <c r="E210" s="30"/>
      <c r="F210" s="32"/>
      <c r="G210" s="32"/>
      <c r="H210" s="42"/>
      <c r="I210" s="34"/>
      <c r="J210" s="35"/>
      <c r="K210" s="34"/>
      <c r="L210" s="34"/>
      <c r="M210" s="35"/>
      <c r="N210" s="36"/>
      <c r="O210" s="322"/>
      <c r="P210" s="38"/>
      <c r="Q210" s="38"/>
      <c r="R210" s="279"/>
      <c r="S210" s="40"/>
      <c r="T210" s="22"/>
      <c r="U210" s="41"/>
      <c r="V210" s="4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>
      <c r="B211" s="22"/>
      <c r="C211" s="30"/>
      <c r="D211" s="30"/>
      <c r="E211" s="30"/>
      <c r="F211" s="32"/>
      <c r="G211" s="32"/>
      <c r="H211" s="42"/>
      <c r="I211" s="34"/>
      <c r="J211" s="35"/>
      <c r="K211" s="34"/>
      <c r="L211" s="34"/>
      <c r="M211" s="35"/>
      <c r="N211" s="36"/>
      <c r="O211" s="322"/>
      <c r="P211" s="38"/>
      <c r="Q211" s="38"/>
      <c r="R211" s="279"/>
      <c r="S211" s="40"/>
      <c r="T211" s="22"/>
      <c r="U211" s="41"/>
      <c r="V211" s="4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>
      <c r="B212" s="22"/>
      <c r="C212" s="30"/>
      <c r="D212" s="30"/>
      <c r="E212" s="30"/>
      <c r="F212" s="32"/>
      <c r="G212" s="32"/>
      <c r="H212" s="42"/>
      <c r="I212" s="34"/>
      <c r="J212" s="35"/>
      <c r="K212" s="34"/>
      <c r="L212" s="34"/>
      <c r="M212" s="35"/>
      <c r="N212" s="36"/>
      <c r="O212" s="322"/>
      <c r="P212" s="38"/>
      <c r="Q212" s="38"/>
      <c r="R212" s="279"/>
      <c r="S212" s="40"/>
      <c r="T212" s="22"/>
      <c r="U212" s="41"/>
      <c r="V212" s="4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>
      <c r="B213" s="22"/>
      <c r="C213" s="30"/>
      <c r="D213" s="30"/>
      <c r="E213" s="30"/>
      <c r="F213" s="32"/>
      <c r="G213" s="32"/>
      <c r="H213" s="42"/>
      <c r="I213" s="34"/>
      <c r="J213" s="35"/>
      <c r="K213" s="34"/>
      <c r="L213" s="34"/>
      <c r="M213" s="35"/>
      <c r="N213" s="36"/>
      <c r="O213" s="322"/>
      <c r="P213" s="38"/>
      <c r="Q213" s="38"/>
      <c r="R213" s="279"/>
      <c r="S213" s="40"/>
      <c r="T213" s="22"/>
      <c r="U213" s="41"/>
      <c r="V213" s="4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>
      <c r="B214" s="22"/>
      <c r="C214" s="30"/>
      <c r="D214" s="30"/>
      <c r="E214" s="30"/>
      <c r="F214" s="32"/>
      <c r="G214" s="32"/>
      <c r="H214" s="42"/>
      <c r="I214" s="34"/>
      <c r="J214" s="35"/>
      <c r="K214" s="34"/>
      <c r="L214" s="34"/>
      <c r="M214" s="35"/>
      <c r="N214" s="36"/>
      <c r="O214" s="322"/>
      <c r="P214" s="38"/>
      <c r="Q214" s="38"/>
      <c r="R214" s="279"/>
      <c r="S214" s="40"/>
      <c r="T214" s="22"/>
      <c r="U214" s="41"/>
      <c r="V214" s="4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>
      <c r="B215" s="22"/>
      <c r="C215" s="30"/>
      <c r="D215" s="30"/>
      <c r="E215" s="30"/>
      <c r="F215" s="32"/>
      <c r="G215" s="32"/>
      <c r="H215" s="42"/>
      <c r="I215" s="34"/>
      <c r="J215" s="35"/>
      <c r="K215" s="34"/>
      <c r="L215" s="34"/>
      <c r="M215" s="35"/>
      <c r="N215" s="36"/>
      <c r="O215" s="322"/>
      <c r="P215" s="38"/>
      <c r="Q215" s="38"/>
      <c r="R215" s="279"/>
      <c r="S215" s="40"/>
      <c r="T215" s="22"/>
      <c r="U215" s="41"/>
      <c r="V215" s="4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>
      <c r="B216" s="22"/>
      <c r="C216" s="30"/>
      <c r="D216" s="30"/>
      <c r="E216" s="30"/>
      <c r="F216" s="32"/>
      <c r="G216" s="32"/>
      <c r="H216" s="42"/>
      <c r="I216" s="34"/>
      <c r="J216" s="35"/>
      <c r="K216" s="34"/>
      <c r="L216" s="34"/>
      <c r="M216" s="35"/>
      <c r="N216" s="36"/>
      <c r="O216" s="322"/>
      <c r="P216" s="38"/>
      <c r="Q216" s="38"/>
      <c r="R216" s="279"/>
      <c r="S216" s="40"/>
      <c r="T216" s="22"/>
      <c r="U216" s="41"/>
      <c r="V216" s="4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>
      <c r="B217" s="22"/>
      <c r="C217" s="30"/>
      <c r="D217" s="30"/>
      <c r="E217" s="30"/>
      <c r="F217" s="32"/>
      <c r="G217" s="32"/>
      <c r="H217" s="42"/>
      <c r="I217" s="34"/>
      <c r="J217" s="35"/>
      <c r="K217" s="34"/>
      <c r="L217" s="34"/>
      <c r="M217" s="35"/>
      <c r="N217" s="36"/>
      <c r="O217" s="322"/>
      <c r="P217" s="38"/>
      <c r="Q217" s="38"/>
      <c r="R217" s="279"/>
      <c r="S217" s="40"/>
      <c r="T217" s="22"/>
      <c r="U217" s="41"/>
      <c r="V217" s="4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>
      <c r="B218" s="22"/>
      <c r="C218" s="30"/>
      <c r="D218" s="30"/>
      <c r="E218" s="30"/>
      <c r="F218" s="32"/>
      <c r="G218" s="32"/>
      <c r="H218" s="42"/>
      <c r="I218" s="34"/>
      <c r="J218" s="35"/>
      <c r="K218" s="34"/>
      <c r="L218" s="34"/>
      <c r="M218" s="35"/>
      <c r="N218" s="36"/>
      <c r="O218" s="322"/>
      <c r="P218" s="38"/>
      <c r="Q218" s="38"/>
      <c r="R218" s="279"/>
      <c r="S218" s="40"/>
      <c r="T218" s="22"/>
      <c r="U218" s="41"/>
      <c r="V218" s="4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>
      <c r="B219" s="22"/>
      <c r="C219" s="30"/>
      <c r="D219" s="30"/>
      <c r="E219" s="30"/>
      <c r="F219" s="32"/>
      <c r="G219" s="32"/>
      <c r="H219" s="42"/>
      <c r="I219" s="34"/>
      <c r="J219" s="35"/>
      <c r="K219" s="34"/>
      <c r="L219" s="34"/>
      <c r="M219" s="35"/>
      <c r="N219" s="36"/>
      <c r="O219" s="322"/>
      <c r="P219" s="38"/>
      <c r="Q219" s="38"/>
      <c r="R219" s="279"/>
      <c r="S219" s="40"/>
      <c r="T219" s="22"/>
      <c r="U219" s="41"/>
      <c r="V219" s="4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>
      <c r="B220" s="22"/>
      <c r="C220" s="30"/>
      <c r="D220" s="30"/>
      <c r="E220" s="30"/>
      <c r="F220" s="32"/>
      <c r="G220" s="32"/>
      <c r="H220" s="42"/>
      <c r="I220" s="34"/>
      <c r="J220" s="35"/>
      <c r="K220" s="34"/>
      <c r="L220" s="34"/>
      <c r="M220" s="35"/>
      <c r="N220" s="36"/>
      <c r="O220" s="322"/>
      <c r="P220" s="38"/>
      <c r="Q220" s="38"/>
      <c r="R220" s="279"/>
      <c r="S220" s="40"/>
      <c r="T220" s="22"/>
      <c r="U220" s="41"/>
      <c r="V220" s="4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>
      <c r="B221" s="22"/>
      <c r="C221" s="30"/>
      <c r="D221" s="30"/>
      <c r="E221" s="30"/>
      <c r="F221" s="32"/>
      <c r="G221" s="32"/>
      <c r="H221" s="42"/>
      <c r="I221" s="34"/>
      <c r="J221" s="35"/>
      <c r="K221" s="34"/>
      <c r="L221" s="34"/>
      <c r="M221" s="35"/>
      <c r="N221" s="36"/>
      <c r="O221" s="322"/>
      <c r="P221" s="38"/>
      <c r="Q221" s="38"/>
      <c r="R221" s="279"/>
      <c r="S221" s="40"/>
      <c r="T221" s="22"/>
      <c r="U221" s="41"/>
      <c r="V221" s="4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>
      <c r="B222" s="22"/>
      <c r="C222" s="30"/>
      <c r="D222" s="30"/>
      <c r="E222" s="30"/>
      <c r="F222" s="32"/>
      <c r="G222" s="32"/>
      <c r="H222" s="42"/>
      <c r="I222" s="34"/>
      <c r="J222" s="35"/>
      <c r="K222" s="34"/>
      <c r="L222" s="34"/>
      <c r="M222" s="35"/>
      <c r="N222" s="36"/>
      <c r="O222" s="322"/>
      <c r="P222" s="38"/>
      <c r="Q222" s="38"/>
      <c r="R222" s="279"/>
      <c r="S222" s="40"/>
      <c r="T222" s="22"/>
      <c r="U222" s="41"/>
      <c r="V222" s="4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>
      <c r="B223" s="22"/>
      <c r="C223" s="30"/>
      <c r="D223" s="30"/>
      <c r="E223" s="30"/>
      <c r="F223" s="32"/>
      <c r="G223" s="32"/>
      <c r="H223" s="42"/>
      <c r="I223" s="34"/>
      <c r="J223" s="35"/>
      <c r="K223" s="34"/>
      <c r="L223" s="34"/>
      <c r="M223" s="35"/>
      <c r="N223" s="36"/>
      <c r="O223" s="322"/>
      <c r="P223" s="38"/>
      <c r="Q223" s="38"/>
      <c r="R223" s="279"/>
      <c r="S223" s="40"/>
      <c r="T223" s="22"/>
      <c r="U223" s="41"/>
      <c r="V223" s="4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>
      <c r="B224" s="22"/>
      <c r="C224" s="30"/>
      <c r="D224" s="30"/>
      <c r="E224" s="30"/>
      <c r="F224" s="32"/>
      <c r="G224" s="32"/>
      <c r="H224" s="42"/>
      <c r="I224" s="34"/>
      <c r="J224" s="35"/>
      <c r="K224" s="34"/>
      <c r="L224" s="34"/>
      <c r="M224" s="35"/>
      <c r="N224" s="36"/>
      <c r="O224" s="322"/>
      <c r="P224" s="38"/>
      <c r="Q224" s="38"/>
      <c r="R224" s="279"/>
      <c r="S224" s="40"/>
      <c r="T224" s="22"/>
      <c r="U224" s="41"/>
      <c r="V224" s="4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>
      <c r="B225" s="22"/>
      <c r="C225" s="30"/>
      <c r="D225" s="30"/>
      <c r="E225" s="30"/>
      <c r="F225" s="32"/>
      <c r="G225" s="32"/>
      <c r="H225" s="42"/>
      <c r="I225" s="34"/>
      <c r="J225" s="35"/>
      <c r="K225" s="34"/>
      <c r="L225" s="34"/>
      <c r="M225" s="35"/>
      <c r="N225" s="36"/>
      <c r="O225" s="322"/>
      <c r="P225" s="38"/>
      <c r="Q225" s="38"/>
      <c r="R225" s="279"/>
      <c r="S225" s="40"/>
      <c r="T225" s="22"/>
      <c r="U225" s="41"/>
      <c r="V225" s="4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>
      <c r="B226" s="22"/>
      <c r="C226" s="30"/>
      <c r="D226" s="30"/>
      <c r="E226" s="30"/>
      <c r="F226" s="32"/>
      <c r="G226" s="32"/>
      <c r="H226" s="42"/>
      <c r="I226" s="34"/>
      <c r="J226" s="35"/>
      <c r="K226" s="34"/>
      <c r="L226" s="34"/>
      <c r="M226" s="35"/>
      <c r="N226" s="36"/>
      <c r="O226" s="322"/>
      <c r="P226" s="38"/>
      <c r="Q226" s="38"/>
      <c r="R226" s="279"/>
      <c r="S226" s="40"/>
      <c r="T226" s="22"/>
      <c r="U226" s="41"/>
      <c r="V226" s="4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>
      <c r="B227" s="22"/>
      <c r="C227" s="30"/>
      <c r="D227" s="30"/>
      <c r="E227" s="30"/>
      <c r="F227" s="32"/>
      <c r="G227" s="32"/>
      <c r="H227" s="42"/>
      <c r="I227" s="34"/>
      <c r="J227" s="35"/>
      <c r="K227" s="34"/>
      <c r="L227" s="34"/>
      <c r="M227" s="35"/>
      <c r="N227" s="36"/>
      <c r="O227" s="322"/>
      <c r="P227" s="38"/>
      <c r="Q227" s="38"/>
      <c r="R227" s="279"/>
      <c r="S227" s="40"/>
      <c r="T227" s="22"/>
      <c r="U227" s="41"/>
      <c r="V227" s="4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>
      <c r="B228" s="22"/>
      <c r="C228" s="30"/>
      <c r="D228" s="30"/>
      <c r="E228" s="30"/>
      <c r="F228" s="32"/>
      <c r="G228" s="32"/>
      <c r="H228" s="42"/>
      <c r="I228" s="34"/>
      <c r="J228" s="35"/>
      <c r="K228" s="34"/>
      <c r="L228" s="34"/>
      <c r="M228" s="35"/>
      <c r="N228" s="36"/>
      <c r="O228" s="322"/>
      <c r="P228" s="38"/>
      <c r="Q228" s="38"/>
      <c r="R228" s="279"/>
      <c r="S228" s="40"/>
      <c r="T228" s="22"/>
      <c r="U228" s="41"/>
      <c r="V228" s="4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>
      <c r="B229" s="22"/>
      <c r="C229" s="30"/>
      <c r="D229" s="30"/>
      <c r="E229" s="30"/>
      <c r="F229" s="32"/>
      <c r="G229" s="32"/>
      <c r="H229" s="42"/>
      <c r="I229" s="34"/>
      <c r="J229" s="35"/>
      <c r="K229" s="34"/>
      <c r="L229" s="34"/>
      <c r="M229" s="35"/>
      <c r="N229" s="36"/>
      <c r="O229" s="322"/>
      <c r="P229" s="38"/>
      <c r="Q229" s="38"/>
      <c r="R229" s="279"/>
      <c r="S229" s="40"/>
      <c r="T229" s="22"/>
      <c r="U229" s="41"/>
      <c r="V229" s="4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>
      <c r="B230" s="22"/>
      <c r="C230" s="30"/>
      <c r="D230" s="30"/>
      <c r="E230" s="30"/>
      <c r="F230" s="32"/>
      <c r="G230" s="32"/>
      <c r="H230" s="42"/>
      <c r="I230" s="34"/>
      <c r="J230" s="35"/>
      <c r="K230" s="34"/>
      <c r="L230" s="34"/>
      <c r="M230" s="35"/>
      <c r="N230" s="36"/>
      <c r="O230" s="322"/>
      <c r="P230" s="38"/>
      <c r="Q230" s="38"/>
      <c r="R230" s="279"/>
      <c r="S230" s="40"/>
      <c r="T230" s="22"/>
      <c r="U230" s="41"/>
      <c r="V230" s="4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>
      <c r="B231" s="22"/>
      <c r="C231" s="30"/>
      <c r="D231" s="30"/>
      <c r="E231" s="30"/>
      <c r="F231" s="32"/>
      <c r="G231" s="32"/>
      <c r="H231" s="42"/>
      <c r="I231" s="34"/>
      <c r="J231" s="35"/>
      <c r="K231" s="34"/>
      <c r="L231" s="34"/>
      <c r="M231" s="35"/>
      <c r="N231" s="36"/>
      <c r="O231" s="322"/>
      <c r="P231" s="38"/>
      <c r="Q231" s="38"/>
      <c r="R231" s="279"/>
      <c r="S231" s="40"/>
      <c r="T231" s="22"/>
      <c r="U231" s="41"/>
      <c r="V231" s="4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>
      <c r="B232" s="22"/>
      <c r="C232" s="30"/>
      <c r="D232" s="30"/>
      <c r="E232" s="30"/>
      <c r="F232" s="32"/>
      <c r="G232" s="32"/>
      <c r="H232" s="42"/>
      <c r="I232" s="34"/>
      <c r="J232" s="35"/>
      <c r="K232" s="34"/>
      <c r="L232" s="34"/>
      <c r="M232" s="35"/>
      <c r="N232" s="36"/>
      <c r="O232" s="322"/>
      <c r="P232" s="38"/>
      <c r="Q232" s="38"/>
      <c r="R232" s="279"/>
      <c r="S232" s="40"/>
      <c r="T232" s="22"/>
      <c r="U232" s="41"/>
      <c r="V232" s="4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>
      <c r="B233" s="22"/>
      <c r="C233" s="30"/>
      <c r="D233" s="30"/>
      <c r="E233" s="30"/>
      <c r="F233" s="32"/>
      <c r="G233" s="32"/>
      <c r="H233" s="42"/>
      <c r="I233" s="34"/>
      <c r="J233" s="35"/>
      <c r="K233" s="34"/>
      <c r="L233" s="34"/>
      <c r="M233" s="35"/>
      <c r="N233" s="36"/>
      <c r="O233" s="322"/>
      <c r="P233" s="38"/>
      <c r="Q233" s="38"/>
      <c r="R233" s="279"/>
      <c r="S233" s="40"/>
      <c r="T233" s="22"/>
      <c r="U233" s="41"/>
      <c r="V233" s="4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>
      <c r="B234" s="22"/>
      <c r="C234" s="30"/>
      <c r="D234" s="30"/>
      <c r="E234" s="30"/>
      <c r="F234" s="32"/>
      <c r="G234" s="32"/>
      <c r="H234" s="42"/>
      <c r="I234" s="34"/>
      <c r="J234" s="35"/>
      <c r="K234" s="34"/>
      <c r="L234" s="34"/>
      <c r="M234" s="35"/>
      <c r="N234" s="36"/>
      <c r="O234" s="322"/>
      <c r="P234" s="38"/>
      <c r="Q234" s="38"/>
      <c r="R234" s="279"/>
      <c r="S234" s="40"/>
      <c r="T234" s="22"/>
      <c r="U234" s="41"/>
      <c r="V234" s="4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>
      <c r="B235" s="22"/>
      <c r="C235" s="30"/>
      <c r="D235" s="30"/>
      <c r="E235" s="30"/>
      <c r="F235" s="32"/>
      <c r="G235" s="32"/>
      <c r="H235" s="42"/>
      <c r="I235" s="34"/>
      <c r="J235" s="35"/>
      <c r="K235" s="34"/>
      <c r="L235" s="34"/>
      <c r="M235" s="35"/>
      <c r="N235" s="36"/>
      <c r="O235" s="322"/>
      <c r="P235" s="38"/>
      <c r="Q235" s="38"/>
      <c r="R235" s="279"/>
      <c r="S235" s="40"/>
      <c r="T235" s="22"/>
      <c r="U235" s="41"/>
      <c r="V235" s="4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>
      <c r="B236" s="22"/>
      <c r="C236" s="30"/>
      <c r="D236" s="30"/>
      <c r="E236" s="30"/>
      <c r="F236" s="32"/>
      <c r="G236" s="32"/>
      <c r="H236" s="42"/>
      <c r="I236" s="34"/>
      <c r="J236" s="35"/>
      <c r="K236" s="34"/>
      <c r="L236" s="34"/>
      <c r="M236" s="35"/>
      <c r="N236" s="36"/>
      <c r="O236" s="322"/>
      <c r="P236" s="38"/>
      <c r="Q236" s="38"/>
      <c r="R236" s="279"/>
      <c r="S236" s="40"/>
      <c r="T236" s="22"/>
      <c r="U236" s="41"/>
      <c r="V236" s="4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>
      <c r="B237" s="22"/>
      <c r="C237" s="30"/>
      <c r="D237" s="30"/>
      <c r="E237" s="30"/>
      <c r="F237" s="32"/>
      <c r="G237" s="32"/>
      <c r="H237" s="42"/>
      <c r="I237" s="34"/>
      <c r="J237" s="35"/>
      <c r="K237" s="34"/>
      <c r="L237" s="34"/>
      <c r="M237" s="35"/>
      <c r="N237" s="36"/>
      <c r="O237" s="322"/>
      <c r="P237" s="38"/>
      <c r="Q237" s="38"/>
      <c r="R237" s="279"/>
      <c r="S237" s="40"/>
      <c r="T237" s="22"/>
      <c r="U237" s="41"/>
      <c r="V237" s="4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>
      <c r="B238" s="22"/>
      <c r="C238" s="30"/>
      <c r="D238" s="30"/>
      <c r="E238" s="30"/>
      <c r="F238" s="32"/>
      <c r="G238" s="32"/>
      <c r="H238" s="42"/>
      <c r="I238" s="34"/>
      <c r="J238" s="35"/>
      <c r="K238" s="34"/>
      <c r="L238" s="34"/>
      <c r="M238" s="35"/>
      <c r="N238" s="36"/>
      <c r="O238" s="322"/>
      <c r="P238" s="38"/>
      <c r="Q238" s="38"/>
      <c r="R238" s="279"/>
      <c r="S238" s="40"/>
      <c r="T238" s="22"/>
      <c r="U238" s="41"/>
      <c r="V238" s="4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>
      <c r="B239" s="22"/>
      <c r="C239" s="30"/>
      <c r="D239" s="30"/>
      <c r="E239" s="30"/>
      <c r="F239" s="32"/>
      <c r="G239" s="32"/>
      <c r="H239" s="42"/>
      <c r="I239" s="34"/>
      <c r="J239" s="35"/>
      <c r="K239" s="34"/>
      <c r="L239" s="34"/>
      <c r="M239" s="35"/>
      <c r="N239" s="36"/>
      <c r="O239" s="322"/>
      <c r="P239" s="38"/>
      <c r="Q239" s="38"/>
      <c r="R239" s="279"/>
      <c r="S239" s="40"/>
      <c r="T239" s="22"/>
      <c r="U239" s="41"/>
      <c r="V239" s="4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>
      <c r="B240" s="22"/>
      <c r="C240" s="30"/>
      <c r="D240" s="30"/>
      <c r="E240" s="30"/>
      <c r="F240" s="32"/>
      <c r="G240" s="32"/>
      <c r="H240" s="42"/>
      <c r="I240" s="34"/>
      <c r="J240" s="35"/>
      <c r="K240" s="34"/>
      <c r="L240" s="34"/>
      <c r="M240" s="35"/>
      <c r="N240" s="36"/>
      <c r="O240" s="322"/>
      <c r="P240" s="38"/>
      <c r="Q240" s="38"/>
      <c r="R240" s="279"/>
      <c r="S240" s="40"/>
      <c r="T240" s="22"/>
      <c r="U240" s="41"/>
      <c r="V240" s="4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>
      <c r="B241" s="22"/>
      <c r="C241" s="30"/>
      <c r="D241" s="30"/>
      <c r="E241" s="30"/>
      <c r="F241" s="32"/>
      <c r="G241" s="32"/>
      <c r="H241" s="42"/>
      <c r="I241" s="34"/>
      <c r="J241" s="35"/>
      <c r="K241" s="34"/>
      <c r="L241" s="34"/>
      <c r="M241" s="35"/>
      <c r="N241" s="36"/>
      <c r="O241" s="322"/>
      <c r="P241" s="38"/>
      <c r="Q241" s="38"/>
      <c r="R241" s="279"/>
      <c r="S241" s="40"/>
      <c r="T241" s="22"/>
      <c r="U241" s="41"/>
      <c r="V241" s="4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>
      <c r="B242" s="22"/>
      <c r="C242" s="30"/>
      <c r="D242" s="30"/>
      <c r="E242" s="30"/>
      <c r="F242" s="32"/>
      <c r="G242" s="32"/>
      <c r="H242" s="42"/>
      <c r="I242" s="34"/>
      <c r="J242" s="35"/>
      <c r="K242" s="34"/>
      <c r="L242" s="34"/>
      <c r="M242" s="35"/>
      <c r="N242" s="36"/>
      <c r="O242" s="322"/>
      <c r="P242" s="38"/>
      <c r="Q242" s="38"/>
      <c r="R242" s="279"/>
      <c r="S242" s="40"/>
      <c r="T242" s="22"/>
      <c r="U242" s="41"/>
      <c r="V242" s="4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>
      <c r="B243" s="22"/>
      <c r="C243" s="30"/>
      <c r="D243" s="30"/>
      <c r="E243" s="30"/>
      <c r="F243" s="32"/>
      <c r="G243" s="32"/>
      <c r="H243" s="42"/>
      <c r="I243" s="34"/>
      <c r="J243" s="35"/>
      <c r="K243" s="34"/>
      <c r="L243" s="34"/>
      <c r="M243" s="35"/>
      <c r="N243" s="36"/>
      <c r="O243" s="322"/>
      <c r="P243" s="38"/>
      <c r="Q243" s="38"/>
      <c r="R243" s="279"/>
      <c r="S243" s="40"/>
      <c r="T243" s="22"/>
      <c r="U243" s="41"/>
      <c r="V243" s="4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>
      <c r="B244" s="22"/>
      <c r="C244" s="30"/>
      <c r="D244" s="30"/>
      <c r="E244" s="30"/>
      <c r="F244" s="32"/>
      <c r="G244" s="32"/>
      <c r="H244" s="42"/>
      <c r="I244" s="34"/>
      <c r="J244" s="35"/>
      <c r="K244" s="34"/>
      <c r="L244" s="34"/>
      <c r="M244" s="35"/>
      <c r="N244" s="36"/>
      <c r="O244" s="322"/>
      <c r="P244" s="38"/>
      <c r="Q244" s="38"/>
      <c r="R244" s="279"/>
      <c r="S244" s="40"/>
      <c r="T244" s="22"/>
      <c r="U244" s="41"/>
      <c r="V244" s="4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>
      <c r="B245" s="22"/>
      <c r="C245" s="30"/>
      <c r="D245" s="30"/>
      <c r="E245" s="30"/>
      <c r="F245" s="32"/>
      <c r="G245" s="32"/>
      <c r="H245" s="42"/>
      <c r="I245" s="34"/>
      <c r="J245" s="35"/>
      <c r="K245" s="34"/>
      <c r="L245" s="34"/>
      <c r="M245" s="35"/>
      <c r="N245" s="36"/>
      <c r="O245" s="322"/>
      <c r="P245" s="38"/>
      <c r="Q245" s="38"/>
      <c r="R245" s="279"/>
      <c r="S245" s="40"/>
      <c r="T245" s="22"/>
      <c r="U245" s="41"/>
      <c r="V245" s="4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>
      <c r="B246" s="22"/>
      <c r="C246" s="30"/>
      <c r="D246" s="30"/>
      <c r="E246" s="30"/>
      <c r="F246" s="32"/>
      <c r="G246" s="32"/>
      <c r="H246" s="42"/>
      <c r="I246" s="34"/>
      <c r="J246" s="35"/>
      <c r="K246" s="34"/>
      <c r="L246" s="34"/>
      <c r="M246" s="35"/>
      <c r="N246" s="36"/>
      <c r="O246" s="322"/>
      <c r="P246" s="38"/>
      <c r="Q246" s="38"/>
      <c r="R246" s="279"/>
      <c r="S246" s="40"/>
      <c r="T246" s="22"/>
      <c r="U246" s="41"/>
      <c r="V246" s="4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>
      <c r="B247" s="22"/>
      <c r="C247" s="30"/>
      <c r="D247" s="30"/>
      <c r="E247" s="30"/>
      <c r="F247" s="32"/>
      <c r="G247" s="32"/>
      <c r="H247" s="42"/>
      <c r="I247" s="34"/>
      <c r="J247" s="35"/>
      <c r="K247" s="34"/>
      <c r="L247" s="34"/>
      <c r="M247" s="35"/>
      <c r="N247" s="36"/>
      <c r="O247" s="322"/>
      <c r="P247" s="38"/>
      <c r="Q247" s="38"/>
      <c r="R247" s="279"/>
      <c r="S247" s="40"/>
      <c r="T247" s="22"/>
      <c r="U247" s="41"/>
      <c r="V247" s="4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>
      <c r="B248" s="22"/>
      <c r="C248" s="30"/>
      <c r="D248" s="30"/>
      <c r="E248" s="30"/>
      <c r="F248" s="32"/>
      <c r="G248" s="32"/>
      <c r="H248" s="42"/>
      <c r="I248" s="34"/>
      <c r="J248" s="35"/>
      <c r="K248" s="34"/>
      <c r="L248" s="34"/>
      <c r="M248" s="35"/>
      <c r="N248" s="36"/>
      <c r="O248" s="322"/>
      <c r="P248" s="38"/>
      <c r="Q248" s="38"/>
      <c r="R248" s="279"/>
      <c r="S248" s="40"/>
      <c r="T248" s="22"/>
      <c r="U248" s="41"/>
      <c r="V248" s="4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>
      <c r="B249" s="22"/>
      <c r="C249" s="30"/>
      <c r="D249" s="30"/>
      <c r="E249" s="30"/>
      <c r="F249" s="32"/>
      <c r="G249" s="32"/>
      <c r="H249" s="42"/>
      <c r="I249" s="34"/>
      <c r="J249" s="35"/>
      <c r="K249" s="34"/>
      <c r="L249" s="34"/>
      <c r="M249" s="35"/>
      <c r="N249" s="36"/>
      <c r="O249" s="322"/>
      <c r="P249" s="38"/>
      <c r="Q249" s="38"/>
      <c r="R249" s="279"/>
      <c r="S249" s="40"/>
      <c r="T249" s="22"/>
      <c r="U249" s="41"/>
      <c r="V249" s="4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>
      <c r="B250" s="22"/>
      <c r="C250" s="30"/>
      <c r="D250" s="30"/>
      <c r="E250" s="30"/>
      <c r="F250" s="32"/>
      <c r="G250" s="32"/>
      <c r="H250" s="42"/>
      <c r="I250" s="34"/>
      <c r="J250" s="35"/>
      <c r="K250" s="34"/>
      <c r="L250" s="34"/>
      <c r="M250" s="35"/>
      <c r="N250" s="36"/>
      <c r="O250" s="322"/>
      <c r="P250" s="38"/>
      <c r="Q250" s="38"/>
      <c r="R250" s="279"/>
      <c r="S250" s="40"/>
      <c r="T250" s="22"/>
      <c r="U250" s="41"/>
      <c r="V250" s="4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>
      <c r="B251" s="22"/>
      <c r="C251" s="30"/>
      <c r="D251" s="30"/>
      <c r="E251" s="30"/>
      <c r="F251" s="32"/>
      <c r="G251" s="32"/>
      <c r="H251" s="42"/>
      <c r="I251" s="34"/>
      <c r="J251" s="35"/>
      <c r="K251" s="34"/>
      <c r="L251" s="34"/>
      <c r="M251" s="35"/>
      <c r="N251" s="36"/>
      <c r="O251" s="322"/>
      <c r="P251" s="38"/>
      <c r="Q251" s="38"/>
      <c r="R251" s="279"/>
      <c r="S251" s="40"/>
      <c r="T251" s="22"/>
      <c r="U251" s="41"/>
      <c r="V251" s="4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>
      <c r="B252" s="22"/>
      <c r="C252" s="30"/>
      <c r="D252" s="30"/>
      <c r="E252" s="30"/>
      <c r="F252" s="32"/>
      <c r="G252" s="32"/>
      <c r="H252" s="42"/>
      <c r="I252" s="34"/>
      <c r="J252" s="35"/>
      <c r="K252" s="34"/>
      <c r="L252" s="34"/>
      <c r="M252" s="35"/>
      <c r="N252" s="36"/>
      <c r="O252" s="322"/>
      <c r="P252" s="38"/>
      <c r="Q252" s="38"/>
      <c r="R252" s="279"/>
      <c r="S252" s="40"/>
      <c r="T252" s="22"/>
      <c r="U252" s="41"/>
      <c r="V252" s="4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>
      <c r="B253" s="22"/>
      <c r="C253" s="30"/>
      <c r="D253" s="30"/>
      <c r="E253" s="30"/>
      <c r="F253" s="32"/>
      <c r="G253" s="32"/>
      <c r="H253" s="42"/>
      <c r="I253" s="34"/>
      <c r="J253" s="35"/>
      <c r="K253" s="34"/>
      <c r="L253" s="34"/>
      <c r="M253" s="35"/>
      <c r="N253" s="36"/>
      <c r="O253" s="322"/>
      <c r="P253" s="38"/>
      <c r="Q253" s="38"/>
      <c r="R253" s="279"/>
      <c r="S253" s="40"/>
      <c r="T253" s="22"/>
      <c r="U253" s="41"/>
      <c r="V253" s="4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>
      <c r="B254" s="22"/>
      <c r="C254" s="30"/>
      <c r="D254" s="30"/>
      <c r="E254" s="30"/>
      <c r="F254" s="32"/>
      <c r="G254" s="32"/>
      <c r="H254" s="42"/>
      <c r="I254" s="34"/>
      <c r="J254" s="35"/>
      <c r="K254" s="34"/>
      <c r="L254" s="34"/>
      <c r="M254" s="35"/>
      <c r="N254" s="36"/>
      <c r="O254" s="322"/>
      <c r="P254" s="38"/>
      <c r="Q254" s="38"/>
      <c r="R254" s="279"/>
      <c r="S254" s="40"/>
      <c r="T254" s="22"/>
      <c r="U254" s="41"/>
      <c r="V254" s="4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>
      <c r="B255" s="22"/>
      <c r="C255" s="30"/>
      <c r="D255" s="30"/>
      <c r="E255" s="30"/>
      <c r="F255" s="32"/>
      <c r="G255" s="32"/>
      <c r="H255" s="42"/>
      <c r="I255" s="34"/>
      <c r="J255" s="35"/>
      <c r="K255" s="34"/>
      <c r="L255" s="34"/>
      <c r="M255" s="35"/>
      <c r="N255" s="36"/>
      <c r="O255" s="322"/>
      <c r="P255" s="38"/>
      <c r="Q255" s="38"/>
      <c r="R255" s="279"/>
      <c r="S255" s="40"/>
      <c r="T255" s="22"/>
      <c r="U255" s="41"/>
      <c r="V255" s="4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>
      <c r="B256" s="22"/>
      <c r="C256" s="30"/>
      <c r="D256" s="30"/>
      <c r="E256" s="30"/>
      <c r="F256" s="32"/>
      <c r="G256" s="32"/>
      <c r="H256" s="42"/>
      <c r="I256" s="34"/>
      <c r="J256" s="35"/>
      <c r="K256" s="34"/>
      <c r="L256" s="34"/>
      <c r="M256" s="35"/>
      <c r="N256" s="36"/>
      <c r="O256" s="322"/>
      <c r="P256" s="38"/>
      <c r="Q256" s="38"/>
      <c r="R256" s="279"/>
      <c r="S256" s="40"/>
      <c r="T256" s="22"/>
      <c r="U256" s="41"/>
      <c r="V256" s="4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>
      <c r="B257" s="22"/>
      <c r="C257" s="30"/>
      <c r="D257" s="30"/>
      <c r="E257" s="30"/>
      <c r="F257" s="32"/>
      <c r="G257" s="32"/>
      <c r="H257" s="42"/>
      <c r="I257" s="34"/>
      <c r="J257" s="35"/>
      <c r="K257" s="34"/>
      <c r="L257" s="34"/>
      <c r="M257" s="35"/>
      <c r="N257" s="36"/>
      <c r="O257" s="322"/>
      <c r="P257" s="38"/>
      <c r="Q257" s="38"/>
      <c r="R257" s="279"/>
      <c r="S257" s="40"/>
      <c r="T257" s="22"/>
      <c r="U257" s="41"/>
      <c r="V257" s="4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>
      <c r="B258" s="22"/>
      <c r="C258" s="30"/>
      <c r="D258" s="30"/>
      <c r="E258" s="30"/>
      <c r="F258" s="32"/>
      <c r="G258" s="32"/>
      <c r="H258" s="42"/>
      <c r="I258" s="34"/>
      <c r="J258" s="35"/>
      <c r="K258" s="34"/>
      <c r="L258" s="34"/>
      <c r="M258" s="35"/>
      <c r="N258" s="36"/>
      <c r="O258" s="322"/>
      <c r="P258" s="38"/>
      <c r="Q258" s="38"/>
      <c r="R258" s="279"/>
      <c r="S258" s="40"/>
      <c r="T258" s="22"/>
      <c r="U258" s="41"/>
      <c r="V258" s="4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>
      <c r="B259" s="22"/>
      <c r="C259" s="30"/>
      <c r="D259" s="30"/>
      <c r="E259" s="30"/>
      <c r="F259" s="32"/>
      <c r="G259" s="32"/>
      <c r="H259" s="42"/>
      <c r="I259" s="34"/>
      <c r="J259" s="35"/>
      <c r="K259" s="34"/>
      <c r="L259" s="34"/>
      <c r="M259" s="35"/>
      <c r="N259" s="36"/>
      <c r="O259" s="322"/>
      <c r="P259" s="38"/>
      <c r="Q259" s="38"/>
      <c r="R259" s="279"/>
      <c r="S259" s="40"/>
      <c r="T259" s="22"/>
      <c r="U259" s="41"/>
      <c r="V259" s="4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>
      <c r="B260" s="22"/>
      <c r="C260" s="30"/>
      <c r="D260" s="30"/>
      <c r="E260" s="30"/>
      <c r="F260" s="32"/>
      <c r="G260" s="32"/>
      <c r="H260" s="42"/>
      <c r="I260" s="34"/>
      <c r="J260" s="35"/>
      <c r="K260" s="34"/>
      <c r="L260" s="34"/>
      <c r="M260" s="35"/>
      <c r="N260" s="36"/>
      <c r="O260" s="322"/>
      <c r="P260" s="38"/>
      <c r="Q260" s="38"/>
      <c r="R260" s="279"/>
      <c r="S260" s="40"/>
      <c r="T260" s="22"/>
      <c r="U260" s="41"/>
      <c r="V260" s="4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>
      <c r="B261" s="22"/>
      <c r="C261" s="30"/>
      <c r="D261" s="30"/>
      <c r="E261" s="30"/>
      <c r="F261" s="32"/>
      <c r="G261" s="32"/>
      <c r="H261" s="42"/>
      <c r="I261" s="34"/>
      <c r="J261" s="35"/>
      <c r="K261" s="34"/>
      <c r="L261" s="34"/>
      <c r="M261" s="35"/>
      <c r="N261" s="36"/>
      <c r="O261" s="322"/>
      <c r="P261" s="38"/>
      <c r="Q261" s="38"/>
      <c r="R261" s="279"/>
      <c r="S261" s="40"/>
      <c r="T261" s="22"/>
      <c r="U261" s="41"/>
      <c r="V261" s="4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>
      <c r="B262" s="22"/>
      <c r="C262" s="30"/>
      <c r="D262" s="30"/>
      <c r="E262" s="30"/>
      <c r="F262" s="32"/>
      <c r="G262" s="32"/>
      <c r="H262" s="42"/>
      <c r="I262" s="34"/>
      <c r="J262" s="35"/>
      <c r="K262" s="34"/>
      <c r="L262" s="34"/>
      <c r="M262" s="35"/>
      <c r="N262" s="36"/>
      <c r="O262" s="322"/>
      <c r="P262" s="38"/>
      <c r="Q262" s="38"/>
      <c r="R262" s="279"/>
      <c r="S262" s="40"/>
      <c r="T262" s="22"/>
      <c r="U262" s="41"/>
      <c r="V262" s="4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>
      <c r="B263" s="22"/>
      <c r="C263" s="30"/>
      <c r="D263" s="30"/>
      <c r="E263" s="30"/>
      <c r="F263" s="32"/>
      <c r="G263" s="32"/>
      <c r="H263" s="42"/>
      <c r="I263" s="34"/>
      <c r="J263" s="35"/>
      <c r="K263" s="34"/>
      <c r="L263" s="34"/>
      <c r="M263" s="35"/>
      <c r="N263" s="36"/>
      <c r="O263" s="322"/>
      <c r="P263" s="38"/>
      <c r="Q263" s="38"/>
      <c r="R263" s="279"/>
      <c r="S263" s="40"/>
      <c r="T263" s="22"/>
      <c r="U263" s="41"/>
      <c r="V263" s="4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>
      <c r="B264" s="22"/>
      <c r="C264" s="30"/>
      <c r="D264" s="30"/>
      <c r="E264" s="30"/>
      <c r="F264" s="32"/>
      <c r="G264" s="32"/>
      <c r="H264" s="42"/>
      <c r="I264" s="34"/>
      <c r="J264" s="35"/>
      <c r="K264" s="35"/>
      <c r="L264" s="34"/>
      <c r="M264" s="35"/>
      <c r="N264" s="36"/>
      <c r="O264" s="322"/>
      <c r="P264" s="38"/>
      <c r="Q264" s="38"/>
      <c r="R264" s="279"/>
      <c r="S264" s="40"/>
      <c r="T264" s="22"/>
      <c r="U264" s="41"/>
      <c r="V264" s="4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>
      <c r="B265" s="22"/>
      <c r="C265" s="30"/>
      <c r="D265" s="30"/>
      <c r="E265" s="30"/>
      <c r="F265" s="32"/>
      <c r="G265" s="32"/>
      <c r="H265" s="42"/>
      <c r="I265" s="34"/>
      <c r="J265" s="35"/>
      <c r="K265" s="35"/>
      <c r="L265" s="34"/>
      <c r="M265" s="35"/>
      <c r="N265" s="36"/>
      <c r="O265" s="322"/>
      <c r="P265" s="38"/>
      <c r="Q265" s="38"/>
      <c r="R265" s="279"/>
      <c r="S265" s="40"/>
      <c r="T265" s="22"/>
      <c r="U265" s="41"/>
      <c r="V265" s="4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>
      <c r="B266" s="22"/>
      <c r="C266" s="30"/>
      <c r="D266" s="30"/>
      <c r="E266" s="30"/>
      <c r="F266" s="32"/>
      <c r="G266" s="32"/>
      <c r="H266" s="42"/>
      <c r="I266" s="34"/>
      <c r="J266" s="35"/>
      <c r="K266" s="35"/>
      <c r="L266" s="34"/>
      <c r="M266" s="35"/>
      <c r="N266" s="36"/>
      <c r="O266" s="322"/>
      <c r="P266" s="38"/>
      <c r="Q266" s="38"/>
      <c r="R266" s="279"/>
      <c r="S266" s="40"/>
      <c r="T266" s="22"/>
      <c r="U266" s="41"/>
      <c r="V266" s="4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>
      <c r="B267" s="22"/>
      <c r="C267" s="30"/>
      <c r="D267" s="30"/>
      <c r="E267" s="30"/>
      <c r="F267" s="32"/>
      <c r="G267" s="32"/>
      <c r="H267" s="42"/>
      <c r="I267" s="34"/>
      <c r="J267" s="35"/>
      <c r="K267" s="35"/>
      <c r="L267" s="34"/>
      <c r="M267" s="35"/>
      <c r="N267" s="36"/>
      <c r="O267" s="322"/>
      <c r="P267" s="38"/>
      <c r="Q267" s="38"/>
      <c r="R267" s="279"/>
      <c r="S267" s="40"/>
      <c r="T267" s="22"/>
      <c r="U267" s="41"/>
      <c r="V267" s="4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>
      <c r="B268" s="22"/>
      <c r="C268" s="30"/>
      <c r="D268" s="30"/>
      <c r="E268" s="30"/>
      <c r="F268" s="32"/>
      <c r="G268" s="32"/>
      <c r="H268" s="42"/>
      <c r="I268" s="34"/>
      <c r="J268" s="35"/>
      <c r="K268" s="35"/>
      <c r="L268" s="34"/>
      <c r="M268" s="35"/>
      <c r="N268" s="36"/>
      <c r="O268" s="322"/>
      <c r="P268" s="38"/>
      <c r="Q268" s="38"/>
      <c r="R268" s="279"/>
      <c r="S268" s="40"/>
      <c r="T268" s="22"/>
      <c r="U268" s="41"/>
      <c r="V268" s="4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>
      <c r="B269" s="22"/>
      <c r="C269" s="30"/>
      <c r="D269" s="30"/>
      <c r="E269" s="30"/>
      <c r="F269" s="32"/>
      <c r="G269" s="32"/>
      <c r="H269" s="42"/>
      <c r="I269" s="34"/>
      <c r="J269" s="35"/>
      <c r="K269" s="35"/>
      <c r="L269" s="34"/>
      <c r="M269" s="35"/>
      <c r="N269" s="36"/>
      <c r="O269" s="322"/>
      <c r="P269" s="38"/>
      <c r="Q269" s="38"/>
      <c r="R269" s="279"/>
      <c r="S269" s="40"/>
      <c r="T269" s="22"/>
      <c r="U269" s="41"/>
      <c r="V269" s="4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>
      <c r="B270" s="22"/>
      <c r="C270" s="30"/>
      <c r="D270" s="30"/>
      <c r="E270" s="30"/>
      <c r="F270" s="32"/>
      <c r="G270" s="32"/>
      <c r="H270" s="42"/>
      <c r="I270" s="34"/>
      <c r="J270" s="35"/>
      <c r="K270" s="35"/>
      <c r="L270" s="34"/>
      <c r="M270" s="35"/>
      <c r="N270" s="36"/>
      <c r="O270" s="322"/>
      <c r="P270" s="38"/>
      <c r="Q270" s="38"/>
      <c r="R270" s="279"/>
      <c r="S270" s="40"/>
      <c r="T270" s="22"/>
      <c r="U270" s="41"/>
      <c r="V270" s="4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>
      <c r="B271" s="22"/>
      <c r="C271" s="30"/>
      <c r="D271" s="30"/>
      <c r="E271" s="30"/>
      <c r="F271" s="32"/>
      <c r="G271" s="32"/>
      <c r="H271" s="42"/>
      <c r="I271" s="34"/>
      <c r="J271" s="35"/>
      <c r="K271" s="35"/>
      <c r="L271" s="34"/>
      <c r="M271" s="35"/>
      <c r="N271" s="36"/>
      <c r="O271" s="322"/>
      <c r="P271" s="38"/>
      <c r="Q271" s="38"/>
      <c r="R271" s="279"/>
      <c r="S271" s="40"/>
      <c r="T271" s="22"/>
      <c r="U271" s="41"/>
      <c r="V271" s="4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>
      <c r="B272" s="22"/>
      <c r="C272" s="30"/>
      <c r="D272" s="30"/>
      <c r="E272" s="30"/>
      <c r="F272" s="32"/>
      <c r="G272" s="32"/>
      <c r="H272" s="42"/>
      <c r="I272" s="34"/>
      <c r="J272" s="35"/>
      <c r="K272" s="35"/>
      <c r="L272" s="34"/>
      <c r="M272" s="35"/>
      <c r="N272" s="36"/>
      <c r="O272" s="322"/>
      <c r="P272" s="38"/>
      <c r="Q272" s="38"/>
      <c r="R272" s="279"/>
      <c r="S272" s="40"/>
      <c r="T272" s="22"/>
      <c r="U272" s="41"/>
      <c r="V272" s="4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>
      <c r="B273" s="22"/>
      <c r="C273" s="30"/>
      <c r="D273" s="30"/>
      <c r="E273" s="30"/>
      <c r="F273" s="32"/>
      <c r="G273" s="32"/>
      <c r="H273" s="42"/>
      <c r="I273" s="34"/>
      <c r="J273" s="35"/>
      <c r="K273" s="35"/>
      <c r="L273" s="34"/>
      <c r="M273" s="35"/>
      <c r="N273" s="36"/>
      <c r="O273" s="322"/>
      <c r="P273" s="38"/>
      <c r="Q273" s="38"/>
      <c r="R273" s="279"/>
      <c r="S273" s="40"/>
      <c r="T273" s="22"/>
      <c r="U273" s="41"/>
      <c r="V273" s="4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>
      <c r="B274" s="22"/>
      <c r="C274" s="30"/>
      <c r="D274" s="30"/>
      <c r="E274" s="30"/>
      <c r="F274" s="32"/>
      <c r="G274" s="32"/>
      <c r="H274" s="42"/>
      <c r="I274" s="34"/>
      <c r="J274" s="35"/>
      <c r="K274" s="35"/>
      <c r="L274" s="34"/>
      <c r="M274" s="35"/>
      <c r="N274" s="36"/>
      <c r="O274" s="322"/>
      <c r="P274" s="38"/>
      <c r="Q274" s="38"/>
      <c r="R274" s="279"/>
      <c r="S274" s="40"/>
      <c r="T274" s="22"/>
      <c r="U274" s="41"/>
      <c r="V274" s="4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>
      <c r="B275" s="22"/>
      <c r="C275" s="30"/>
      <c r="D275" s="30"/>
      <c r="E275" s="30"/>
      <c r="F275" s="32"/>
      <c r="G275" s="32"/>
      <c r="H275" s="42"/>
      <c r="I275" s="34"/>
      <c r="J275" s="35"/>
      <c r="K275" s="35"/>
      <c r="L275" s="34"/>
      <c r="M275" s="35"/>
      <c r="N275" s="36"/>
      <c r="O275" s="322"/>
      <c r="P275" s="38"/>
      <c r="Q275" s="38"/>
      <c r="R275" s="279"/>
      <c r="S275" s="40"/>
      <c r="T275" s="22"/>
      <c r="U275" s="41"/>
      <c r="V275" s="4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>
      <c r="B276" s="22"/>
      <c r="C276" s="30"/>
      <c r="D276" s="30"/>
      <c r="E276" s="30"/>
      <c r="F276" s="32"/>
      <c r="G276" s="32"/>
      <c r="H276" s="42"/>
      <c r="I276" s="34"/>
      <c r="J276" s="35"/>
      <c r="K276" s="35"/>
      <c r="L276" s="34"/>
      <c r="M276" s="35"/>
      <c r="N276" s="36"/>
      <c r="O276" s="322"/>
      <c r="P276" s="38"/>
      <c r="Q276" s="38"/>
      <c r="R276" s="279"/>
      <c r="S276" s="40"/>
      <c r="T276" s="22"/>
      <c r="U276" s="41"/>
      <c r="V276" s="4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>
      <c r="B277" s="22"/>
      <c r="C277" s="30"/>
      <c r="D277" s="30"/>
      <c r="E277" s="30"/>
      <c r="F277" s="32"/>
      <c r="G277" s="32"/>
      <c r="H277" s="42"/>
      <c r="I277" s="34"/>
      <c r="J277" s="35"/>
      <c r="K277" s="35"/>
      <c r="L277" s="34"/>
      <c r="M277" s="35"/>
      <c r="N277" s="36"/>
      <c r="O277" s="322"/>
      <c r="P277" s="38"/>
      <c r="Q277" s="38"/>
      <c r="R277" s="279"/>
      <c r="S277" s="40"/>
      <c r="T277" s="22"/>
      <c r="U277" s="41"/>
      <c r="V277" s="4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>
      <c r="B278" s="22"/>
      <c r="C278" s="30"/>
      <c r="D278" s="30"/>
      <c r="E278" s="30"/>
      <c r="F278" s="32"/>
      <c r="G278" s="32"/>
      <c r="H278" s="42"/>
      <c r="I278" s="34"/>
      <c r="J278" s="35"/>
      <c r="K278" s="35"/>
      <c r="L278" s="34"/>
      <c r="M278" s="35"/>
      <c r="N278" s="36"/>
      <c r="O278" s="322"/>
      <c r="P278" s="38"/>
      <c r="Q278" s="38"/>
      <c r="R278" s="279"/>
      <c r="S278" s="40"/>
      <c r="T278" s="22"/>
      <c r="U278" s="41"/>
      <c r="V278" s="4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>
      <c r="B279" s="22"/>
      <c r="C279" s="30"/>
      <c r="D279" s="30"/>
      <c r="E279" s="30"/>
      <c r="F279" s="32"/>
      <c r="G279" s="32"/>
      <c r="H279" s="42"/>
      <c r="I279" s="34"/>
      <c r="J279" s="35"/>
      <c r="K279" s="35"/>
      <c r="L279" s="34"/>
      <c r="M279" s="35"/>
      <c r="N279" s="36"/>
      <c r="O279" s="322"/>
      <c r="P279" s="38"/>
      <c r="Q279" s="38"/>
      <c r="R279" s="279"/>
      <c r="S279" s="40"/>
      <c r="T279" s="22"/>
      <c r="U279" s="41"/>
      <c r="V279" s="4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>
      <c r="B280" s="22"/>
      <c r="C280" s="30"/>
      <c r="D280" s="30"/>
      <c r="E280" s="30"/>
      <c r="F280" s="32"/>
      <c r="G280" s="32"/>
      <c r="H280" s="42"/>
      <c r="I280" s="34"/>
      <c r="J280" s="35"/>
      <c r="K280" s="35"/>
      <c r="L280" s="34"/>
      <c r="M280" s="35"/>
      <c r="N280" s="36"/>
      <c r="O280" s="322"/>
      <c r="P280" s="38"/>
      <c r="Q280" s="38"/>
      <c r="R280" s="279"/>
      <c r="S280" s="40"/>
      <c r="T280" s="22"/>
      <c r="U280" s="41"/>
      <c r="V280" s="4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>
      <c r="B281" s="22"/>
      <c r="C281" s="30"/>
      <c r="D281" s="30"/>
      <c r="E281" s="30"/>
      <c r="F281" s="32"/>
      <c r="G281" s="32"/>
      <c r="H281" s="42"/>
      <c r="I281" s="34"/>
      <c r="J281" s="35"/>
      <c r="K281" s="35"/>
      <c r="L281" s="34"/>
      <c r="M281" s="35"/>
      <c r="N281" s="36"/>
      <c r="O281" s="322"/>
      <c r="P281" s="38"/>
      <c r="Q281" s="38"/>
      <c r="R281" s="279"/>
      <c r="S281" s="40"/>
      <c r="T281" s="22"/>
      <c r="U281" s="41"/>
      <c r="V281" s="4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>
      <c r="B282" s="22"/>
      <c r="C282" s="30"/>
      <c r="D282" s="30"/>
      <c r="E282" s="30"/>
      <c r="F282" s="32"/>
      <c r="G282" s="32"/>
      <c r="H282" s="42"/>
      <c r="I282" s="34"/>
      <c r="J282" s="35"/>
      <c r="K282" s="35"/>
      <c r="L282" s="34"/>
      <c r="M282" s="35"/>
      <c r="N282" s="36"/>
      <c r="O282" s="322"/>
      <c r="P282" s="38"/>
      <c r="Q282" s="38"/>
      <c r="R282" s="279"/>
      <c r="S282" s="40"/>
      <c r="T282" s="22"/>
      <c r="U282" s="41"/>
      <c r="V282" s="4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>
      <c r="B283" s="22"/>
      <c r="C283" s="30"/>
      <c r="D283" s="30"/>
      <c r="E283" s="30"/>
      <c r="F283" s="32"/>
      <c r="G283" s="32"/>
      <c r="H283" s="42"/>
      <c r="I283" s="34"/>
      <c r="J283" s="35"/>
      <c r="K283" s="35"/>
      <c r="L283" s="34"/>
      <c r="M283" s="35"/>
      <c r="N283" s="36"/>
      <c r="O283" s="322"/>
      <c r="P283" s="38"/>
      <c r="Q283" s="38"/>
      <c r="R283" s="279"/>
      <c r="S283" s="40"/>
      <c r="T283" s="22"/>
      <c r="U283" s="41"/>
      <c r="V283" s="4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>
      <c r="B284" s="22"/>
      <c r="C284" s="30"/>
      <c r="D284" s="30"/>
      <c r="E284" s="30"/>
      <c r="F284" s="32"/>
      <c r="G284" s="32"/>
      <c r="H284" s="42"/>
      <c r="I284" s="34"/>
      <c r="J284" s="35"/>
      <c r="K284" s="35"/>
      <c r="L284" s="34"/>
      <c r="M284" s="35"/>
      <c r="N284" s="36"/>
      <c r="O284" s="322"/>
      <c r="P284" s="38"/>
      <c r="Q284" s="38"/>
      <c r="R284" s="279"/>
      <c r="S284" s="40"/>
      <c r="T284" s="22"/>
      <c r="U284" s="41"/>
      <c r="V284" s="4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>
      <c r="B285" s="22"/>
      <c r="C285" s="30"/>
      <c r="D285" s="30"/>
      <c r="E285" s="30"/>
      <c r="F285" s="32"/>
      <c r="G285" s="32"/>
      <c r="H285" s="42"/>
      <c r="I285" s="34"/>
      <c r="J285" s="35"/>
      <c r="K285" s="35"/>
      <c r="L285" s="34"/>
      <c r="M285" s="35"/>
      <c r="N285" s="36"/>
      <c r="O285" s="322"/>
      <c r="P285" s="38"/>
      <c r="Q285" s="38"/>
      <c r="R285" s="279"/>
      <c r="S285" s="40"/>
      <c r="T285" s="22"/>
      <c r="U285" s="41"/>
      <c r="V285" s="4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>
      <c r="B286" s="22"/>
      <c r="C286" s="30"/>
      <c r="D286" s="30"/>
      <c r="E286" s="30"/>
      <c r="F286" s="32"/>
      <c r="G286" s="32"/>
      <c r="H286" s="42"/>
      <c r="I286" s="34"/>
      <c r="J286" s="35"/>
      <c r="K286" s="35"/>
      <c r="L286" s="34"/>
      <c r="M286" s="35"/>
      <c r="N286" s="36"/>
      <c r="O286" s="322"/>
      <c r="P286" s="38"/>
      <c r="Q286" s="38"/>
      <c r="R286" s="279"/>
      <c r="S286" s="40"/>
      <c r="T286" s="22"/>
      <c r="U286" s="41"/>
      <c r="V286" s="4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>
      <c r="B287" s="22"/>
      <c r="C287" s="30"/>
      <c r="D287" s="30"/>
      <c r="E287" s="30"/>
      <c r="F287" s="32"/>
      <c r="G287" s="32"/>
      <c r="H287" s="42"/>
      <c r="I287" s="34"/>
      <c r="J287" s="35"/>
      <c r="K287" s="35"/>
      <c r="L287" s="34"/>
      <c r="M287" s="35"/>
      <c r="N287" s="36"/>
      <c r="O287" s="322"/>
      <c r="P287" s="38"/>
      <c r="Q287" s="38"/>
      <c r="R287" s="279"/>
      <c r="S287" s="40"/>
      <c r="T287" s="22"/>
      <c r="U287" s="41"/>
      <c r="V287" s="4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>
      <c r="B288" s="22"/>
      <c r="C288" s="30"/>
      <c r="D288" s="30"/>
      <c r="E288" s="30"/>
      <c r="F288" s="32"/>
      <c r="G288" s="32"/>
      <c r="H288" s="42"/>
      <c r="I288" s="34"/>
      <c r="J288" s="35"/>
      <c r="K288" s="35"/>
      <c r="L288" s="34"/>
      <c r="M288" s="35"/>
      <c r="N288" s="36"/>
      <c r="O288" s="322"/>
      <c r="P288" s="38"/>
      <c r="Q288" s="38"/>
      <c r="R288" s="279"/>
      <c r="S288" s="40"/>
      <c r="T288" s="22"/>
      <c r="U288" s="41"/>
      <c r="V288" s="4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>
      <c r="B289" s="22"/>
      <c r="C289" s="30"/>
      <c r="D289" s="30"/>
      <c r="E289" s="30"/>
      <c r="F289" s="32"/>
      <c r="G289" s="32"/>
      <c r="H289" s="42"/>
      <c r="I289" s="34"/>
      <c r="J289" s="35"/>
      <c r="K289" s="35"/>
      <c r="L289" s="34"/>
      <c r="M289" s="35"/>
      <c r="N289" s="36"/>
      <c r="O289" s="322"/>
      <c r="P289" s="38"/>
      <c r="Q289" s="38"/>
      <c r="R289" s="279"/>
      <c r="S289" s="40"/>
      <c r="T289" s="22"/>
      <c r="U289" s="41"/>
      <c r="V289" s="4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>
      <c r="B290" s="22"/>
      <c r="C290" s="30"/>
      <c r="D290" s="30"/>
      <c r="E290" s="30"/>
      <c r="F290" s="32"/>
      <c r="G290" s="32"/>
      <c r="H290" s="42"/>
      <c r="I290" s="34"/>
      <c r="J290" s="35"/>
      <c r="K290" s="35"/>
      <c r="L290" s="34"/>
      <c r="M290" s="35"/>
      <c r="N290" s="36"/>
      <c r="O290" s="322"/>
      <c r="P290" s="38"/>
      <c r="Q290" s="38"/>
      <c r="R290" s="279"/>
      <c r="S290" s="40"/>
      <c r="T290" s="22"/>
      <c r="U290" s="41"/>
      <c r="V290" s="4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>
      <c r="B291" s="22"/>
      <c r="C291" s="30"/>
      <c r="D291" s="30"/>
      <c r="E291" s="30"/>
      <c r="F291" s="32"/>
      <c r="G291" s="32"/>
      <c r="H291" s="42"/>
      <c r="I291" s="34"/>
      <c r="J291" s="35"/>
      <c r="K291" s="35"/>
      <c r="L291" s="34"/>
      <c r="M291" s="35"/>
      <c r="N291" s="36"/>
      <c r="O291" s="322"/>
      <c r="P291" s="38"/>
      <c r="Q291" s="38"/>
      <c r="R291" s="279"/>
      <c r="S291" s="40"/>
      <c r="T291" s="22"/>
      <c r="U291" s="41"/>
      <c r="V291" s="4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>
      <c r="B292" s="22"/>
      <c r="C292" s="30"/>
      <c r="D292" s="30"/>
      <c r="E292" s="30"/>
      <c r="F292" s="32"/>
      <c r="G292" s="32"/>
      <c r="H292" s="42"/>
      <c r="I292" s="34"/>
      <c r="J292" s="35"/>
      <c r="K292" s="35"/>
      <c r="L292" s="34"/>
      <c r="M292" s="35"/>
      <c r="N292" s="36"/>
      <c r="O292" s="322"/>
      <c r="P292" s="38"/>
      <c r="Q292" s="38"/>
      <c r="R292" s="279"/>
      <c r="S292" s="40"/>
      <c r="T292" s="22"/>
      <c r="U292" s="41"/>
      <c r="V292" s="4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>
      <c r="B293" s="22"/>
      <c r="C293" s="30"/>
      <c r="D293" s="30"/>
      <c r="E293" s="30"/>
      <c r="F293" s="32"/>
      <c r="G293" s="32"/>
      <c r="H293" s="42"/>
      <c r="I293" s="34"/>
      <c r="J293" s="35"/>
      <c r="K293" s="35"/>
      <c r="L293" s="34"/>
      <c r="M293" s="35"/>
      <c r="N293" s="36"/>
      <c r="O293" s="322"/>
      <c r="P293" s="38"/>
      <c r="Q293" s="38"/>
      <c r="R293" s="279"/>
      <c r="S293" s="40"/>
      <c r="T293" s="22"/>
      <c r="U293" s="41"/>
      <c r="V293" s="4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>
      <c r="B294" s="22"/>
      <c r="C294" s="30"/>
      <c r="D294" s="30"/>
      <c r="E294" s="30"/>
      <c r="F294" s="32"/>
      <c r="G294" s="32"/>
      <c r="H294" s="42"/>
      <c r="I294" s="34"/>
      <c r="J294" s="35"/>
      <c r="K294" s="35"/>
      <c r="L294" s="34"/>
      <c r="M294" s="35"/>
      <c r="N294" s="36"/>
      <c r="O294" s="322"/>
      <c r="P294" s="38"/>
      <c r="Q294" s="38"/>
      <c r="R294" s="279"/>
      <c r="S294" s="40"/>
      <c r="T294" s="22"/>
      <c r="U294" s="41"/>
      <c r="V294" s="4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>
      <c r="B295" s="22"/>
      <c r="C295" s="30"/>
      <c r="D295" s="30"/>
      <c r="E295" s="30"/>
      <c r="F295" s="32"/>
      <c r="G295" s="32"/>
      <c r="H295" s="42"/>
      <c r="I295" s="34"/>
      <c r="J295" s="35"/>
      <c r="K295" s="35"/>
      <c r="L295" s="34"/>
      <c r="M295" s="35"/>
      <c r="N295" s="36"/>
      <c r="O295" s="322"/>
      <c r="P295" s="38"/>
      <c r="Q295" s="38"/>
      <c r="R295" s="279"/>
      <c r="S295" s="40"/>
      <c r="T295" s="22"/>
      <c r="U295" s="41"/>
      <c r="V295" s="4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>
      <c r="B296" s="22"/>
      <c r="C296" s="30"/>
      <c r="D296" s="30"/>
      <c r="E296" s="30"/>
      <c r="F296" s="32"/>
      <c r="G296" s="32"/>
      <c r="H296" s="42"/>
      <c r="I296" s="34"/>
      <c r="J296" s="35"/>
      <c r="K296" s="35"/>
      <c r="L296" s="34"/>
      <c r="M296" s="35"/>
      <c r="N296" s="36"/>
      <c r="O296" s="322"/>
      <c r="P296" s="38"/>
      <c r="Q296" s="38"/>
      <c r="R296" s="279"/>
      <c r="S296" s="40"/>
      <c r="T296" s="22"/>
      <c r="U296" s="41"/>
      <c r="V296" s="4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>
      <c r="B297" s="22"/>
      <c r="C297" s="30"/>
      <c r="D297" s="30"/>
      <c r="E297" s="30"/>
      <c r="F297" s="32"/>
      <c r="G297" s="32"/>
      <c r="H297" s="42"/>
      <c r="I297" s="34"/>
      <c r="J297" s="35"/>
      <c r="K297" s="35"/>
      <c r="L297" s="34"/>
      <c r="M297" s="35"/>
      <c r="N297" s="36"/>
      <c r="O297" s="322"/>
      <c r="P297" s="38"/>
      <c r="Q297" s="38"/>
      <c r="R297" s="279"/>
      <c r="S297" s="40"/>
      <c r="T297" s="22"/>
      <c r="U297" s="41"/>
      <c r="V297" s="4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>
      <c r="B298" s="22"/>
      <c r="C298" s="30"/>
      <c r="D298" s="30"/>
      <c r="E298" s="30"/>
      <c r="F298" s="32"/>
      <c r="G298" s="32"/>
      <c r="H298" s="42"/>
      <c r="I298" s="34"/>
      <c r="J298" s="35"/>
      <c r="K298" s="35"/>
      <c r="L298" s="34"/>
      <c r="M298" s="35"/>
      <c r="N298" s="36"/>
      <c r="O298" s="322"/>
      <c r="P298" s="38"/>
      <c r="Q298" s="38"/>
      <c r="R298" s="279"/>
      <c r="S298" s="40"/>
      <c r="T298" s="22"/>
      <c r="U298" s="41"/>
      <c r="V298" s="4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>
      <c r="B299" s="22"/>
      <c r="C299" s="30"/>
      <c r="D299" s="30"/>
      <c r="E299" s="30"/>
      <c r="F299" s="32"/>
      <c r="G299" s="32"/>
      <c r="H299" s="42"/>
      <c r="I299" s="34"/>
      <c r="J299" s="35"/>
      <c r="K299" s="35"/>
      <c r="L299" s="34"/>
      <c r="M299" s="35"/>
      <c r="N299" s="36"/>
      <c r="O299" s="322"/>
      <c r="P299" s="38"/>
      <c r="Q299" s="38"/>
      <c r="R299" s="279"/>
      <c r="S299" s="40"/>
      <c r="T299" s="22"/>
      <c r="U299" s="41"/>
      <c r="V299" s="4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>
      <c r="B300" s="22"/>
      <c r="C300" s="30"/>
      <c r="D300" s="30"/>
      <c r="E300" s="30"/>
      <c r="F300" s="32"/>
      <c r="G300" s="32"/>
      <c r="H300" s="42"/>
      <c r="I300" s="34"/>
      <c r="J300" s="35"/>
      <c r="K300" s="35"/>
      <c r="L300" s="34"/>
      <c r="M300" s="35"/>
      <c r="N300" s="36"/>
      <c r="O300" s="322"/>
      <c r="P300" s="38"/>
      <c r="Q300" s="38"/>
      <c r="R300" s="279"/>
      <c r="S300" s="40"/>
      <c r="T300" s="22"/>
      <c r="U300" s="41"/>
      <c r="V300" s="4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>
      <c r="B301" s="22"/>
      <c r="C301" s="30"/>
      <c r="D301" s="30"/>
      <c r="E301" s="30"/>
      <c r="F301" s="32"/>
      <c r="G301" s="32"/>
      <c r="H301" s="42"/>
      <c r="I301" s="34"/>
      <c r="J301" s="35"/>
      <c r="K301" s="35"/>
      <c r="L301" s="34"/>
      <c r="M301" s="35"/>
      <c r="N301" s="36"/>
      <c r="O301" s="322"/>
      <c r="P301" s="38"/>
      <c r="Q301" s="38"/>
      <c r="R301" s="279"/>
      <c r="S301" s="40"/>
      <c r="T301" s="22"/>
      <c r="U301" s="41"/>
      <c r="V301" s="4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>
      <c r="B302" s="22"/>
      <c r="C302" s="30"/>
      <c r="D302" s="30"/>
      <c r="E302" s="30"/>
      <c r="F302" s="32"/>
      <c r="G302" s="32"/>
      <c r="H302" s="42"/>
      <c r="I302" s="34"/>
      <c r="J302" s="35"/>
      <c r="K302" s="35"/>
      <c r="L302" s="34"/>
      <c r="M302" s="35"/>
      <c r="N302" s="36"/>
      <c r="O302" s="322"/>
      <c r="P302" s="38"/>
      <c r="Q302" s="38"/>
      <c r="R302" s="279"/>
      <c r="S302" s="40"/>
      <c r="T302" s="22"/>
      <c r="U302" s="41"/>
      <c r="V302" s="4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>
      <c r="B303" s="22"/>
      <c r="C303" s="30"/>
      <c r="D303" s="30"/>
      <c r="E303" s="30"/>
      <c r="F303" s="32"/>
      <c r="G303" s="32"/>
      <c r="H303" s="42"/>
      <c r="I303" s="34"/>
      <c r="J303" s="35"/>
      <c r="K303" s="35"/>
      <c r="L303" s="34"/>
      <c r="M303" s="35"/>
      <c r="N303" s="36"/>
      <c r="O303" s="322"/>
      <c r="P303" s="38"/>
      <c r="Q303" s="38"/>
      <c r="R303" s="279"/>
      <c r="S303" s="40"/>
      <c r="T303" s="22"/>
      <c r="U303" s="41"/>
      <c r="V303" s="4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>
      <c r="B304" s="22"/>
      <c r="C304" s="30"/>
      <c r="D304" s="30"/>
      <c r="E304" s="30"/>
      <c r="F304" s="32"/>
      <c r="G304" s="32"/>
      <c r="H304" s="42"/>
      <c r="I304" s="34"/>
      <c r="J304" s="35"/>
      <c r="K304" s="35"/>
      <c r="L304" s="34"/>
      <c r="M304" s="35"/>
      <c r="N304" s="36"/>
      <c r="O304" s="322"/>
      <c r="P304" s="38"/>
      <c r="Q304" s="38"/>
      <c r="R304" s="279"/>
      <c r="S304" s="40"/>
      <c r="T304" s="22"/>
      <c r="U304" s="41"/>
      <c r="V304" s="4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>
      <c r="B305" s="22"/>
      <c r="C305" s="30"/>
      <c r="D305" s="30"/>
      <c r="E305" s="30"/>
      <c r="F305" s="32"/>
      <c r="G305" s="32"/>
      <c r="H305" s="42"/>
      <c r="I305" s="34"/>
      <c r="J305" s="35"/>
      <c r="K305" s="35"/>
      <c r="L305" s="34"/>
      <c r="M305" s="35"/>
      <c r="N305" s="36"/>
      <c r="O305" s="322"/>
      <c r="P305" s="38"/>
      <c r="Q305" s="38"/>
      <c r="R305" s="279"/>
      <c r="S305" s="40"/>
      <c r="T305" s="22"/>
      <c r="U305" s="41"/>
      <c r="V305" s="4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>
      <c r="B306" s="22"/>
      <c r="C306" s="30"/>
      <c r="D306" s="30"/>
      <c r="E306" s="30"/>
      <c r="F306" s="32"/>
      <c r="G306" s="32"/>
      <c r="H306" s="42"/>
      <c r="I306" s="34"/>
      <c r="J306" s="35"/>
      <c r="K306" s="35"/>
      <c r="L306" s="34"/>
      <c r="M306" s="35"/>
      <c r="N306" s="36"/>
      <c r="O306" s="322"/>
      <c r="P306" s="38"/>
      <c r="Q306" s="38"/>
      <c r="R306" s="279"/>
      <c r="S306" s="40"/>
      <c r="T306" s="22"/>
      <c r="U306" s="41"/>
      <c r="V306" s="4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>
      <c r="B307" s="22"/>
      <c r="C307" s="30"/>
      <c r="D307" s="30"/>
      <c r="E307" s="30"/>
      <c r="F307" s="32"/>
      <c r="G307" s="32"/>
      <c r="H307" s="42"/>
      <c r="I307" s="34"/>
      <c r="J307" s="35"/>
      <c r="K307" s="35"/>
      <c r="L307" s="34"/>
      <c r="M307" s="35"/>
      <c r="N307" s="36"/>
      <c r="O307" s="322"/>
      <c r="P307" s="38"/>
      <c r="Q307" s="38"/>
      <c r="R307" s="279"/>
      <c r="S307" s="40"/>
      <c r="T307" s="22"/>
      <c r="U307" s="41"/>
      <c r="V307" s="4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>
      <c r="B308" s="22"/>
      <c r="C308" s="30"/>
      <c r="D308" s="30"/>
      <c r="E308" s="30"/>
      <c r="F308" s="32"/>
      <c r="G308" s="32"/>
      <c r="H308" s="42"/>
      <c r="I308" s="34"/>
      <c r="J308" s="35"/>
      <c r="K308" s="35"/>
      <c r="L308" s="34"/>
      <c r="M308" s="35"/>
      <c r="N308" s="36"/>
      <c r="O308" s="322"/>
      <c r="P308" s="38"/>
      <c r="Q308" s="38"/>
      <c r="R308" s="279"/>
      <c r="S308" s="40"/>
      <c r="T308" s="22"/>
      <c r="U308" s="41"/>
      <c r="V308" s="4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>
      <c r="B309" s="22"/>
      <c r="C309" s="30"/>
      <c r="D309" s="30"/>
      <c r="E309" s="30"/>
      <c r="F309" s="32"/>
      <c r="G309" s="32"/>
      <c r="H309" s="42"/>
      <c r="I309" s="34"/>
      <c r="J309" s="35"/>
      <c r="K309" s="35"/>
      <c r="L309" s="34"/>
      <c r="M309" s="35"/>
      <c r="N309" s="36"/>
      <c r="O309" s="322"/>
      <c r="P309" s="38"/>
      <c r="Q309" s="38"/>
      <c r="R309" s="279"/>
      <c r="S309" s="40"/>
      <c r="T309" s="22"/>
      <c r="U309" s="41"/>
      <c r="V309" s="4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>
      <c r="B310" s="22"/>
      <c r="C310" s="30"/>
      <c r="D310" s="30"/>
      <c r="E310" s="30"/>
      <c r="F310" s="32"/>
      <c r="G310" s="32"/>
      <c r="H310" s="42"/>
      <c r="I310" s="34"/>
      <c r="J310" s="35"/>
      <c r="K310" s="35"/>
      <c r="L310" s="34"/>
      <c r="M310" s="35"/>
      <c r="N310" s="36"/>
      <c r="O310" s="322"/>
      <c r="P310" s="38"/>
      <c r="Q310" s="38"/>
      <c r="R310" s="279"/>
      <c r="S310" s="40"/>
      <c r="T310" s="22"/>
      <c r="U310" s="41"/>
      <c r="V310" s="4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>
      <c r="B311" s="22"/>
      <c r="C311" s="30"/>
      <c r="D311" s="30"/>
      <c r="E311" s="30"/>
      <c r="F311" s="32"/>
      <c r="G311" s="32"/>
      <c r="H311" s="42"/>
      <c r="I311" s="34"/>
      <c r="J311" s="35"/>
      <c r="K311" s="35"/>
      <c r="L311" s="34"/>
      <c r="M311" s="35"/>
      <c r="N311" s="36"/>
      <c r="O311" s="322"/>
      <c r="P311" s="38"/>
      <c r="Q311" s="38"/>
      <c r="R311" s="279"/>
      <c r="S311" s="40"/>
      <c r="T311" s="22"/>
      <c r="U311" s="41"/>
      <c r="V311" s="4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>
      <c r="B312" s="22"/>
      <c r="C312" s="30"/>
      <c r="D312" s="30"/>
      <c r="E312" s="30"/>
      <c r="F312" s="32"/>
      <c r="G312" s="32"/>
      <c r="H312" s="42"/>
      <c r="I312" s="34"/>
      <c r="J312" s="35"/>
      <c r="K312" s="35"/>
      <c r="L312" s="34"/>
      <c r="M312" s="35"/>
      <c r="N312" s="36"/>
      <c r="O312" s="322"/>
      <c r="P312" s="38"/>
      <c r="Q312" s="38"/>
      <c r="R312" s="279"/>
      <c r="S312" s="40"/>
      <c r="T312" s="22"/>
      <c r="U312" s="41"/>
      <c r="V312" s="4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>
      <c r="B313" s="22"/>
      <c r="C313" s="30"/>
      <c r="D313" s="30"/>
      <c r="E313" s="30"/>
      <c r="F313" s="32"/>
      <c r="G313" s="32"/>
      <c r="H313" s="42"/>
      <c r="I313" s="34"/>
      <c r="J313" s="35"/>
      <c r="K313" s="35"/>
      <c r="L313" s="34"/>
      <c r="M313" s="35"/>
      <c r="N313" s="36"/>
      <c r="O313" s="322"/>
      <c r="P313" s="38"/>
      <c r="Q313" s="38"/>
      <c r="R313" s="279"/>
      <c r="S313" s="40"/>
      <c r="T313" s="22"/>
      <c r="U313" s="41"/>
      <c r="V313" s="4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>
      <c r="B314" s="22"/>
      <c r="C314" s="30"/>
      <c r="D314" s="30"/>
      <c r="E314" s="30"/>
      <c r="F314" s="32"/>
      <c r="G314" s="32"/>
      <c r="H314" s="42"/>
      <c r="I314" s="34"/>
      <c r="J314" s="35"/>
      <c r="K314" s="35"/>
      <c r="L314" s="34"/>
      <c r="M314" s="35"/>
      <c r="N314" s="36"/>
      <c r="O314" s="322"/>
      <c r="P314" s="38"/>
      <c r="Q314" s="38"/>
      <c r="R314" s="279"/>
      <c r="S314" s="40"/>
      <c r="T314" s="22"/>
      <c r="U314" s="41"/>
      <c r="V314" s="4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>
      <c r="B315" s="22"/>
      <c r="C315" s="30"/>
      <c r="D315" s="30"/>
      <c r="E315" s="30"/>
      <c r="F315" s="32"/>
      <c r="G315" s="32"/>
      <c r="H315" s="42"/>
      <c r="I315" s="34"/>
      <c r="J315" s="35"/>
      <c r="K315" s="35"/>
      <c r="L315" s="34"/>
      <c r="M315" s="35"/>
      <c r="N315" s="36"/>
      <c r="O315" s="322"/>
      <c r="P315" s="38"/>
      <c r="Q315" s="38"/>
      <c r="R315" s="279"/>
      <c r="S315" s="40"/>
      <c r="T315" s="22"/>
      <c r="U315" s="41"/>
      <c r="V315" s="4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>
      <c r="B316" s="22"/>
      <c r="C316" s="30"/>
      <c r="D316" s="30"/>
      <c r="E316" s="30"/>
      <c r="F316" s="32"/>
      <c r="G316" s="32"/>
      <c r="H316" s="42"/>
      <c r="I316" s="34"/>
      <c r="J316" s="35"/>
      <c r="K316" s="35"/>
      <c r="L316" s="34"/>
      <c r="M316" s="35"/>
      <c r="N316" s="36"/>
      <c r="O316" s="322"/>
      <c r="P316" s="38"/>
      <c r="Q316" s="38"/>
      <c r="R316" s="279"/>
      <c r="S316" s="40"/>
      <c r="T316" s="22"/>
      <c r="U316" s="41"/>
      <c r="V316" s="4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>
      <c r="B317" s="22"/>
      <c r="C317" s="30"/>
      <c r="D317" s="30"/>
      <c r="E317" s="30"/>
      <c r="F317" s="32"/>
      <c r="G317" s="32"/>
      <c r="H317" s="42"/>
      <c r="I317" s="34"/>
      <c r="J317" s="35"/>
      <c r="K317" s="35"/>
      <c r="L317" s="34"/>
      <c r="M317" s="35"/>
      <c r="N317" s="36"/>
      <c r="O317" s="322"/>
      <c r="P317" s="38"/>
      <c r="Q317" s="38"/>
      <c r="R317" s="279"/>
      <c r="S317" s="40"/>
      <c r="T317" s="22"/>
      <c r="U317" s="41"/>
      <c r="V317" s="4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>
      <c r="B318" s="22"/>
      <c r="C318" s="30"/>
      <c r="D318" s="30"/>
      <c r="E318" s="30"/>
      <c r="F318" s="32"/>
      <c r="G318" s="32"/>
      <c r="H318" s="42"/>
      <c r="I318" s="34"/>
      <c r="J318" s="35"/>
      <c r="K318" s="35"/>
      <c r="L318" s="34"/>
      <c r="M318" s="35"/>
      <c r="N318" s="36"/>
      <c r="O318" s="322"/>
      <c r="P318" s="38"/>
      <c r="Q318" s="38"/>
      <c r="R318" s="279"/>
      <c r="S318" s="40"/>
      <c r="T318" s="22"/>
      <c r="U318" s="41"/>
      <c r="V318" s="4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>
      <c r="B319" s="22"/>
      <c r="C319" s="30"/>
      <c r="D319" s="30"/>
      <c r="E319" s="30"/>
      <c r="F319" s="32"/>
      <c r="G319" s="32"/>
      <c r="H319" s="42"/>
      <c r="I319" s="34"/>
      <c r="J319" s="35"/>
      <c r="K319" s="35"/>
      <c r="L319" s="34"/>
      <c r="M319" s="35"/>
      <c r="N319" s="36"/>
      <c r="O319" s="322"/>
      <c r="P319" s="38"/>
      <c r="Q319" s="38"/>
      <c r="R319" s="279"/>
      <c r="S319" s="40"/>
      <c r="T319" s="22"/>
      <c r="U319" s="41"/>
      <c r="V319" s="4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>
      <c r="B320" s="22"/>
      <c r="C320" s="30"/>
      <c r="D320" s="30"/>
      <c r="E320" s="30"/>
      <c r="F320" s="32"/>
      <c r="G320" s="32"/>
      <c r="H320" s="42"/>
      <c r="I320" s="34"/>
      <c r="J320" s="35"/>
      <c r="K320" s="35"/>
      <c r="L320" s="34"/>
      <c r="M320" s="35"/>
      <c r="N320" s="36"/>
      <c r="O320" s="322"/>
      <c r="P320" s="38"/>
      <c r="Q320" s="38"/>
      <c r="R320" s="279"/>
      <c r="S320" s="40"/>
      <c r="T320" s="22"/>
      <c r="U320" s="41"/>
      <c r="V320" s="4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>
      <c r="B321" s="22"/>
      <c r="C321" s="30"/>
      <c r="D321" s="30"/>
      <c r="E321" s="30"/>
      <c r="F321" s="32"/>
      <c r="G321" s="32"/>
      <c r="H321" s="42"/>
      <c r="I321" s="34"/>
      <c r="J321" s="35"/>
      <c r="K321" s="35"/>
      <c r="L321" s="34"/>
      <c r="M321" s="35"/>
      <c r="N321" s="36"/>
      <c r="O321" s="322"/>
      <c r="P321" s="38"/>
      <c r="Q321" s="38"/>
      <c r="R321" s="279"/>
      <c r="S321" s="40"/>
      <c r="T321" s="22"/>
      <c r="U321" s="41"/>
      <c r="V321" s="4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>
      <c r="B322" s="22"/>
      <c r="C322" s="30"/>
      <c r="D322" s="30"/>
      <c r="E322" s="30"/>
      <c r="F322" s="32"/>
      <c r="G322" s="32"/>
      <c r="H322" s="42"/>
      <c r="I322" s="34"/>
      <c r="J322" s="35"/>
      <c r="K322" s="35"/>
      <c r="L322" s="34"/>
      <c r="M322" s="35"/>
      <c r="N322" s="36"/>
      <c r="O322" s="322"/>
      <c r="P322" s="38"/>
      <c r="Q322" s="38"/>
      <c r="R322" s="279"/>
      <c r="S322" s="40"/>
      <c r="T322" s="22"/>
      <c r="U322" s="41"/>
      <c r="V322" s="4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>
      <c r="B323" s="22"/>
      <c r="C323" s="30"/>
      <c r="D323" s="30"/>
      <c r="E323" s="30"/>
      <c r="F323" s="32"/>
      <c r="G323" s="32"/>
      <c r="H323" s="42"/>
      <c r="I323" s="34"/>
      <c r="J323" s="35"/>
      <c r="K323" s="35"/>
      <c r="L323" s="34"/>
      <c r="M323" s="35"/>
      <c r="N323" s="36"/>
      <c r="O323" s="322"/>
      <c r="P323" s="38"/>
      <c r="Q323" s="38"/>
      <c r="R323" s="279"/>
      <c r="S323" s="40"/>
      <c r="T323" s="22"/>
      <c r="U323" s="41"/>
      <c r="V323" s="4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>
      <c r="B324" s="22"/>
      <c r="C324" s="30"/>
      <c r="D324" s="30"/>
      <c r="E324" s="30"/>
      <c r="F324" s="32"/>
      <c r="G324" s="32"/>
      <c r="H324" s="42"/>
      <c r="I324" s="34"/>
      <c r="J324" s="35"/>
      <c r="K324" s="35"/>
      <c r="L324" s="34"/>
      <c r="M324" s="35"/>
      <c r="N324" s="36"/>
      <c r="O324" s="322"/>
      <c r="P324" s="38"/>
      <c r="Q324" s="38"/>
      <c r="R324" s="279"/>
      <c r="S324" s="40"/>
      <c r="T324" s="22"/>
      <c r="U324" s="41"/>
      <c r="V324" s="4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>
      <c r="B325" s="22"/>
      <c r="C325" s="30"/>
      <c r="D325" s="30"/>
      <c r="E325" s="30"/>
      <c r="F325" s="32"/>
      <c r="G325" s="32"/>
      <c r="H325" s="42"/>
      <c r="I325" s="34"/>
      <c r="J325" s="35"/>
      <c r="K325" s="35"/>
      <c r="L325" s="34"/>
      <c r="M325" s="35"/>
      <c r="N325" s="36"/>
      <c r="O325" s="322"/>
      <c r="P325" s="38"/>
      <c r="Q325" s="38"/>
      <c r="R325" s="279"/>
      <c r="S325" s="40"/>
      <c r="T325" s="22"/>
      <c r="U325" s="41"/>
      <c r="V325" s="4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>
      <c r="B326" s="22"/>
      <c r="C326" s="30"/>
      <c r="D326" s="30"/>
      <c r="E326" s="30"/>
      <c r="F326" s="32"/>
      <c r="G326" s="32"/>
      <c r="H326" s="42"/>
      <c r="I326" s="34"/>
      <c r="J326" s="35"/>
      <c r="K326" s="35"/>
      <c r="L326" s="34"/>
      <c r="M326" s="35"/>
      <c r="N326" s="36"/>
      <c r="O326" s="322"/>
      <c r="P326" s="38"/>
      <c r="Q326" s="38"/>
      <c r="R326" s="279"/>
      <c r="S326" s="40"/>
      <c r="T326" s="22"/>
      <c r="U326" s="41"/>
      <c r="V326" s="4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>
      <c r="B327" s="22"/>
      <c r="C327" s="30"/>
      <c r="D327" s="30"/>
      <c r="E327" s="30"/>
      <c r="F327" s="32"/>
      <c r="G327" s="32"/>
      <c r="H327" s="42"/>
      <c r="I327" s="34"/>
      <c r="J327" s="35"/>
      <c r="K327" s="35"/>
      <c r="L327" s="34"/>
      <c r="M327" s="35"/>
      <c r="N327" s="36"/>
      <c r="O327" s="322"/>
      <c r="P327" s="38"/>
      <c r="Q327" s="38"/>
      <c r="R327" s="279"/>
      <c r="S327" s="40"/>
      <c r="T327" s="22"/>
      <c r="U327" s="41"/>
      <c r="V327" s="4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>
      <c r="B328" s="22"/>
      <c r="C328" s="30"/>
      <c r="D328" s="30"/>
      <c r="E328" s="30"/>
      <c r="F328" s="32"/>
      <c r="G328" s="32"/>
      <c r="H328" s="42"/>
      <c r="I328" s="34"/>
      <c r="J328" s="35"/>
      <c r="K328" s="35"/>
      <c r="L328" s="34"/>
      <c r="M328" s="35"/>
      <c r="N328" s="36"/>
      <c r="O328" s="322"/>
      <c r="P328" s="38"/>
      <c r="Q328" s="38"/>
      <c r="R328" s="279"/>
      <c r="S328" s="40"/>
      <c r="T328" s="22"/>
      <c r="U328" s="41"/>
      <c r="V328" s="4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>
      <c r="B329" s="22"/>
      <c r="C329" s="30"/>
      <c r="D329" s="30"/>
      <c r="E329" s="30"/>
      <c r="F329" s="32"/>
      <c r="G329" s="32"/>
      <c r="H329" s="42"/>
      <c r="I329" s="34"/>
      <c r="J329" s="35"/>
      <c r="K329" s="35"/>
      <c r="L329" s="34"/>
      <c r="M329" s="35"/>
      <c r="N329" s="36"/>
      <c r="O329" s="322"/>
      <c r="P329" s="38"/>
      <c r="Q329" s="38"/>
      <c r="R329" s="279"/>
      <c r="S329" s="40"/>
      <c r="T329" s="22"/>
      <c r="U329" s="41"/>
      <c r="V329" s="4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>
      <c r="B330" s="22"/>
      <c r="C330" s="30"/>
      <c r="D330" s="30"/>
      <c r="E330" s="30"/>
      <c r="F330" s="32"/>
      <c r="G330" s="32"/>
      <c r="H330" s="42"/>
      <c r="I330" s="34"/>
      <c r="J330" s="35"/>
      <c r="K330" s="35"/>
      <c r="L330" s="34"/>
      <c r="M330" s="35"/>
      <c r="N330" s="36"/>
      <c r="O330" s="322"/>
      <c r="P330" s="38"/>
      <c r="Q330" s="38"/>
      <c r="R330" s="279"/>
      <c r="S330" s="40"/>
      <c r="T330" s="22"/>
      <c r="U330" s="41"/>
      <c r="V330" s="4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>
      <c r="B331" s="22"/>
      <c r="C331" s="30"/>
      <c r="D331" s="30"/>
      <c r="E331" s="30"/>
      <c r="F331" s="32"/>
      <c r="G331" s="32"/>
      <c r="H331" s="42"/>
      <c r="I331" s="34"/>
      <c r="J331" s="35"/>
      <c r="K331" s="35"/>
      <c r="L331" s="34"/>
      <c r="M331" s="35"/>
      <c r="N331" s="36"/>
      <c r="O331" s="322"/>
      <c r="P331" s="38"/>
      <c r="Q331" s="38"/>
      <c r="R331" s="279"/>
      <c r="S331" s="40"/>
      <c r="T331" s="22"/>
      <c r="U331" s="41"/>
      <c r="V331" s="4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>
      <c r="B332" s="22"/>
      <c r="C332" s="30"/>
      <c r="D332" s="30"/>
      <c r="E332" s="30"/>
      <c r="F332" s="32"/>
      <c r="G332" s="32"/>
      <c r="H332" s="42"/>
      <c r="I332" s="34"/>
      <c r="J332" s="35"/>
      <c r="K332" s="35"/>
      <c r="L332" s="34"/>
      <c r="M332" s="35"/>
      <c r="N332" s="36"/>
      <c r="O332" s="322"/>
      <c r="P332" s="38"/>
      <c r="Q332" s="38"/>
      <c r="R332" s="279"/>
      <c r="S332" s="40"/>
      <c r="T332" s="22"/>
      <c r="U332" s="41"/>
      <c r="V332" s="4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>
      <c r="B333" s="22"/>
      <c r="C333" s="30"/>
      <c r="D333" s="30"/>
      <c r="E333" s="30"/>
      <c r="F333" s="32"/>
      <c r="G333" s="32"/>
      <c r="H333" s="42"/>
      <c r="I333" s="34"/>
      <c r="J333" s="35"/>
      <c r="K333" s="35"/>
      <c r="L333" s="34"/>
      <c r="M333" s="35"/>
      <c r="N333" s="36"/>
      <c r="O333" s="322"/>
      <c r="P333" s="38"/>
      <c r="Q333" s="38"/>
      <c r="R333" s="279"/>
      <c r="S333" s="40"/>
      <c r="T333" s="22"/>
      <c r="U333" s="41"/>
      <c r="V333" s="4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>
      <c r="B334" s="22"/>
      <c r="C334" s="30"/>
      <c r="D334" s="30"/>
      <c r="E334" s="30"/>
      <c r="F334" s="32"/>
      <c r="G334" s="32"/>
      <c r="H334" s="42"/>
      <c r="I334" s="34"/>
      <c r="J334" s="35"/>
      <c r="K334" s="35"/>
      <c r="L334" s="34"/>
      <c r="M334" s="35"/>
      <c r="N334" s="36"/>
      <c r="O334" s="322"/>
      <c r="P334" s="38"/>
      <c r="Q334" s="38"/>
      <c r="R334" s="279"/>
      <c r="S334" s="40"/>
      <c r="T334" s="22"/>
      <c r="U334" s="41"/>
      <c r="V334" s="4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>
      <c r="B335" s="22"/>
      <c r="C335" s="30"/>
      <c r="D335" s="30"/>
      <c r="E335" s="30"/>
      <c r="F335" s="32"/>
      <c r="G335" s="32"/>
      <c r="H335" s="42"/>
      <c r="I335" s="34"/>
      <c r="J335" s="35"/>
      <c r="K335" s="35"/>
      <c r="L335" s="34"/>
      <c r="M335" s="35"/>
      <c r="N335" s="36"/>
      <c r="O335" s="322"/>
      <c r="P335" s="38"/>
      <c r="Q335" s="38"/>
      <c r="R335" s="279"/>
      <c r="S335" s="40"/>
      <c r="T335" s="22"/>
      <c r="U335" s="41"/>
      <c r="V335" s="4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>
      <c r="B336" s="22"/>
      <c r="C336" s="30"/>
      <c r="D336" s="30"/>
      <c r="E336" s="30"/>
      <c r="F336" s="32"/>
      <c r="G336" s="32"/>
      <c r="H336" s="42"/>
      <c r="I336" s="34"/>
      <c r="J336" s="35"/>
      <c r="K336" s="35"/>
      <c r="L336" s="34"/>
      <c r="M336" s="35"/>
      <c r="N336" s="36"/>
      <c r="O336" s="322"/>
      <c r="P336" s="38"/>
      <c r="Q336" s="38"/>
      <c r="R336" s="279"/>
      <c r="S336" s="40"/>
      <c r="T336" s="22"/>
      <c r="U336" s="41"/>
      <c r="V336" s="4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>
      <c r="B337" s="22"/>
      <c r="C337" s="30"/>
      <c r="D337" s="30"/>
      <c r="E337" s="30"/>
      <c r="F337" s="32"/>
      <c r="G337" s="32"/>
      <c r="H337" s="42"/>
      <c r="I337" s="34"/>
      <c r="J337" s="35"/>
      <c r="K337" s="35"/>
      <c r="L337" s="34"/>
      <c r="M337" s="35"/>
      <c r="N337" s="36"/>
      <c r="O337" s="322"/>
      <c r="P337" s="38"/>
      <c r="Q337" s="38"/>
      <c r="R337" s="279"/>
      <c r="S337" s="40"/>
      <c r="T337" s="22"/>
      <c r="U337" s="41"/>
      <c r="V337" s="4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>
      <c r="B338" s="22"/>
      <c r="C338" s="30"/>
      <c r="D338" s="30"/>
      <c r="E338" s="30"/>
      <c r="F338" s="32"/>
      <c r="G338" s="32"/>
      <c r="H338" s="42"/>
      <c r="I338" s="34"/>
      <c r="J338" s="35"/>
      <c r="K338" s="35"/>
      <c r="L338" s="34"/>
      <c r="M338" s="35"/>
      <c r="N338" s="36"/>
      <c r="O338" s="322"/>
      <c r="P338" s="38"/>
      <c r="Q338" s="38"/>
      <c r="R338" s="279"/>
      <c r="S338" s="40"/>
      <c r="T338" s="22"/>
      <c r="U338" s="41"/>
      <c r="V338" s="4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>
      <c r="B339" s="22"/>
      <c r="C339" s="30"/>
      <c r="D339" s="30"/>
      <c r="E339" s="30"/>
      <c r="F339" s="32"/>
      <c r="G339" s="32"/>
      <c r="H339" s="42"/>
      <c r="I339" s="34"/>
      <c r="J339" s="35"/>
      <c r="K339" s="35"/>
      <c r="L339" s="34"/>
      <c r="M339" s="35"/>
      <c r="N339" s="36"/>
      <c r="O339" s="322"/>
      <c r="P339" s="38"/>
      <c r="Q339" s="38"/>
      <c r="R339" s="279"/>
      <c r="S339" s="40"/>
      <c r="T339" s="22"/>
      <c r="U339" s="41"/>
      <c r="V339" s="4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>
      <c r="B340" s="22"/>
      <c r="C340" s="30"/>
      <c r="D340" s="30"/>
      <c r="E340" s="30"/>
      <c r="F340" s="32"/>
      <c r="G340" s="32"/>
      <c r="H340" s="42"/>
      <c r="I340" s="34"/>
      <c r="J340" s="35"/>
      <c r="K340" s="35"/>
      <c r="L340" s="34"/>
      <c r="M340" s="35"/>
      <c r="N340" s="36"/>
      <c r="O340" s="322"/>
      <c r="P340" s="38"/>
      <c r="Q340" s="38"/>
      <c r="R340" s="279"/>
      <c r="S340" s="40"/>
      <c r="T340" s="22"/>
      <c r="U340" s="41"/>
      <c r="V340" s="4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>
      <c r="B341" s="22"/>
      <c r="C341" s="30"/>
      <c r="D341" s="30"/>
      <c r="E341" s="30"/>
      <c r="F341" s="32"/>
      <c r="G341" s="32"/>
      <c r="H341" s="42"/>
      <c r="I341" s="34"/>
      <c r="J341" s="35"/>
      <c r="K341" s="35"/>
      <c r="L341" s="34"/>
      <c r="M341" s="35"/>
      <c r="N341" s="36"/>
      <c r="O341" s="322"/>
      <c r="P341" s="38"/>
      <c r="Q341" s="38"/>
      <c r="R341" s="279"/>
      <c r="S341" s="40"/>
      <c r="T341" s="22"/>
      <c r="U341" s="41"/>
      <c r="V341" s="4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>
      <c r="B342" s="22"/>
      <c r="C342" s="30"/>
      <c r="D342" s="30"/>
      <c r="E342" s="30"/>
      <c r="F342" s="32"/>
      <c r="G342" s="32"/>
      <c r="H342" s="42"/>
      <c r="I342" s="34"/>
      <c r="J342" s="35"/>
      <c r="K342" s="35"/>
      <c r="L342" s="34"/>
      <c r="M342" s="35"/>
      <c r="N342" s="36"/>
      <c r="O342" s="322"/>
      <c r="P342" s="38"/>
      <c r="Q342" s="38"/>
      <c r="R342" s="279"/>
      <c r="S342" s="40"/>
      <c r="T342" s="22"/>
      <c r="U342" s="41"/>
      <c r="V342" s="4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>
      <c r="B343" s="22"/>
      <c r="C343" s="30"/>
      <c r="D343" s="30"/>
      <c r="E343" s="30"/>
      <c r="F343" s="32"/>
      <c r="G343" s="32"/>
      <c r="H343" s="42"/>
      <c r="I343" s="34"/>
      <c r="J343" s="35"/>
      <c r="K343" s="35"/>
      <c r="L343" s="34"/>
      <c r="M343" s="35"/>
      <c r="N343" s="36"/>
      <c r="O343" s="322"/>
      <c r="P343" s="38"/>
      <c r="Q343" s="38"/>
      <c r="R343" s="279"/>
      <c r="S343" s="40"/>
      <c r="T343" s="22"/>
      <c r="U343" s="41"/>
      <c r="V343" s="4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>
      <c r="B344" s="22"/>
      <c r="C344" s="30"/>
      <c r="D344" s="30"/>
      <c r="E344" s="30"/>
      <c r="F344" s="32"/>
      <c r="G344" s="32"/>
      <c r="H344" s="42"/>
      <c r="I344" s="34"/>
      <c r="J344" s="35"/>
      <c r="K344" s="35"/>
      <c r="L344" s="34"/>
      <c r="M344" s="35"/>
      <c r="N344" s="36"/>
      <c r="O344" s="322"/>
      <c r="P344" s="38"/>
      <c r="Q344" s="38"/>
      <c r="R344" s="279"/>
      <c r="S344" s="40"/>
      <c r="T344" s="22"/>
      <c r="U344" s="41"/>
      <c r="V344" s="4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>
      <c r="B345" s="22"/>
      <c r="C345" s="30"/>
      <c r="D345" s="30"/>
      <c r="E345" s="30"/>
      <c r="F345" s="32"/>
      <c r="G345" s="32"/>
      <c r="H345" s="42"/>
      <c r="I345" s="34"/>
      <c r="J345" s="35"/>
      <c r="K345" s="35"/>
      <c r="L345" s="34"/>
      <c r="M345" s="35"/>
      <c r="N345" s="36"/>
      <c r="O345" s="322"/>
      <c r="P345" s="38"/>
      <c r="Q345" s="38"/>
      <c r="R345" s="279"/>
      <c r="S345" s="40"/>
      <c r="T345" s="22"/>
      <c r="U345" s="41"/>
      <c r="V345" s="4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>
      <c r="B346" s="22"/>
      <c r="C346" s="30"/>
      <c r="D346" s="30"/>
      <c r="E346" s="30"/>
      <c r="F346" s="32"/>
      <c r="G346" s="32"/>
      <c r="H346" s="42"/>
      <c r="I346" s="34"/>
      <c r="J346" s="35"/>
      <c r="K346" s="35"/>
      <c r="L346" s="34"/>
      <c r="M346" s="35"/>
      <c r="N346" s="36"/>
      <c r="O346" s="322"/>
      <c r="P346" s="38"/>
      <c r="Q346" s="38"/>
      <c r="R346" s="279"/>
      <c r="S346" s="40"/>
      <c r="T346" s="22"/>
      <c r="U346" s="41"/>
      <c r="V346" s="4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>
      <c r="B347" s="22"/>
      <c r="C347" s="30"/>
      <c r="D347" s="30"/>
      <c r="E347" s="30"/>
      <c r="F347" s="32"/>
      <c r="G347" s="32"/>
      <c r="H347" s="42"/>
      <c r="I347" s="34"/>
      <c r="J347" s="35"/>
      <c r="K347" s="35"/>
      <c r="L347" s="34"/>
      <c r="M347" s="35"/>
      <c r="N347" s="36"/>
      <c r="O347" s="322"/>
      <c r="P347" s="38"/>
      <c r="Q347" s="38"/>
      <c r="R347" s="279"/>
      <c r="S347" s="40"/>
      <c r="T347" s="22"/>
      <c r="U347" s="41"/>
      <c r="V347" s="4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>
      <c r="B348" s="22"/>
      <c r="C348" s="30"/>
      <c r="D348" s="30"/>
      <c r="E348" s="30"/>
      <c r="F348" s="32"/>
      <c r="G348" s="32"/>
      <c r="H348" s="42"/>
      <c r="I348" s="34"/>
      <c r="J348" s="35"/>
      <c r="K348" s="35"/>
      <c r="L348" s="34"/>
      <c r="M348" s="35"/>
      <c r="N348" s="36"/>
      <c r="O348" s="322"/>
      <c r="P348" s="38"/>
      <c r="Q348" s="38"/>
      <c r="R348" s="279"/>
      <c r="S348" s="40"/>
      <c r="T348" s="22"/>
      <c r="U348" s="41"/>
      <c r="V348" s="4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>
      <c r="B349" s="22"/>
      <c r="C349" s="30"/>
      <c r="D349" s="30"/>
      <c r="E349" s="30"/>
      <c r="F349" s="32"/>
      <c r="G349" s="32"/>
      <c r="H349" s="42"/>
      <c r="I349" s="34"/>
      <c r="J349" s="35"/>
      <c r="K349" s="35"/>
      <c r="L349" s="34"/>
      <c r="M349" s="35"/>
      <c r="N349" s="36"/>
      <c r="O349" s="322"/>
      <c r="P349" s="38"/>
      <c r="Q349" s="38"/>
      <c r="R349" s="279"/>
      <c r="S349" s="40"/>
      <c r="T349" s="22"/>
      <c r="U349" s="41"/>
      <c r="V349" s="4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>
      <c r="B350" s="22"/>
      <c r="C350" s="30"/>
      <c r="D350" s="30"/>
      <c r="E350" s="30"/>
      <c r="F350" s="32"/>
      <c r="G350" s="32"/>
      <c r="H350" s="42"/>
      <c r="I350" s="34"/>
      <c r="J350" s="35"/>
      <c r="K350" s="35"/>
      <c r="L350" s="34"/>
      <c r="M350" s="35"/>
      <c r="N350" s="36"/>
      <c r="O350" s="322"/>
      <c r="P350" s="38"/>
      <c r="Q350" s="38"/>
      <c r="R350" s="279"/>
      <c r="S350" s="40"/>
      <c r="T350" s="22"/>
      <c r="U350" s="41"/>
      <c r="V350" s="4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>
      <c r="B351" s="22"/>
      <c r="C351" s="30"/>
      <c r="D351" s="30"/>
      <c r="E351" s="30"/>
      <c r="F351" s="32"/>
      <c r="G351" s="32"/>
      <c r="H351" s="42"/>
      <c r="I351" s="34"/>
      <c r="J351" s="35"/>
      <c r="K351" s="35"/>
      <c r="L351" s="34"/>
      <c r="M351" s="35"/>
      <c r="N351" s="36"/>
      <c r="O351" s="322"/>
      <c r="P351" s="38"/>
      <c r="Q351" s="38"/>
      <c r="R351" s="279"/>
      <c r="S351" s="40"/>
      <c r="T351" s="22"/>
      <c r="U351" s="41"/>
      <c r="V351" s="4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>
      <c r="B352" s="22"/>
      <c r="C352" s="30"/>
      <c r="D352" s="30"/>
      <c r="E352" s="30"/>
      <c r="F352" s="32"/>
      <c r="G352" s="32"/>
      <c r="H352" s="42"/>
      <c r="I352" s="34"/>
      <c r="J352" s="35"/>
      <c r="K352" s="35"/>
      <c r="L352" s="34"/>
      <c r="M352" s="35"/>
      <c r="N352" s="36"/>
      <c r="O352" s="322"/>
      <c r="P352" s="38"/>
      <c r="Q352" s="38"/>
      <c r="R352" s="279"/>
      <c r="S352" s="40"/>
      <c r="T352" s="22"/>
      <c r="U352" s="41"/>
      <c r="V352" s="4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>
      <c r="B353" s="22"/>
      <c r="C353" s="30"/>
      <c r="D353" s="30"/>
      <c r="E353" s="30"/>
      <c r="F353" s="32"/>
      <c r="G353" s="32"/>
      <c r="H353" s="42"/>
      <c r="I353" s="34"/>
      <c r="J353" s="35"/>
      <c r="K353" s="35"/>
      <c r="L353" s="34"/>
      <c r="M353" s="35"/>
      <c r="N353" s="36"/>
      <c r="O353" s="322"/>
      <c r="P353" s="38"/>
      <c r="Q353" s="38"/>
      <c r="R353" s="279"/>
      <c r="S353" s="40"/>
      <c r="T353" s="22"/>
      <c r="U353" s="41"/>
      <c r="V353" s="4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>
      <c r="B354" s="22"/>
      <c r="C354" s="30"/>
      <c r="D354" s="30"/>
      <c r="E354" s="30"/>
      <c r="F354" s="32"/>
      <c r="G354" s="32"/>
      <c r="H354" s="42"/>
      <c r="I354" s="34"/>
      <c r="J354" s="35"/>
      <c r="K354" s="35"/>
      <c r="L354" s="34"/>
      <c r="M354" s="35"/>
      <c r="N354" s="36"/>
      <c r="O354" s="322"/>
      <c r="P354" s="38"/>
      <c r="Q354" s="38"/>
      <c r="R354" s="279"/>
      <c r="S354" s="40"/>
      <c r="T354" s="22"/>
      <c r="U354" s="41"/>
      <c r="V354" s="4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>
      <c r="B355" s="22"/>
      <c r="C355" s="30"/>
      <c r="D355" s="30"/>
      <c r="E355" s="30"/>
      <c r="F355" s="32"/>
      <c r="G355" s="32"/>
      <c r="H355" s="42"/>
      <c r="I355" s="34"/>
      <c r="J355" s="35"/>
      <c r="K355" s="35"/>
      <c r="L355" s="34"/>
      <c r="M355" s="35"/>
      <c r="N355" s="36"/>
      <c r="O355" s="322"/>
      <c r="P355" s="38"/>
      <c r="Q355" s="38"/>
      <c r="R355" s="279"/>
      <c r="S355" s="40"/>
      <c r="T355" s="22"/>
      <c r="U355" s="41"/>
      <c r="V355" s="4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>
      <c r="B356" s="22"/>
      <c r="C356" s="30"/>
      <c r="D356" s="30"/>
      <c r="E356" s="30"/>
      <c r="F356" s="32"/>
      <c r="G356" s="32"/>
      <c r="H356" s="42"/>
      <c r="I356" s="34"/>
      <c r="J356" s="35"/>
      <c r="K356" s="35"/>
      <c r="L356" s="34"/>
      <c r="M356" s="35"/>
      <c r="N356" s="36"/>
      <c r="O356" s="322"/>
      <c r="P356" s="38"/>
      <c r="Q356" s="38"/>
      <c r="R356" s="279"/>
      <c r="S356" s="40"/>
      <c r="T356" s="22"/>
      <c r="U356" s="41"/>
      <c r="V356" s="4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>
      <c r="B357" s="22"/>
      <c r="C357" s="30"/>
      <c r="D357" s="30"/>
      <c r="E357" s="30"/>
      <c r="F357" s="32"/>
      <c r="G357" s="32"/>
      <c r="H357" s="42"/>
      <c r="I357" s="34"/>
      <c r="J357" s="35"/>
      <c r="K357" s="35"/>
      <c r="L357" s="34"/>
      <c r="M357" s="35"/>
      <c r="N357" s="36"/>
      <c r="O357" s="322"/>
      <c r="P357" s="38"/>
      <c r="Q357" s="38"/>
      <c r="R357" s="279"/>
      <c r="S357" s="40"/>
      <c r="T357" s="22"/>
      <c r="U357" s="41"/>
      <c r="V357" s="4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>
      <c r="B358" s="22"/>
      <c r="C358" s="30"/>
      <c r="D358" s="30"/>
      <c r="E358" s="30"/>
      <c r="F358" s="32"/>
      <c r="G358" s="32"/>
      <c r="H358" s="42"/>
      <c r="I358" s="34"/>
      <c r="J358" s="35"/>
      <c r="K358" s="35"/>
      <c r="L358" s="34"/>
      <c r="M358" s="35"/>
      <c r="N358" s="36"/>
      <c r="O358" s="322"/>
      <c r="P358" s="38"/>
      <c r="Q358" s="38"/>
      <c r="R358" s="279"/>
      <c r="S358" s="40"/>
      <c r="T358" s="22"/>
      <c r="U358" s="41"/>
      <c r="V358" s="4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>
      <c r="B359" s="22"/>
      <c r="C359" s="30"/>
      <c r="D359" s="30"/>
      <c r="E359" s="30"/>
      <c r="F359" s="32"/>
      <c r="G359" s="32"/>
      <c r="H359" s="42"/>
      <c r="I359" s="34"/>
      <c r="J359" s="35"/>
      <c r="K359" s="35"/>
      <c r="L359" s="34"/>
      <c r="M359" s="35"/>
      <c r="N359" s="36"/>
      <c r="O359" s="322"/>
      <c r="P359" s="38"/>
      <c r="Q359" s="38"/>
      <c r="R359" s="279"/>
      <c r="S359" s="40"/>
      <c r="T359" s="22"/>
      <c r="U359" s="41"/>
      <c r="V359" s="4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>
      <c r="B360" s="22"/>
      <c r="C360" s="30"/>
      <c r="D360" s="30"/>
      <c r="E360" s="30"/>
      <c r="F360" s="32"/>
      <c r="G360" s="32"/>
      <c r="H360" s="42"/>
      <c r="I360" s="34"/>
      <c r="J360" s="35"/>
      <c r="K360" s="35"/>
      <c r="L360" s="34"/>
      <c r="M360" s="35"/>
      <c r="N360" s="36"/>
      <c r="O360" s="322"/>
      <c r="P360" s="38"/>
      <c r="Q360" s="38"/>
      <c r="R360" s="279"/>
      <c r="S360" s="40"/>
      <c r="T360" s="22"/>
      <c r="U360" s="41"/>
      <c r="V360" s="4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>
      <c r="B361" s="22"/>
      <c r="C361" s="30"/>
      <c r="D361" s="30"/>
      <c r="E361" s="30"/>
      <c r="F361" s="32"/>
      <c r="G361" s="32"/>
      <c r="H361" s="42"/>
      <c r="I361" s="34"/>
      <c r="J361" s="35"/>
      <c r="K361" s="35"/>
      <c r="L361" s="34"/>
      <c r="M361" s="35"/>
      <c r="N361" s="36"/>
      <c r="O361" s="322"/>
      <c r="P361" s="38"/>
      <c r="Q361" s="38"/>
      <c r="R361" s="279"/>
      <c r="S361" s="40"/>
      <c r="T361" s="22"/>
      <c r="U361" s="41"/>
      <c r="V361" s="4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>
      <c r="B362" s="22"/>
      <c r="C362" s="30"/>
      <c r="D362" s="30"/>
      <c r="E362" s="30"/>
      <c r="F362" s="32"/>
      <c r="G362" s="32"/>
      <c r="H362" s="42"/>
      <c r="I362" s="34"/>
      <c r="J362" s="35"/>
      <c r="K362" s="35"/>
      <c r="L362" s="34"/>
      <c r="M362" s="35"/>
      <c r="N362" s="36"/>
      <c r="O362" s="322"/>
      <c r="P362" s="38"/>
      <c r="Q362" s="38"/>
      <c r="R362" s="279"/>
      <c r="S362" s="40"/>
      <c r="T362" s="22"/>
      <c r="U362" s="41"/>
      <c r="V362" s="4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>
      <c r="B363" s="22"/>
      <c r="C363" s="30"/>
      <c r="D363" s="30"/>
      <c r="E363" s="30"/>
      <c r="F363" s="32"/>
      <c r="G363" s="32"/>
      <c r="H363" s="42"/>
      <c r="I363" s="34"/>
      <c r="J363" s="35"/>
      <c r="K363" s="35"/>
      <c r="L363" s="34"/>
      <c r="M363" s="35"/>
      <c r="N363" s="36"/>
      <c r="O363" s="322"/>
      <c r="P363" s="38"/>
      <c r="Q363" s="38"/>
      <c r="R363" s="279"/>
      <c r="S363" s="40"/>
      <c r="T363" s="22"/>
      <c r="U363" s="41"/>
      <c r="V363" s="4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>
      <c r="B364" s="22"/>
      <c r="C364" s="30"/>
      <c r="D364" s="30"/>
      <c r="E364" s="30"/>
      <c r="F364" s="32"/>
      <c r="G364" s="32"/>
      <c r="H364" s="42"/>
      <c r="I364" s="34"/>
      <c r="J364" s="35"/>
      <c r="K364" s="35"/>
      <c r="L364" s="34"/>
      <c r="M364" s="35"/>
      <c r="N364" s="36"/>
      <c r="O364" s="322"/>
      <c r="P364" s="38"/>
      <c r="Q364" s="38"/>
      <c r="R364" s="279"/>
      <c r="S364" s="40"/>
      <c r="T364" s="22"/>
      <c r="U364" s="41"/>
      <c r="V364" s="4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>
      <c r="B365" s="22"/>
      <c r="C365" s="30"/>
      <c r="D365" s="30"/>
      <c r="E365" s="30"/>
      <c r="F365" s="32"/>
      <c r="G365" s="32"/>
      <c r="H365" s="42"/>
      <c r="I365" s="34"/>
      <c r="J365" s="35"/>
      <c r="K365" s="35"/>
      <c r="L365" s="34"/>
      <c r="M365" s="35"/>
      <c r="N365" s="36"/>
      <c r="O365" s="322"/>
      <c r="P365" s="38"/>
      <c r="Q365" s="38"/>
      <c r="R365" s="279"/>
      <c r="S365" s="40"/>
      <c r="T365" s="22"/>
      <c r="U365" s="41"/>
      <c r="V365" s="4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>
      <c r="B366" s="22"/>
      <c r="C366" s="30"/>
      <c r="D366" s="30"/>
      <c r="E366" s="30"/>
      <c r="F366" s="32"/>
      <c r="G366" s="32"/>
      <c r="H366" s="42"/>
      <c r="I366" s="34"/>
      <c r="J366" s="35"/>
      <c r="K366" s="35"/>
      <c r="L366" s="34"/>
      <c r="M366" s="35"/>
      <c r="N366" s="36"/>
      <c r="O366" s="322"/>
      <c r="P366" s="38"/>
      <c r="Q366" s="38"/>
      <c r="R366" s="279"/>
      <c r="S366" s="40"/>
      <c r="T366" s="22"/>
      <c r="U366" s="41"/>
      <c r="V366" s="4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>
      <c r="B367" s="22"/>
      <c r="C367" s="30"/>
      <c r="D367" s="30"/>
      <c r="E367" s="30"/>
      <c r="F367" s="32"/>
      <c r="G367" s="32"/>
      <c r="H367" s="42"/>
      <c r="I367" s="34"/>
      <c r="J367" s="35"/>
      <c r="K367" s="35"/>
      <c r="L367" s="34"/>
      <c r="M367" s="35"/>
      <c r="N367" s="36"/>
      <c r="O367" s="322"/>
      <c r="P367" s="38"/>
      <c r="Q367" s="38"/>
      <c r="R367" s="279"/>
      <c r="S367" s="40"/>
      <c r="T367" s="22"/>
      <c r="U367" s="41"/>
      <c r="V367" s="4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>
      <c r="B368" s="22"/>
      <c r="C368" s="30"/>
      <c r="D368" s="30"/>
      <c r="E368" s="30"/>
      <c r="F368" s="32"/>
      <c r="G368" s="32"/>
      <c r="H368" s="42"/>
      <c r="I368" s="34"/>
      <c r="J368" s="35"/>
      <c r="K368" s="35"/>
      <c r="L368" s="34"/>
      <c r="M368" s="35"/>
      <c r="N368" s="36"/>
      <c r="O368" s="322"/>
      <c r="P368" s="38"/>
      <c r="Q368" s="38"/>
      <c r="R368" s="279"/>
      <c r="S368" s="40"/>
      <c r="T368" s="22"/>
      <c r="U368" s="41"/>
      <c r="V368" s="4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>
      <c r="B369" s="22"/>
      <c r="C369" s="30"/>
      <c r="D369" s="30"/>
      <c r="E369" s="30"/>
      <c r="F369" s="32"/>
      <c r="G369" s="32"/>
      <c r="H369" s="42"/>
      <c r="I369" s="34"/>
      <c r="J369" s="35"/>
      <c r="K369" s="35"/>
      <c r="L369" s="34"/>
      <c r="M369" s="35"/>
      <c r="N369" s="36"/>
      <c r="O369" s="322"/>
      <c r="P369" s="38"/>
      <c r="Q369" s="38"/>
      <c r="R369" s="279"/>
      <c r="S369" s="40"/>
      <c r="T369" s="22"/>
      <c r="U369" s="41"/>
      <c r="V369" s="4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>
      <c r="B370" s="22"/>
      <c r="C370" s="30"/>
      <c r="D370" s="30"/>
      <c r="E370" s="30"/>
      <c r="F370" s="32"/>
      <c r="G370" s="32"/>
      <c r="H370" s="42"/>
      <c r="I370" s="34"/>
      <c r="J370" s="35"/>
      <c r="K370" s="35"/>
      <c r="L370" s="34"/>
      <c r="M370" s="35"/>
      <c r="N370" s="36"/>
      <c r="O370" s="322"/>
      <c r="P370" s="38"/>
      <c r="Q370" s="38"/>
      <c r="R370" s="279"/>
      <c r="S370" s="40"/>
      <c r="T370" s="22"/>
      <c r="U370" s="41"/>
      <c r="V370" s="4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>
      <c r="B371" s="22"/>
      <c r="C371" s="30"/>
      <c r="D371" s="30"/>
      <c r="E371" s="30"/>
      <c r="F371" s="32"/>
      <c r="G371" s="32"/>
      <c r="H371" s="42"/>
      <c r="I371" s="34"/>
      <c r="J371" s="35"/>
      <c r="K371" s="35"/>
      <c r="L371" s="34"/>
      <c r="M371" s="35"/>
      <c r="N371" s="36"/>
      <c r="O371" s="322"/>
      <c r="P371" s="38"/>
      <c r="Q371" s="38"/>
      <c r="R371" s="279"/>
      <c r="S371" s="40"/>
      <c r="T371" s="22"/>
      <c r="U371" s="41"/>
      <c r="V371" s="4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>
      <c r="B372" s="22"/>
      <c r="C372" s="30"/>
      <c r="D372" s="30"/>
      <c r="E372" s="30"/>
      <c r="F372" s="32"/>
      <c r="G372" s="32"/>
      <c r="H372" s="42"/>
      <c r="I372" s="34"/>
      <c r="J372" s="35"/>
      <c r="K372" s="35"/>
      <c r="L372" s="34"/>
      <c r="M372" s="35"/>
      <c r="N372" s="36"/>
      <c r="O372" s="322"/>
      <c r="P372" s="38"/>
      <c r="Q372" s="38"/>
      <c r="R372" s="279"/>
      <c r="S372" s="40"/>
      <c r="T372" s="22"/>
      <c r="U372" s="41"/>
      <c r="V372" s="4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>
      <c r="B373" s="22"/>
      <c r="C373" s="30"/>
      <c r="D373" s="30"/>
      <c r="E373" s="30"/>
      <c r="F373" s="32"/>
      <c r="G373" s="32"/>
      <c r="H373" s="42"/>
      <c r="I373" s="34"/>
      <c r="J373" s="35"/>
      <c r="K373" s="35"/>
      <c r="L373" s="34"/>
      <c r="M373" s="35"/>
      <c r="N373" s="36"/>
      <c r="O373" s="322"/>
      <c r="P373" s="38"/>
      <c r="Q373" s="38"/>
      <c r="R373" s="279"/>
      <c r="S373" s="40"/>
      <c r="T373" s="22"/>
      <c r="U373" s="41"/>
      <c r="V373" s="4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>
      <c r="B374" s="22"/>
      <c r="C374" s="30"/>
      <c r="D374" s="30"/>
      <c r="E374" s="30"/>
      <c r="F374" s="32"/>
      <c r="G374" s="32"/>
      <c r="H374" s="42"/>
      <c r="I374" s="34"/>
      <c r="J374" s="35"/>
      <c r="K374" s="35"/>
      <c r="L374" s="34"/>
      <c r="M374" s="35"/>
      <c r="N374" s="36"/>
      <c r="O374" s="322"/>
      <c r="P374" s="38"/>
      <c r="Q374" s="38"/>
      <c r="R374" s="279"/>
      <c r="S374" s="40"/>
      <c r="T374" s="22"/>
      <c r="U374" s="41"/>
      <c r="V374" s="4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>
      <c r="B375" s="22"/>
      <c r="C375" s="30"/>
      <c r="D375" s="30"/>
      <c r="E375" s="30"/>
      <c r="F375" s="32"/>
      <c r="G375" s="32"/>
      <c r="H375" s="42"/>
      <c r="I375" s="34"/>
      <c r="J375" s="35"/>
      <c r="K375" s="35"/>
      <c r="L375" s="34"/>
      <c r="M375" s="35"/>
      <c r="N375" s="36"/>
      <c r="O375" s="322"/>
      <c r="P375" s="38"/>
      <c r="Q375" s="38"/>
      <c r="R375" s="279"/>
      <c r="S375" s="40"/>
      <c r="T375" s="22"/>
      <c r="U375" s="41"/>
      <c r="V375" s="4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>
      <c r="B376" s="22"/>
      <c r="C376" s="30"/>
      <c r="D376" s="30"/>
      <c r="E376" s="30"/>
      <c r="F376" s="32"/>
      <c r="G376" s="32"/>
      <c r="H376" s="42"/>
      <c r="I376" s="34"/>
      <c r="J376" s="35"/>
      <c r="K376" s="35"/>
      <c r="L376" s="34"/>
      <c r="M376" s="35"/>
      <c r="N376" s="36"/>
      <c r="O376" s="322"/>
      <c r="P376" s="38"/>
      <c r="Q376" s="38"/>
      <c r="R376" s="279"/>
      <c r="S376" s="40"/>
      <c r="T376" s="22"/>
      <c r="U376" s="41"/>
      <c r="V376" s="4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>
      <c r="B377" s="22"/>
      <c r="C377" s="30"/>
      <c r="D377" s="30"/>
      <c r="E377" s="30"/>
      <c r="F377" s="32"/>
      <c r="G377" s="32"/>
      <c r="H377" s="42"/>
      <c r="I377" s="34"/>
      <c r="J377" s="35"/>
      <c r="K377" s="35"/>
      <c r="L377" s="34"/>
      <c r="M377" s="35"/>
      <c r="N377" s="36"/>
      <c r="O377" s="322"/>
      <c r="P377" s="38"/>
      <c r="Q377" s="38"/>
      <c r="R377" s="279"/>
      <c r="S377" s="40"/>
      <c r="T377" s="22"/>
      <c r="U377" s="41"/>
      <c r="V377" s="4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>
      <c r="B378" s="22"/>
      <c r="C378" s="30"/>
      <c r="D378" s="30"/>
      <c r="E378" s="30"/>
      <c r="F378" s="32"/>
      <c r="G378" s="32"/>
      <c r="H378" s="42"/>
      <c r="I378" s="34"/>
      <c r="J378" s="35"/>
      <c r="K378" s="35"/>
      <c r="L378" s="34"/>
      <c r="M378" s="35"/>
      <c r="N378" s="36"/>
      <c r="O378" s="322"/>
      <c r="P378" s="38"/>
      <c r="Q378" s="38"/>
      <c r="R378" s="279"/>
      <c r="S378" s="40"/>
      <c r="T378" s="22"/>
      <c r="U378" s="41"/>
      <c r="V378" s="4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>
      <c r="B379" s="22"/>
      <c r="C379" s="30"/>
      <c r="D379" s="30"/>
      <c r="E379" s="30"/>
      <c r="F379" s="32"/>
      <c r="G379" s="32"/>
      <c r="H379" s="42"/>
      <c r="I379" s="34"/>
      <c r="J379" s="35"/>
      <c r="K379" s="35"/>
      <c r="L379" s="34"/>
      <c r="M379" s="35"/>
      <c r="N379" s="36"/>
      <c r="O379" s="322"/>
      <c r="P379" s="38"/>
      <c r="Q379" s="38"/>
      <c r="R379" s="279"/>
      <c r="S379" s="40"/>
      <c r="T379" s="22"/>
      <c r="U379" s="41"/>
      <c r="V379" s="4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>
      <c r="B380" s="22"/>
      <c r="C380" s="30"/>
      <c r="D380" s="30"/>
      <c r="E380" s="30"/>
      <c r="F380" s="32"/>
      <c r="G380" s="32"/>
      <c r="H380" s="42"/>
      <c r="I380" s="34"/>
      <c r="J380" s="35"/>
      <c r="K380" s="35"/>
      <c r="L380" s="34"/>
      <c r="M380" s="35"/>
      <c r="N380" s="36"/>
      <c r="O380" s="322"/>
      <c r="P380" s="38"/>
      <c r="Q380" s="38"/>
      <c r="R380" s="279"/>
      <c r="S380" s="40"/>
      <c r="T380" s="22"/>
      <c r="U380" s="41"/>
      <c r="V380" s="4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>
      <c r="B381" s="22"/>
      <c r="C381" s="30"/>
      <c r="D381" s="30"/>
      <c r="E381" s="30"/>
      <c r="F381" s="32"/>
      <c r="G381" s="32"/>
      <c r="H381" s="42"/>
      <c r="I381" s="34"/>
      <c r="J381" s="35"/>
      <c r="K381" s="35"/>
      <c r="L381" s="34"/>
      <c r="M381" s="35"/>
      <c r="N381" s="36"/>
      <c r="O381" s="322"/>
      <c r="P381" s="38"/>
      <c r="Q381" s="38"/>
      <c r="R381" s="279"/>
      <c r="S381" s="40"/>
      <c r="T381" s="22"/>
      <c r="U381" s="41"/>
      <c r="V381" s="4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>
      <c r="B382" s="22"/>
      <c r="C382" s="30"/>
      <c r="D382" s="30"/>
      <c r="E382" s="30"/>
      <c r="F382" s="32"/>
      <c r="G382" s="32"/>
      <c r="H382" s="42"/>
      <c r="I382" s="34"/>
      <c r="J382" s="35"/>
      <c r="K382" s="35"/>
      <c r="L382" s="34"/>
      <c r="M382" s="35"/>
      <c r="N382" s="36"/>
      <c r="O382" s="322"/>
      <c r="P382" s="38"/>
      <c r="Q382" s="38"/>
      <c r="R382" s="279"/>
      <c r="S382" s="40"/>
      <c r="T382" s="22"/>
      <c r="U382" s="41"/>
      <c r="V382" s="4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>
      <c r="B383" s="22"/>
      <c r="C383" s="30"/>
      <c r="D383" s="30"/>
      <c r="E383" s="30"/>
      <c r="F383" s="32"/>
      <c r="G383" s="32"/>
      <c r="H383" s="42"/>
      <c r="I383" s="34"/>
      <c r="J383" s="35"/>
      <c r="K383" s="35"/>
      <c r="L383" s="34"/>
      <c r="M383" s="35"/>
      <c r="N383" s="36"/>
      <c r="O383" s="322"/>
      <c r="P383" s="38"/>
      <c r="Q383" s="38"/>
      <c r="R383" s="279"/>
      <c r="S383" s="40"/>
      <c r="T383" s="22"/>
      <c r="U383" s="41"/>
      <c r="V383" s="4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>
      <c r="B384" s="22"/>
      <c r="C384" s="30"/>
      <c r="D384" s="30"/>
      <c r="E384" s="30"/>
      <c r="F384" s="32"/>
      <c r="G384" s="32"/>
      <c r="H384" s="42"/>
      <c r="I384" s="34"/>
      <c r="J384" s="35"/>
      <c r="K384" s="35"/>
      <c r="L384" s="34"/>
      <c r="M384" s="35"/>
      <c r="N384" s="36"/>
      <c r="O384" s="322"/>
      <c r="P384" s="38"/>
      <c r="Q384" s="38"/>
      <c r="R384" s="279"/>
      <c r="S384" s="40"/>
      <c r="T384" s="22"/>
      <c r="U384" s="41"/>
      <c r="V384" s="4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>
      <c r="B385" s="22"/>
      <c r="C385" s="30"/>
      <c r="D385" s="30"/>
      <c r="E385" s="30"/>
      <c r="F385" s="32"/>
      <c r="G385" s="32"/>
      <c r="H385" s="42"/>
      <c r="I385" s="34"/>
      <c r="J385" s="35"/>
      <c r="K385" s="35"/>
      <c r="L385" s="34"/>
      <c r="M385" s="35"/>
      <c r="N385" s="36"/>
      <c r="O385" s="322"/>
      <c r="P385" s="38"/>
      <c r="Q385" s="38"/>
      <c r="R385" s="279"/>
      <c r="S385" s="40"/>
      <c r="T385" s="22"/>
      <c r="U385" s="41"/>
      <c r="V385" s="4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>
      <c r="B386" s="22"/>
      <c r="C386" s="30"/>
      <c r="D386" s="30"/>
      <c r="E386" s="30"/>
      <c r="F386" s="32"/>
      <c r="G386" s="32"/>
      <c r="H386" s="42"/>
      <c r="I386" s="34"/>
      <c r="J386" s="35"/>
      <c r="K386" s="35"/>
      <c r="L386" s="34"/>
      <c r="M386" s="35"/>
      <c r="N386" s="36"/>
      <c r="O386" s="322"/>
      <c r="P386" s="38"/>
      <c r="Q386" s="38"/>
      <c r="R386" s="279"/>
      <c r="S386" s="40"/>
      <c r="T386" s="22"/>
      <c r="U386" s="41"/>
      <c r="V386" s="4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>
      <c r="B387" s="22"/>
      <c r="C387" s="30"/>
      <c r="D387" s="30"/>
      <c r="E387" s="30"/>
      <c r="F387" s="32"/>
      <c r="G387" s="32"/>
      <c r="H387" s="42"/>
      <c r="I387" s="34"/>
      <c r="J387" s="35"/>
      <c r="K387" s="35"/>
      <c r="L387" s="34"/>
      <c r="M387" s="35"/>
      <c r="N387" s="36"/>
      <c r="O387" s="322"/>
      <c r="P387" s="38"/>
      <c r="Q387" s="38"/>
      <c r="R387" s="279"/>
      <c r="S387" s="40"/>
      <c r="T387" s="22"/>
      <c r="U387" s="41"/>
      <c r="V387" s="4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>
      <c r="B388" s="22"/>
      <c r="C388" s="30"/>
      <c r="D388" s="30"/>
      <c r="E388" s="30"/>
      <c r="F388" s="32"/>
      <c r="G388" s="32"/>
      <c r="H388" s="42"/>
      <c r="I388" s="34"/>
      <c r="J388" s="35"/>
      <c r="K388" s="35"/>
      <c r="L388" s="34"/>
      <c r="M388" s="35"/>
      <c r="N388" s="36"/>
      <c r="O388" s="322"/>
      <c r="P388" s="38"/>
      <c r="Q388" s="38"/>
      <c r="R388" s="279"/>
      <c r="S388" s="40"/>
      <c r="T388" s="22"/>
      <c r="U388" s="41"/>
      <c r="V388" s="4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>
      <c r="B389" s="22"/>
      <c r="C389" s="30"/>
      <c r="D389" s="30"/>
      <c r="E389" s="30"/>
      <c r="F389" s="32"/>
      <c r="G389" s="32"/>
      <c r="H389" s="42"/>
      <c r="I389" s="34"/>
      <c r="J389" s="35"/>
      <c r="K389" s="35"/>
      <c r="L389" s="34"/>
      <c r="M389" s="35"/>
      <c r="N389" s="36"/>
      <c r="O389" s="322"/>
      <c r="P389" s="38"/>
      <c r="Q389" s="38"/>
      <c r="R389" s="279"/>
      <c r="S389" s="40"/>
      <c r="T389" s="22"/>
      <c r="U389" s="41"/>
      <c r="V389" s="4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>
      <c r="B390" s="22"/>
      <c r="C390" s="30"/>
      <c r="D390" s="30"/>
      <c r="E390" s="30"/>
      <c r="F390" s="32"/>
      <c r="G390" s="32"/>
      <c r="H390" s="42"/>
      <c r="I390" s="34"/>
      <c r="J390" s="35"/>
      <c r="K390" s="35"/>
      <c r="L390" s="34"/>
      <c r="M390" s="35"/>
      <c r="N390" s="36"/>
      <c r="O390" s="322"/>
      <c r="P390" s="38"/>
      <c r="Q390" s="38"/>
      <c r="R390" s="279"/>
      <c r="S390" s="40"/>
      <c r="T390" s="22"/>
      <c r="U390" s="41"/>
      <c r="V390" s="4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>
      <c r="B391" s="22"/>
      <c r="C391" s="30"/>
      <c r="D391" s="30"/>
      <c r="E391" s="30"/>
      <c r="F391" s="32"/>
      <c r="G391" s="32"/>
      <c r="H391" s="42"/>
      <c r="I391" s="34"/>
      <c r="J391" s="35"/>
      <c r="K391" s="35"/>
      <c r="L391" s="34"/>
      <c r="M391" s="35"/>
      <c r="N391" s="36"/>
      <c r="O391" s="322"/>
      <c r="P391" s="38"/>
      <c r="Q391" s="38"/>
      <c r="R391" s="279"/>
      <c r="S391" s="40"/>
      <c r="T391" s="22"/>
      <c r="U391" s="41"/>
      <c r="V391" s="4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>
      <c r="B392" s="22"/>
      <c r="C392" s="30"/>
      <c r="D392" s="30"/>
      <c r="E392" s="30"/>
      <c r="F392" s="32"/>
      <c r="G392" s="32"/>
      <c r="H392" s="42"/>
      <c r="I392" s="34"/>
      <c r="J392" s="35"/>
      <c r="K392" s="35"/>
      <c r="L392" s="34"/>
      <c r="M392" s="35"/>
      <c r="N392" s="36"/>
      <c r="O392" s="322"/>
      <c r="P392" s="38"/>
      <c r="Q392" s="38"/>
      <c r="R392" s="279"/>
      <c r="S392" s="40"/>
      <c r="T392" s="22"/>
      <c r="U392" s="41"/>
      <c r="V392" s="4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>
      <c r="B393" s="22"/>
      <c r="C393" s="30"/>
      <c r="D393" s="30"/>
      <c r="E393" s="30"/>
      <c r="F393" s="32"/>
      <c r="G393" s="32"/>
      <c r="H393" s="42"/>
      <c r="I393" s="34"/>
      <c r="J393" s="35"/>
      <c r="K393" s="35"/>
      <c r="L393" s="34"/>
      <c r="M393" s="35"/>
      <c r="N393" s="36"/>
      <c r="O393" s="322"/>
      <c r="P393" s="38"/>
      <c r="Q393" s="38"/>
      <c r="R393" s="279"/>
      <c r="S393" s="40"/>
      <c r="T393" s="22"/>
      <c r="U393" s="41"/>
      <c r="V393" s="4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>
      <c r="B394" s="22"/>
      <c r="C394" s="30"/>
      <c r="D394" s="30"/>
      <c r="E394" s="30"/>
      <c r="F394" s="32"/>
      <c r="G394" s="32"/>
      <c r="H394" s="42"/>
      <c r="I394" s="34"/>
      <c r="J394" s="35"/>
      <c r="K394" s="35"/>
      <c r="L394" s="34"/>
      <c r="M394" s="35"/>
      <c r="N394" s="36"/>
      <c r="O394" s="322"/>
      <c r="P394" s="38"/>
      <c r="Q394" s="38"/>
      <c r="R394" s="279"/>
      <c r="S394" s="40"/>
      <c r="T394" s="22"/>
      <c r="U394" s="41"/>
      <c r="V394" s="4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>
      <c r="B395" s="22"/>
      <c r="C395" s="30"/>
      <c r="D395" s="30"/>
      <c r="E395" s="30"/>
      <c r="F395" s="32"/>
      <c r="G395" s="32"/>
      <c r="H395" s="42"/>
      <c r="I395" s="34"/>
      <c r="J395" s="35"/>
      <c r="K395" s="35"/>
      <c r="L395" s="34"/>
      <c r="M395" s="35"/>
      <c r="N395" s="36"/>
      <c r="O395" s="322"/>
      <c r="P395" s="38"/>
      <c r="Q395" s="38"/>
      <c r="R395" s="279"/>
      <c r="S395" s="40"/>
      <c r="T395" s="22"/>
      <c r="U395" s="41"/>
      <c r="V395" s="4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>
      <c r="B396" s="22"/>
      <c r="C396" s="30"/>
      <c r="D396" s="30"/>
      <c r="E396" s="30"/>
      <c r="F396" s="32"/>
      <c r="G396" s="32"/>
      <c r="H396" s="42"/>
      <c r="I396" s="34"/>
      <c r="J396" s="35"/>
      <c r="K396" s="35"/>
      <c r="L396" s="34"/>
      <c r="M396" s="35"/>
      <c r="N396" s="36"/>
      <c r="O396" s="322"/>
      <c r="P396" s="38"/>
      <c r="Q396" s="38"/>
      <c r="R396" s="279"/>
      <c r="S396" s="40"/>
      <c r="T396" s="22"/>
      <c r="U396" s="41"/>
      <c r="V396" s="4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>
      <c r="B397" s="22"/>
      <c r="C397" s="30"/>
      <c r="D397" s="30"/>
      <c r="E397" s="30"/>
      <c r="F397" s="32"/>
      <c r="G397" s="32"/>
      <c r="H397" s="42"/>
      <c r="I397" s="34"/>
      <c r="J397" s="35"/>
      <c r="K397" s="35"/>
      <c r="L397" s="34"/>
      <c r="M397" s="35"/>
      <c r="N397" s="36"/>
      <c r="O397" s="322"/>
      <c r="P397" s="38"/>
      <c r="Q397" s="38"/>
      <c r="R397" s="279"/>
      <c r="S397" s="40"/>
      <c r="T397" s="22"/>
      <c r="U397" s="41"/>
      <c r="V397" s="4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>
      <c r="B398" s="22"/>
      <c r="C398" s="30"/>
      <c r="D398" s="30"/>
      <c r="E398" s="30"/>
      <c r="F398" s="32"/>
      <c r="G398" s="32"/>
      <c r="H398" s="42"/>
      <c r="I398" s="34"/>
      <c r="J398" s="35"/>
      <c r="K398" s="35"/>
      <c r="L398" s="34"/>
      <c r="M398" s="35"/>
      <c r="N398" s="36"/>
      <c r="O398" s="322"/>
      <c r="P398" s="38"/>
      <c r="Q398" s="38"/>
      <c r="R398" s="279"/>
      <c r="S398" s="40"/>
      <c r="T398" s="22"/>
      <c r="U398" s="41"/>
      <c r="V398" s="4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>
      <c r="B399" s="22"/>
      <c r="C399" s="30"/>
      <c r="D399" s="30"/>
      <c r="E399" s="30"/>
      <c r="F399" s="32"/>
      <c r="G399" s="32"/>
      <c r="H399" s="42"/>
      <c r="I399" s="34"/>
      <c r="J399" s="35"/>
      <c r="K399" s="35"/>
      <c r="L399" s="34"/>
      <c r="M399" s="35"/>
      <c r="N399" s="36"/>
      <c r="O399" s="322"/>
      <c r="P399" s="38"/>
      <c r="Q399" s="38"/>
      <c r="R399" s="279"/>
      <c r="S399" s="40"/>
      <c r="T399" s="22"/>
      <c r="U399" s="41"/>
      <c r="V399" s="4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>
      <c r="B400" s="22"/>
      <c r="C400" s="30"/>
      <c r="D400" s="30"/>
      <c r="E400" s="30"/>
      <c r="F400" s="32"/>
      <c r="G400" s="32"/>
      <c r="H400" s="42"/>
      <c r="I400" s="34"/>
      <c r="J400" s="35"/>
      <c r="K400" s="35"/>
      <c r="L400" s="34"/>
      <c r="M400" s="35"/>
      <c r="N400" s="36"/>
      <c r="O400" s="322"/>
      <c r="P400" s="38"/>
      <c r="Q400" s="38"/>
      <c r="R400" s="279"/>
      <c r="S400" s="40"/>
      <c r="T400" s="22"/>
      <c r="U400" s="41"/>
      <c r="V400" s="4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>
      <c r="B401" s="22"/>
      <c r="C401" s="30"/>
      <c r="D401" s="30"/>
      <c r="E401" s="30"/>
      <c r="F401" s="32"/>
      <c r="G401" s="32"/>
      <c r="H401" s="42"/>
      <c r="I401" s="34"/>
      <c r="J401" s="35"/>
      <c r="K401" s="35"/>
      <c r="L401" s="34"/>
      <c r="M401" s="35"/>
      <c r="N401" s="36"/>
      <c r="O401" s="322"/>
      <c r="P401" s="38"/>
      <c r="Q401" s="38"/>
      <c r="R401" s="279"/>
      <c r="S401" s="40"/>
      <c r="T401" s="22"/>
      <c r="U401" s="41"/>
      <c r="V401" s="4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>
      <c r="B402" s="22"/>
      <c r="C402" s="30"/>
      <c r="D402" s="30"/>
      <c r="E402" s="30"/>
      <c r="F402" s="32"/>
      <c r="G402" s="32"/>
      <c r="H402" s="42"/>
      <c r="I402" s="34"/>
      <c r="J402" s="35"/>
      <c r="K402" s="35"/>
      <c r="L402" s="34"/>
      <c r="M402" s="35"/>
      <c r="N402" s="36"/>
      <c r="O402" s="322"/>
      <c r="P402" s="38"/>
      <c r="Q402" s="38"/>
      <c r="R402" s="279"/>
      <c r="S402" s="40"/>
      <c r="T402" s="22"/>
      <c r="U402" s="41"/>
      <c r="V402" s="4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>
      <c r="B403" s="22"/>
      <c r="C403" s="30"/>
      <c r="D403" s="30"/>
      <c r="E403" s="30"/>
      <c r="F403" s="32"/>
      <c r="G403" s="32"/>
      <c r="H403" s="42"/>
      <c r="I403" s="34"/>
      <c r="J403" s="35"/>
      <c r="K403" s="35"/>
      <c r="L403" s="34"/>
      <c r="M403" s="35"/>
      <c r="N403" s="36"/>
      <c r="O403" s="322"/>
      <c r="P403" s="38"/>
      <c r="Q403" s="38"/>
      <c r="R403" s="279"/>
      <c r="S403" s="40"/>
      <c r="T403" s="22"/>
      <c r="U403" s="41"/>
      <c r="V403" s="4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>
      <c r="B404" s="22"/>
      <c r="C404" s="30"/>
      <c r="D404" s="30"/>
      <c r="E404" s="30"/>
      <c r="F404" s="32"/>
      <c r="G404" s="32"/>
      <c r="H404" s="42"/>
      <c r="I404" s="34"/>
      <c r="J404" s="35"/>
      <c r="K404" s="35"/>
      <c r="L404" s="34"/>
      <c r="M404" s="35"/>
      <c r="N404" s="36"/>
      <c r="O404" s="322"/>
      <c r="P404" s="38"/>
      <c r="Q404" s="38"/>
      <c r="R404" s="279"/>
      <c r="S404" s="40"/>
      <c r="T404" s="22"/>
      <c r="U404" s="41"/>
      <c r="V404" s="4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>
      <c r="B405" s="22"/>
      <c r="C405" s="30"/>
      <c r="D405" s="30"/>
      <c r="E405" s="30"/>
      <c r="F405" s="32"/>
      <c r="G405" s="32"/>
      <c r="H405" s="42"/>
      <c r="I405" s="34"/>
      <c r="J405" s="35"/>
      <c r="K405" s="35"/>
      <c r="L405" s="34"/>
      <c r="M405" s="35"/>
      <c r="N405" s="36"/>
      <c r="O405" s="322"/>
      <c r="P405" s="38"/>
      <c r="Q405" s="38"/>
      <c r="R405" s="279"/>
      <c r="S405" s="40"/>
      <c r="T405" s="22"/>
      <c r="U405" s="41"/>
      <c r="V405" s="4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>
      <c r="B406" s="22"/>
      <c r="C406" s="30"/>
      <c r="D406" s="30"/>
      <c r="E406" s="30"/>
      <c r="F406" s="32"/>
      <c r="G406" s="32"/>
      <c r="H406" s="42"/>
      <c r="I406" s="34"/>
      <c r="J406" s="35"/>
      <c r="K406" s="35"/>
      <c r="L406" s="34"/>
      <c r="M406" s="35"/>
      <c r="N406" s="36"/>
      <c r="O406" s="322"/>
      <c r="P406" s="38"/>
      <c r="Q406" s="38"/>
      <c r="R406" s="279"/>
      <c r="S406" s="40"/>
      <c r="T406" s="22"/>
      <c r="U406" s="41"/>
      <c r="V406" s="4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>
      <c r="B407" s="22"/>
      <c r="C407" s="30"/>
      <c r="D407" s="30"/>
      <c r="E407" s="30"/>
      <c r="F407" s="32"/>
      <c r="G407" s="32"/>
      <c r="H407" s="42"/>
      <c r="I407" s="34"/>
      <c r="J407" s="35"/>
      <c r="K407" s="35"/>
      <c r="L407" s="34"/>
      <c r="M407" s="35"/>
      <c r="N407" s="36"/>
      <c r="O407" s="322"/>
      <c r="P407" s="38"/>
      <c r="Q407" s="38"/>
      <c r="R407" s="279"/>
      <c r="S407" s="40"/>
      <c r="T407" s="22"/>
      <c r="U407" s="41"/>
      <c r="V407" s="4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>
      <c r="B408" s="22"/>
      <c r="C408" s="30"/>
      <c r="D408" s="30"/>
      <c r="E408" s="30"/>
      <c r="F408" s="32"/>
      <c r="G408" s="32"/>
      <c r="H408" s="42"/>
      <c r="I408" s="34"/>
      <c r="J408" s="35"/>
      <c r="K408" s="35"/>
      <c r="L408" s="34"/>
      <c r="M408" s="35"/>
      <c r="N408" s="36"/>
      <c r="O408" s="322"/>
      <c r="P408" s="38"/>
      <c r="Q408" s="38"/>
      <c r="R408" s="279"/>
      <c r="S408" s="40"/>
      <c r="T408" s="22"/>
      <c r="U408" s="41"/>
      <c r="V408" s="4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>
      <c r="B409" s="22"/>
      <c r="C409" s="30"/>
      <c r="D409" s="30"/>
      <c r="E409" s="30"/>
      <c r="F409" s="32"/>
      <c r="G409" s="32"/>
      <c r="H409" s="42"/>
      <c r="I409" s="34"/>
      <c r="J409" s="35"/>
      <c r="K409" s="35"/>
      <c r="L409" s="34"/>
      <c r="M409" s="35"/>
      <c r="N409" s="36"/>
      <c r="O409" s="322"/>
      <c r="P409" s="38"/>
      <c r="Q409" s="38"/>
      <c r="R409" s="279"/>
      <c r="S409" s="40"/>
      <c r="T409" s="22"/>
      <c r="U409" s="41"/>
      <c r="V409" s="4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>
      <c r="B410" s="22"/>
      <c r="C410" s="30"/>
      <c r="D410" s="30"/>
      <c r="E410" s="30"/>
      <c r="F410" s="32"/>
      <c r="G410" s="32"/>
      <c r="H410" s="42"/>
      <c r="I410" s="34"/>
      <c r="J410" s="35"/>
      <c r="K410" s="35"/>
      <c r="L410" s="34"/>
      <c r="M410" s="35"/>
      <c r="N410" s="36"/>
      <c r="O410" s="322"/>
      <c r="P410" s="38"/>
      <c r="Q410" s="38"/>
      <c r="R410" s="279"/>
      <c r="S410" s="40"/>
      <c r="T410" s="22"/>
      <c r="U410" s="41"/>
      <c r="V410" s="4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>
      <c r="B411" s="22"/>
      <c r="C411" s="30"/>
      <c r="D411" s="30"/>
      <c r="E411" s="30"/>
      <c r="F411" s="32"/>
      <c r="G411" s="32"/>
      <c r="H411" s="42"/>
      <c r="I411" s="34"/>
      <c r="J411" s="35"/>
      <c r="K411" s="35"/>
      <c r="L411" s="34"/>
      <c r="M411" s="35"/>
      <c r="N411" s="36"/>
      <c r="O411" s="322"/>
      <c r="P411" s="38"/>
      <c r="Q411" s="38"/>
      <c r="R411" s="279"/>
      <c r="S411" s="40"/>
      <c r="T411" s="22"/>
      <c r="U411" s="41"/>
      <c r="V411" s="4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>
      <c r="B412" s="22"/>
      <c r="C412" s="30"/>
      <c r="D412" s="30"/>
      <c r="E412" s="30"/>
      <c r="F412" s="32"/>
      <c r="G412" s="32"/>
      <c r="H412" s="42"/>
      <c r="I412" s="34"/>
      <c r="J412" s="35"/>
      <c r="K412" s="35"/>
      <c r="L412" s="34"/>
      <c r="M412" s="35"/>
      <c r="N412" s="36"/>
      <c r="O412" s="322"/>
      <c r="P412" s="38"/>
      <c r="Q412" s="38"/>
      <c r="R412" s="279"/>
      <c r="S412" s="40"/>
      <c r="T412" s="22"/>
      <c r="U412" s="41"/>
      <c r="V412" s="4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>
      <c r="B413" s="22"/>
      <c r="C413" s="30"/>
      <c r="D413" s="30"/>
      <c r="E413" s="30"/>
      <c r="F413" s="32"/>
      <c r="G413" s="32"/>
      <c r="H413" s="42"/>
      <c r="I413" s="34"/>
      <c r="J413" s="35"/>
      <c r="K413" s="35"/>
      <c r="L413" s="34"/>
      <c r="M413" s="35"/>
      <c r="N413" s="36"/>
      <c r="O413" s="322"/>
      <c r="P413" s="38"/>
      <c r="Q413" s="38"/>
      <c r="R413" s="279"/>
      <c r="S413" s="40"/>
      <c r="T413" s="22"/>
      <c r="U413" s="41"/>
      <c r="V413" s="4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>
      <c r="B414" s="22"/>
      <c r="C414" s="30"/>
      <c r="D414" s="30"/>
      <c r="E414" s="30"/>
      <c r="F414" s="32"/>
      <c r="G414" s="32"/>
      <c r="H414" s="42"/>
      <c r="I414" s="34"/>
      <c r="J414" s="35"/>
      <c r="K414" s="35"/>
      <c r="L414" s="34"/>
      <c r="M414" s="35"/>
      <c r="N414" s="36"/>
      <c r="O414" s="322"/>
      <c r="P414" s="38"/>
      <c r="Q414" s="38"/>
      <c r="R414" s="279"/>
      <c r="S414" s="40"/>
      <c r="T414" s="22"/>
      <c r="U414" s="41"/>
      <c r="V414" s="4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>
      <c r="B415" s="22"/>
      <c r="C415" s="30"/>
      <c r="D415" s="30"/>
      <c r="E415" s="30"/>
      <c r="F415" s="32"/>
      <c r="G415" s="32"/>
      <c r="H415" s="42"/>
      <c r="I415" s="34"/>
      <c r="J415" s="35"/>
      <c r="K415" s="35"/>
      <c r="L415" s="34"/>
      <c r="M415" s="35"/>
      <c r="N415" s="36"/>
      <c r="O415" s="322"/>
      <c r="P415" s="38"/>
      <c r="Q415" s="38"/>
      <c r="R415" s="279"/>
      <c r="S415" s="40"/>
      <c r="T415" s="22"/>
      <c r="U415" s="41"/>
      <c r="V415" s="4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>
      <c r="B416" s="22"/>
      <c r="C416" s="30"/>
      <c r="D416" s="30"/>
      <c r="E416" s="30"/>
      <c r="F416" s="32"/>
      <c r="G416" s="32"/>
      <c r="H416" s="42"/>
      <c r="I416" s="34"/>
      <c r="J416" s="35"/>
      <c r="K416" s="35"/>
      <c r="L416" s="34"/>
      <c r="M416" s="35"/>
      <c r="N416" s="36"/>
      <c r="O416" s="322"/>
      <c r="P416" s="38"/>
      <c r="Q416" s="38"/>
      <c r="R416" s="279"/>
      <c r="S416" s="40"/>
      <c r="T416" s="22"/>
      <c r="U416" s="41"/>
      <c r="V416" s="4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>
      <c r="B417" s="22"/>
      <c r="C417" s="30"/>
      <c r="D417" s="30"/>
      <c r="E417" s="30"/>
      <c r="F417" s="32"/>
      <c r="G417" s="32"/>
      <c r="H417" s="42"/>
      <c r="I417" s="34"/>
      <c r="J417" s="35"/>
      <c r="K417" s="35"/>
      <c r="L417" s="34"/>
      <c r="M417" s="35"/>
      <c r="N417" s="36"/>
      <c r="O417" s="322"/>
      <c r="P417" s="38"/>
      <c r="Q417" s="38"/>
      <c r="R417" s="279"/>
      <c r="S417" s="40"/>
      <c r="T417" s="22"/>
      <c r="U417" s="41"/>
      <c r="V417" s="4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>
      <c r="B418" s="22"/>
      <c r="C418" s="30"/>
      <c r="D418" s="30"/>
      <c r="E418" s="30"/>
      <c r="F418" s="32"/>
      <c r="G418" s="32"/>
      <c r="H418" s="42"/>
      <c r="I418" s="34"/>
      <c r="J418" s="35"/>
      <c r="K418" s="35"/>
      <c r="L418" s="34"/>
      <c r="M418" s="35"/>
      <c r="N418" s="36"/>
      <c r="O418" s="322"/>
      <c r="P418" s="38"/>
      <c r="Q418" s="38"/>
      <c r="R418" s="279"/>
      <c r="S418" s="40"/>
      <c r="T418" s="22"/>
      <c r="U418" s="41"/>
      <c r="V418" s="4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>
      <c r="B419" s="22"/>
      <c r="C419" s="30"/>
      <c r="D419" s="30"/>
      <c r="E419" s="30"/>
      <c r="F419" s="32"/>
      <c r="G419" s="32"/>
      <c r="H419" s="42"/>
      <c r="I419" s="34"/>
      <c r="J419" s="35"/>
      <c r="K419" s="35"/>
      <c r="L419" s="34"/>
      <c r="M419" s="35"/>
      <c r="N419" s="36"/>
      <c r="O419" s="322"/>
      <c r="P419" s="38"/>
      <c r="Q419" s="38"/>
      <c r="R419" s="279"/>
      <c r="S419" s="40"/>
      <c r="T419" s="22"/>
      <c r="U419" s="41"/>
      <c r="V419" s="4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>
      <c r="B420" s="22"/>
      <c r="C420" s="30"/>
      <c r="D420" s="30"/>
      <c r="E420" s="30"/>
      <c r="F420" s="32"/>
      <c r="G420" s="32"/>
      <c r="H420" s="42"/>
      <c r="I420" s="34"/>
      <c r="J420" s="35"/>
      <c r="K420" s="35"/>
      <c r="L420" s="34"/>
      <c r="M420" s="35"/>
      <c r="N420" s="36"/>
      <c r="O420" s="322"/>
      <c r="P420" s="38"/>
      <c r="Q420" s="38"/>
      <c r="R420" s="279"/>
      <c r="S420" s="40"/>
      <c r="T420" s="22"/>
      <c r="U420" s="41"/>
      <c r="V420" s="4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>
      <c r="B421" s="22"/>
      <c r="C421" s="30"/>
      <c r="D421" s="30"/>
      <c r="E421" s="30"/>
      <c r="F421" s="32"/>
      <c r="G421" s="32"/>
      <c r="H421" s="42"/>
      <c r="I421" s="34"/>
      <c r="J421" s="35"/>
      <c r="K421" s="35"/>
      <c r="L421" s="34"/>
      <c r="M421" s="35"/>
      <c r="N421" s="36"/>
      <c r="O421" s="322"/>
      <c r="P421" s="38"/>
      <c r="Q421" s="38"/>
      <c r="R421" s="279"/>
      <c r="S421" s="40"/>
      <c r="T421" s="22"/>
      <c r="U421" s="41"/>
      <c r="V421" s="4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>
      <c r="B422" s="22"/>
      <c r="C422" s="30"/>
      <c r="D422" s="30"/>
      <c r="E422" s="30"/>
      <c r="F422" s="32"/>
      <c r="G422" s="32"/>
      <c r="H422" s="42"/>
      <c r="I422" s="34"/>
      <c r="J422" s="35"/>
      <c r="K422" s="35"/>
      <c r="L422" s="34"/>
      <c r="M422" s="35"/>
      <c r="N422" s="36"/>
      <c r="O422" s="322"/>
      <c r="P422" s="38"/>
      <c r="Q422" s="38"/>
      <c r="R422" s="279"/>
      <c r="S422" s="40"/>
      <c r="T422" s="22"/>
      <c r="U422" s="41"/>
      <c r="V422" s="4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>
      <c r="B423" s="22"/>
      <c r="C423" s="30"/>
      <c r="D423" s="30"/>
      <c r="E423" s="30"/>
      <c r="F423" s="32"/>
      <c r="G423" s="32"/>
      <c r="H423" s="42"/>
      <c r="I423" s="34"/>
      <c r="J423" s="35"/>
      <c r="K423" s="35"/>
      <c r="L423" s="34"/>
      <c r="M423" s="35"/>
      <c r="N423" s="36"/>
      <c r="O423" s="322"/>
      <c r="P423" s="38"/>
      <c r="Q423" s="38"/>
      <c r="R423" s="279"/>
      <c r="S423" s="40"/>
      <c r="T423" s="22"/>
      <c r="U423" s="41"/>
      <c r="V423" s="4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>
      <c r="B424" s="22"/>
      <c r="C424" s="30"/>
      <c r="D424" s="30"/>
      <c r="E424" s="30"/>
      <c r="F424" s="32"/>
      <c r="G424" s="32"/>
      <c r="H424" s="42"/>
      <c r="I424" s="34"/>
      <c r="J424" s="35"/>
      <c r="K424" s="35"/>
      <c r="L424" s="34"/>
      <c r="M424" s="35"/>
      <c r="N424" s="36"/>
      <c r="O424" s="322"/>
      <c r="P424" s="38"/>
      <c r="Q424" s="38"/>
      <c r="R424" s="279"/>
      <c r="S424" s="40"/>
      <c r="T424" s="22"/>
      <c r="U424" s="41"/>
      <c r="V424" s="4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>
      <c r="B425" s="22"/>
      <c r="C425" s="30"/>
      <c r="D425" s="30"/>
      <c r="E425" s="30"/>
      <c r="F425" s="32"/>
      <c r="G425" s="32"/>
      <c r="H425" s="42"/>
      <c r="I425" s="34"/>
      <c r="J425" s="35"/>
      <c r="K425" s="35"/>
      <c r="L425" s="34"/>
      <c r="M425" s="35"/>
      <c r="N425" s="36"/>
      <c r="O425" s="322"/>
      <c r="P425" s="38"/>
      <c r="Q425" s="38"/>
      <c r="R425" s="279"/>
      <c r="S425" s="40"/>
      <c r="T425" s="22"/>
      <c r="U425" s="41"/>
      <c r="V425" s="4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>
      <c r="B426" s="22"/>
      <c r="C426" s="30"/>
      <c r="D426" s="30"/>
      <c r="E426" s="30"/>
      <c r="F426" s="32"/>
      <c r="G426" s="32"/>
      <c r="H426" s="42"/>
      <c r="I426" s="34"/>
      <c r="J426" s="35"/>
      <c r="K426" s="35"/>
      <c r="L426" s="34"/>
      <c r="M426" s="35"/>
      <c r="N426" s="36"/>
      <c r="O426" s="322"/>
      <c r="P426" s="38"/>
      <c r="Q426" s="38"/>
      <c r="R426" s="279"/>
      <c r="S426" s="40"/>
      <c r="T426" s="22"/>
      <c r="U426" s="41"/>
      <c r="V426" s="4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>
      <c r="B427" s="22"/>
      <c r="C427" s="30"/>
      <c r="D427" s="30"/>
      <c r="E427" s="30"/>
      <c r="F427" s="32"/>
      <c r="G427" s="32"/>
      <c r="H427" s="42"/>
      <c r="I427" s="34"/>
      <c r="J427" s="35"/>
      <c r="K427" s="35"/>
      <c r="L427" s="34"/>
      <c r="M427" s="35"/>
      <c r="N427" s="36"/>
      <c r="O427" s="322"/>
      <c r="P427" s="38"/>
      <c r="Q427" s="38"/>
      <c r="R427" s="279"/>
      <c r="S427" s="40"/>
      <c r="T427" s="22"/>
      <c r="U427" s="41"/>
      <c r="V427" s="4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>
      <c r="B428" s="22"/>
      <c r="C428" s="30"/>
      <c r="D428" s="30"/>
      <c r="E428" s="30"/>
      <c r="F428" s="32"/>
      <c r="G428" s="32"/>
      <c r="H428" s="42"/>
      <c r="I428" s="34"/>
      <c r="J428" s="35"/>
      <c r="K428" s="35"/>
      <c r="L428" s="34"/>
      <c r="M428" s="35"/>
      <c r="N428" s="36"/>
      <c r="O428" s="322"/>
      <c r="P428" s="38"/>
      <c r="Q428" s="38"/>
      <c r="R428" s="279"/>
      <c r="S428" s="40"/>
      <c r="T428" s="22"/>
      <c r="U428" s="41"/>
      <c r="V428" s="4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>
      <c r="B429" s="22"/>
      <c r="C429" s="30"/>
      <c r="D429" s="30"/>
      <c r="E429" s="30"/>
      <c r="F429" s="32"/>
      <c r="G429" s="32"/>
      <c r="H429" s="42"/>
      <c r="I429" s="34"/>
      <c r="J429" s="35"/>
      <c r="K429" s="35"/>
      <c r="L429" s="34"/>
      <c r="M429" s="35"/>
      <c r="N429" s="36"/>
      <c r="O429" s="322"/>
      <c r="P429" s="38"/>
      <c r="Q429" s="38"/>
      <c r="R429" s="279"/>
      <c r="S429" s="40"/>
      <c r="T429" s="22"/>
      <c r="U429" s="41"/>
      <c r="V429" s="4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>
      <c r="B430" s="22"/>
      <c r="C430" s="30"/>
      <c r="D430" s="30"/>
      <c r="E430" s="30"/>
      <c r="F430" s="32"/>
      <c r="G430" s="32"/>
      <c r="H430" s="42"/>
      <c r="I430" s="34"/>
      <c r="J430" s="35"/>
      <c r="K430" s="35"/>
      <c r="L430" s="34"/>
      <c r="M430" s="35"/>
      <c r="N430" s="36"/>
      <c r="O430" s="322"/>
      <c r="P430" s="38"/>
      <c r="Q430" s="38"/>
      <c r="R430" s="279"/>
      <c r="S430" s="40"/>
      <c r="T430" s="22"/>
      <c r="U430" s="41"/>
      <c r="V430" s="4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>
      <c r="B431" s="22"/>
      <c r="C431" s="30"/>
      <c r="D431" s="30"/>
      <c r="E431" s="30"/>
      <c r="F431" s="32"/>
      <c r="G431" s="32"/>
      <c r="H431" s="42"/>
      <c r="I431" s="34"/>
      <c r="J431" s="35"/>
      <c r="K431" s="35"/>
      <c r="L431" s="34"/>
      <c r="M431" s="35"/>
      <c r="N431" s="36"/>
      <c r="O431" s="322"/>
      <c r="P431" s="38"/>
      <c r="Q431" s="38"/>
      <c r="R431" s="279"/>
      <c r="S431" s="40"/>
      <c r="T431" s="22"/>
      <c r="U431" s="41"/>
      <c r="V431" s="4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>
      <c r="B432" s="22"/>
      <c r="C432" s="30"/>
      <c r="D432" s="30"/>
      <c r="E432" s="30"/>
      <c r="F432" s="32"/>
      <c r="G432" s="32"/>
      <c r="H432" s="42"/>
      <c r="I432" s="34"/>
      <c r="J432" s="35"/>
      <c r="K432" s="35"/>
      <c r="L432" s="34"/>
      <c r="M432" s="35"/>
      <c r="N432" s="36"/>
      <c r="O432" s="322"/>
      <c r="P432" s="38"/>
      <c r="Q432" s="38"/>
      <c r="R432" s="279"/>
      <c r="S432" s="40"/>
      <c r="T432" s="22"/>
      <c r="U432" s="41"/>
      <c r="V432" s="4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>
      <c r="B433" s="22"/>
      <c r="C433" s="30"/>
      <c r="D433" s="30"/>
      <c r="E433" s="30"/>
      <c r="F433" s="32"/>
      <c r="G433" s="32"/>
      <c r="H433" s="42"/>
      <c r="I433" s="34"/>
      <c r="J433" s="35"/>
      <c r="K433" s="35"/>
      <c r="L433" s="34"/>
      <c r="M433" s="35"/>
      <c r="N433" s="36"/>
      <c r="O433" s="322"/>
      <c r="P433" s="38"/>
      <c r="Q433" s="38"/>
      <c r="R433" s="279"/>
      <c r="S433" s="40"/>
      <c r="T433" s="22"/>
      <c r="U433" s="41"/>
      <c r="V433" s="4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>
      <c r="B434" s="22"/>
      <c r="C434" s="30"/>
      <c r="D434" s="30"/>
      <c r="E434" s="30"/>
      <c r="F434" s="32"/>
      <c r="G434" s="32"/>
      <c r="H434" s="42"/>
      <c r="I434" s="34"/>
      <c r="J434" s="35"/>
      <c r="K434" s="35"/>
      <c r="L434" s="34"/>
      <c r="M434" s="35"/>
      <c r="N434" s="36"/>
      <c r="O434" s="322"/>
      <c r="P434" s="38"/>
      <c r="Q434" s="38"/>
      <c r="R434" s="279"/>
      <c r="S434" s="40"/>
      <c r="T434" s="22"/>
      <c r="U434" s="41"/>
      <c r="V434" s="4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>
      <c r="B435" s="22"/>
      <c r="C435" s="30"/>
      <c r="D435" s="30"/>
      <c r="E435" s="30"/>
      <c r="F435" s="32"/>
      <c r="G435" s="32"/>
      <c r="H435" s="42"/>
      <c r="I435" s="34"/>
      <c r="J435" s="35"/>
      <c r="K435" s="35"/>
      <c r="L435" s="34"/>
      <c r="M435" s="35"/>
      <c r="N435" s="36"/>
      <c r="O435" s="322"/>
      <c r="P435" s="38"/>
      <c r="Q435" s="38"/>
      <c r="R435" s="279"/>
      <c r="S435" s="40"/>
      <c r="T435" s="22"/>
      <c r="U435" s="41"/>
      <c r="V435" s="4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>
      <c r="B436" s="22"/>
      <c r="C436" s="30"/>
      <c r="D436" s="30"/>
      <c r="E436" s="30"/>
      <c r="F436" s="32"/>
      <c r="G436" s="32"/>
      <c r="H436" s="42"/>
      <c r="I436" s="34"/>
      <c r="J436" s="35"/>
      <c r="K436" s="35"/>
      <c r="L436" s="34"/>
      <c r="M436" s="35"/>
      <c r="N436" s="36"/>
      <c r="O436" s="322"/>
      <c r="P436" s="38"/>
      <c r="Q436" s="38"/>
      <c r="R436" s="279"/>
      <c r="S436" s="40"/>
      <c r="T436" s="22"/>
      <c r="U436" s="41"/>
      <c r="V436" s="4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>
      <c r="B437" s="22"/>
      <c r="C437" s="30"/>
      <c r="D437" s="30"/>
      <c r="E437" s="30"/>
      <c r="F437" s="32"/>
      <c r="G437" s="32"/>
      <c r="H437" s="42"/>
      <c r="I437" s="34"/>
      <c r="J437" s="35"/>
      <c r="K437" s="35"/>
      <c r="L437" s="34"/>
      <c r="M437" s="35"/>
      <c r="N437" s="36"/>
      <c r="O437" s="322"/>
      <c r="P437" s="38"/>
      <c r="Q437" s="38"/>
      <c r="R437" s="279"/>
      <c r="S437" s="40"/>
      <c r="T437" s="22"/>
      <c r="U437" s="41"/>
      <c r="V437" s="4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>
      <c r="B438" s="22"/>
      <c r="C438" s="30"/>
      <c r="D438" s="30"/>
      <c r="E438" s="30"/>
      <c r="F438" s="32"/>
      <c r="G438" s="32"/>
      <c r="H438" s="42"/>
      <c r="I438" s="34"/>
      <c r="J438" s="35"/>
      <c r="K438" s="35"/>
      <c r="L438" s="34"/>
      <c r="M438" s="35"/>
      <c r="N438" s="36"/>
      <c r="O438" s="322"/>
      <c r="P438" s="38"/>
      <c r="Q438" s="38"/>
      <c r="R438" s="279"/>
      <c r="S438" s="40"/>
      <c r="T438" s="22"/>
      <c r="U438" s="41"/>
      <c r="V438" s="4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>
      <c r="B439" s="22"/>
      <c r="C439" s="30"/>
      <c r="D439" s="30"/>
      <c r="E439" s="30"/>
      <c r="F439" s="32"/>
      <c r="G439" s="32"/>
      <c r="H439" s="42"/>
      <c r="I439" s="34"/>
      <c r="J439" s="35"/>
      <c r="K439" s="35"/>
      <c r="L439" s="34"/>
      <c r="M439" s="35"/>
      <c r="N439" s="36"/>
      <c r="O439" s="322"/>
      <c r="P439" s="38"/>
      <c r="Q439" s="38"/>
      <c r="R439" s="279"/>
      <c r="S439" s="40"/>
      <c r="T439" s="22"/>
      <c r="U439" s="41"/>
      <c r="V439" s="4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>
      <c r="B440" s="22"/>
      <c r="C440" s="30"/>
      <c r="D440" s="30"/>
      <c r="E440" s="30"/>
      <c r="F440" s="32"/>
      <c r="G440" s="32"/>
      <c r="H440" s="42"/>
      <c r="I440" s="34"/>
      <c r="J440" s="35"/>
      <c r="K440" s="35"/>
      <c r="L440" s="34"/>
      <c r="M440" s="35"/>
      <c r="N440" s="36"/>
      <c r="O440" s="322"/>
      <c r="P440" s="38"/>
      <c r="Q440" s="38"/>
      <c r="R440" s="279"/>
      <c r="S440" s="40"/>
      <c r="T440" s="22"/>
      <c r="U440" s="41"/>
      <c r="V440" s="4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>
      <c r="B441" s="22"/>
      <c r="C441" s="30"/>
      <c r="D441" s="30"/>
      <c r="E441" s="30"/>
      <c r="F441" s="32"/>
      <c r="G441" s="32"/>
      <c r="H441" s="42"/>
      <c r="I441" s="34"/>
      <c r="J441" s="35"/>
      <c r="K441" s="35"/>
      <c r="L441" s="34"/>
      <c r="M441" s="35"/>
      <c r="N441" s="36"/>
      <c r="O441" s="322"/>
      <c r="P441" s="38"/>
      <c r="Q441" s="38"/>
      <c r="R441" s="279"/>
      <c r="S441" s="40"/>
      <c r="T441" s="22"/>
      <c r="U441" s="41"/>
      <c r="V441" s="4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>
      <c r="B442" s="22"/>
      <c r="C442" s="30"/>
      <c r="D442" s="30"/>
      <c r="E442" s="30"/>
      <c r="F442" s="32"/>
      <c r="G442" s="32"/>
      <c r="H442" s="42"/>
      <c r="I442" s="34"/>
      <c r="J442" s="35"/>
      <c r="K442" s="35"/>
      <c r="L442" s="34"/>
      <c r="M442" s="35"/>
      <c r="N442" s="36"/>
      <c r="O442" s="322"/>
      <c r="P442" s="38"/>
      <c r="Q442" s="38"/>
      <c r="R442" s="279"/>
      <c r="S442" s="40"/>
      <c r="T442" s="22"/>
      <c r="U442" s="41"/>
      <c r="V442" s="4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>
      <c r="B443" s="22"/>
      <c r="C443" s="30"/>
      <c r="D443" s="30"/>
      <c r="E443" s="30"/>
      <c r="F443" s="32"/>
      <c r="G443" s="32"/>
      <c r="H443" s="42"/>
      <c r="I443" s="34"/>
      <c r="J443" s="35"/>
      <c r="K443" s="35"/>
      <c r="L443" s="34"/>
      <c r="M443" s="35"/>
      <c r="N443" s="36"/>
      <c r="O443" s="322"/>
      <c r="P443" s="38"/>
      <c r="Q443" s="38"/>
      <c r="R443" s="279"/>
      <c r="S443" s="40"/>
      <c r="T443" s="22"/>
      <c r="U443" s="41"/>
      <c r="V443" s="4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>
      <c r="B444" s="22"/>
      <c r="C444" s="30"/>
      <c r="D444" s="30"/>
      <c r="E444" s="30"/>
      <c r="F444" s="32"/>
      <c r="G444" s="32"/>
      <c r="H444" s="42"/>
      <c r="I444" s="34"/>
      <c r="J444" s="35"/>
      <c r="K444" s="35"/>
      <c r="L444" s="34"/>
      <c r="M444" s="35"/>
      <c r="N444" s="36"/>
      <c r="O444" s="322"/>
      <c r="P444" s="38"/>
      <c r="Q444" s="38"/>
      <c r="R444" s="279"/>
      <c r="S444" s="40"/>
      <c r="T444" s="22"/>
      <c r="U444" s="41"/>
      <c r="V444" s="4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>
      <c r="B445" s="22"/>
      <c r="C445" s="30"/>
      <c r="D445" s="30"/>
      <c r="E445" s="30"/>
      <c r="F445" s="32"/>
      <c r="G445" s="32"/>
      <c r="H445" s="42"/>
      <c r="I445" s="34"/>
      <c r="J445" s="35"/>
      <c r="K445" s="35"/>
      <c r="L445" s="34"/>
      <c r="M445" s="35"/>
      <c r="N445" s="36"/>
      <c r="O445" s="322"/>
      <c r="P445" s="38"/>
      <c r="Q445" s="38"/>
      <c r="R445" s="279"/>
      <c r="S445" s="40"/>
      <c r="T445" s="22"/>
      <c r="U445" s="41"/>
      <c r="V445" s="4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>
      <c r="B446" s="22"/>
      <c r="C446" s="30"/>
      <c r="D446" s="30"/>
      <c r="E446" s="30"/>
      <c r="F446" s="32"/>
      <c r="G446" s="32"/>
      <c r="H446" s="42"/>
      <c r="I446" s="34"/>
      <c r="J446" s="35"/>
      <c r="K446" s="35"/>
      <c r="L446" s="34"/>
      <c r="M446" s="35"/>
      <c r="N446" s="36"/>
      <c r="O446" s="322"/>
      <c r="P446" s="38"/>
      <c r="Q446" s="38"/>
      <c r="R446" s="279"/>
      <c r="S446" s="40"/>
      <c r="T446" s="22"/>
      <c r="U446" s="41"/>
      <c r="V446" s="4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>
      <c r="B447" s="22"/>
      <c r="C447" s="30"/>
      <c r="D447" s="30"/>
      <c r="E447" s="30"/>
      <c r="F447" s="32"/>
      <c r="G447" s="32"/>
      <c r="H447" s="42"/>
      <c r="I447" s="34"/>
      <c r="J447" s="35"/>
      <c r="K447" s="35"/>
      <c r="L447" s="34"/>
      <c r="M447" s="35"/>
      <c r="N447" s="36"/>
      <c r="O447" s="322"/>
      <c r="P447" s="38"/>
      <c r="Q447" s="38"/>
      <c r="R447" s="279"/>
      <c r="S447" s="40"/>
      <c r="T447" s="22"/>
      <c r="U447" s="41"/>
      <c r="V447" s="4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>
      <c r="B448" s="22"/>
      <c r="C448" s="30"/>
      <c r="D448" s="30"/>
      <c r="E448" s="30"/>
      <c r="F448" s="32"/>
      <c r="G448" s="32"/>
      <c r="H448" s="42"/>
      <c r="I448" s="34"/>
      <c r="J448" s="35"/>
      <c r="K448" s="35"/>
      <c r="L448" s="34"/>
      <c r="M448" s="35"/>
      <c r="N448" s="36"/>
      <c r="O448" s="322"/>
      <c r="P448" s="38"/>
      <c r="Q448" s="38"/>
      <c r="R448" s="279"/>
      <c r="S448" s="40"/>
      <c r="T448" s="22"/>
      <c r="U448" s="41"/>
      <c r="V448" s="4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>
      <c r="B449" s="22"/>
      <c r="C449" s="30"/>
      <c r="D449" s="30"/>
      <c r="E449" s="30"/>
      <c r="F449" s="32"/>
      <c r="G449" s="32"/>
      <c r="H449" s="42"/>
      <c r="I449" s="34"/>
      <c r="J449" s="35"/>
      <c r="K449" s="35"/>
      <c r="L449" s="34"/>
      <c r="M449" s="35"/>
      <c r="N449" s="36"/>
      <c r="O449" s="322"/>
      <c r="P449" s="38"/>
      <c r="Q449" s="38"/>
      <c r="R449" s="279"/>
      <c r="S449" s="40"/>
      <c r="T449" s="22"/>
      <c r="U449" s="41"/>
      <c r="V449" s="4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>
      <c r="B450" s="22"/>
      <c r="C450" s="30"/>
      <c r="D450" s="30"/>
      <c r="E450" s="30"/>
      <c r="F450" s="32"/>
      <c r="G450" s="32"/>
      <c r="H450" s="42"/>
      <c r="I450" s="34"/>
      <c r="J450" s="35"/>
      <c r="K450" s="35"/>
      <c r="L450" s="34"/>
      <c r="M450" s="35"/>
      <c r="N450" s="36"/>
      <c r="O450" s="322"/>
      <c r="P450" s="38"/>
      <c r="Q450" s="38"/>
      <c r="R450" s="279"/>
      <c r="S450" s="40"/>
      <c r="T450" s="22"/>
      <c r="U450" s="41"/>
      <c r="V450" s="4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>
      <c r="B451" s="22"/>
      <c r="C451" s="30"/>
      <c r="D451" s="30"/>
      <c r="E451" s="30"/>
      <c r="F451" s="32"/>
      <c r="G451" s="32"/>
      <c r="H451" s="42"/>
      <c r="I451" s="34"/>
      <c r="J451" s="35"/>
      <c r="K451" s="35"/>
      <c r="L451" s="34"/>
      <c r="M451" s="35"/>
      <c r="N451" s="36"/>
      <c r="O451" s="322"/>
      <c r="P451" s="38"/>
      <c r="Q451" s="38"/>
      <c r="R451" s="279"/>
      <c r="S451" s="40"/>
      <c r="T451" s="22"/>
      <c r="U451" s="41"/>
      <c r="V451" s="4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>
      <c r="B452" s="22"/>
      <c r="C452" s="30"/>
      <c r="D452" s="30"/>
      <c r="E452" s="30"/>
      <c r="F452" s="32"/>
      <c r="G452" s="32"/>
      <c r="H452" s="42"/>
      <c r="I452" s="34"/>
      <c r="J452" s="35"/>
      <c r="K452" s="35"/>
      <c r="L452" s="34"/>
      <c r="M452" s="35"/>
      <c r="N452" s="36"/>
      <c r="O452" s="322"/>
      <c r="P452" s="38"/>
      <c r="Q452" s="38"/>
      <c r="R452" s="279"/>
      <c r="S452" s="40"/>
      <c r="T452" s="22"/>
      <c r="U452" s="41"/>
      <c r="V452" s="4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>
      <c r="B453" s="22"/>
      <c r="C453" s="30"/>
      <c r="D453" s="30"/>
      <c r="E453" s="30"/>
      <c r="F453" s="32"/>
      <c r="G453" s="32"/>
      <c r="H453" s="42"/>
      <c r="I453" s="34"/>
      <c r="J453" s="35"/>
      <c r="K453" s="35"/>
      <c r="L453" s="34"/>
      <c r="M453" s="35"/>
      <c r="N453" s="36"/>
      <c r="O453" s="322"/>
      <c r="P453" s="38"/>
      <c r="Q453" s="38"/>
      <c r="R453" s="279"/>
      <c r="S453" s="40"/>
      <c r="T453" s="22"/>
      <c r="U453" s="41"/>
      <c r="V453" s="4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>
      <c r="B454" s="22"/>
      <c r="C454" s="30"/>
      <c r="D454" s="30"/>
      <c r="E454" s="30"/>
      <c r="F454" s="32"/>
      <c r="G454" s="32"/>
      <c r="H454" s="42"/>
      <c r="I454" s="34"/>
      <c r="J454" s="35"/>
      <c r="K454" s="35"/>
      <c r="L454" s="34"/>
      <c r="M454" s="35"/>
      <c r="N454" s="36"/>
      <c r="O454" s="322"/>
      <c r="P454" s="38"/>
      <c r="Q454" s="38"/>
      <c r="R454" s="279"/>
      <c r="S454" s="40"/>
      <c r="T454" s="22"/>
      <c r="U454" s="41"/>
      <c r="V454" s="4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>
      <c r="B455" s="22"/>
      <c r="C455" s="30"/>
      <c r="D455" s="30"/>
      <c r="E455" s="30"/>
      <c r="F455" s="32"/>
      <c r="G455" s="32"/>
      <c r="H455" s="42"/>
      <c r="I455" s="34"/>
      <c r="J455" s="35"/>
      <c r="K455" s="35"/>
      <c r="L455" s="34"/>
      <c r="M455" s="35"/>
      <c r="N455" s="36"/>
      <c r="O455" s="322"/>
      <c r="P455" s="38"/>
      <c r="Q455" s="38"/>
      <c r="R455" s="279"/>
      <c r="S455" s="40"/>
      <c r="T455" s="22"/>
      <c r="U455" s="41"/>
      <c r="V455" s="4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>
      <c r="B456" s="22"/>
      <c r="C456" s="30"/>
      <c r="D456" s="30"/>
      <c r="E456" s="30"/>
      <c r="F456" s="32"/>
      <c r="G456" s="32"/>
      <c r="H456" s="42"/>
      <c r="I456" s="34"/>
      <c r="J456" s="35"/>
      <c r="K456" s="35"/>
      <c r="L456" s="34"/>
      <c r="M456" s="35"/>
      <c r="N456" s="36"/>
      <c r="O456" s="322"/>
      <c r="P456" s="38"/>
      <c r="Q456" s="38"/>
      <c r="R456" s="279"/>
      <c r="S456" s="40"/>
      <c r="T456" s="22"/>
      <c r="U456" s="41"/>
      <c r="V456" s="4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>
      <c r="B457" s="22"/>
      <c r="C457" s="30"/>
      <c r="D457" s="30"/>
      <c r="E457" s="30"/>
      <c r="F457" s="32"/>
      <c r="G457" s="32"/>
      <c r="H457" s="42"/>
      <c r="I457" s="34"/>
      <c r="J457" s="35"/>
      <c r="K457" s="35"/>
      <c r="L457" s="34"/>
      <c r="M457" s="35"/>
      <c r="N457" s="36"/>
      <c r="O457" s="322"/>
      <c r="P457" s="38"/>
      <c r="Q457" s="38"/>
      <c r="R457" s="279"/>
      <c r="S457" s="40"/>
      <c r="T457" s="22"/>
      <c r="U457" s="41"/>
      <c r="V457" s="4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>
      <c r="B458" s="22"/>
      <c r="C458" s="30"/>
      <c r="D458" s="30"/>
      <c r="E458" s="30"/>
      <c r="F458" s="32"/>
      <c r="G458" s="32"/>
      <c r="H458" s="42"/>
      <c r="I458" s="34"/>
      <c r="J458" s="35"/>
      <c r="K458" s="35"/>
      <c r="L458" s="34"/>
      <c r="M458" s="35"/>
      <c r="N458" s="36"/>
      <c r="O458" s="322"/>
      <c r="P458" s="38"/>
      <c r="Q458" s="38"/>
      <c r="R458" s="279"/>
      <c r="S458" s="40"/>
      <c r="T458" s="22"/>
      <c r="U458" s="41"/>
      <c r="V458" s="4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>
      <c r="B459" s="22"/>
      <c r="C459" s="30"/>
      <c r="D459" s="30"/>
      <c r="E459" s="30"/>
      <c r="F459" s="32"/>
      <c r="G459" s="32"/>
      <c r="H459" s="42"/>
      <c r="I459" s="34"/>
      <c r="J459" s="35"/>
      <c r="K459" s="35"/>
      <c r="L459" s="34"/>
      <c r="M459" s="35"/>
      <c r="N459" s="36"/>
      <c r="O459" s="322"/>
      <c r="P459" s="38"/>
      <c r="Q459" s="38"/>
      <c r="R459" s="279"/>
      <c r="S459" s="40"/>
      <c r="T459" s="22"/>
      <c r="U459" s="41"/>
      <c r="V459" s="4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>
      <c r="B460" s="22"/>
      <c r="C460" s="30"/>
      <c r="D460" s="30"/>
      <c r="E460" s="30"/>
      <c r="F460" s="32"/>
      <c r="G460" s="32"/>
      <c r="H460" s="42"/>
      <c r="I460" s="34"/>
      <c r="J460" s="35"/>
      <c r="K460" s="35"/>
      <c r="L460" s="34"/>
      <c r="M460" s="35"/>
      <c r="N460" s="36"/>
      <c r="O460" s="322"/>
      <c r="P460" s="38"/>
      <c r="Q460" s="38"/>
      <c r="R460" s="279"/>
      <c r="S460" s="40"/>
      <c r="T460" s="22"/>
      <c r="U460" s="41"/>
      <c r="V460" s="4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>
      <c r="B461" s="22"/>
      <c r="C461" s="30"/>
      <c r="D461" s="30"/>
      <c r="E461" s="30"/>
      <c r="F461" s="32"/>
      <c r="G461" s="32"/>
      <c r="H461" s="42"/>
      <c r="I461" s="34"/>
      <c r="J461" s="35"/>
      <c r="K461" s="35"/>
      <c r="L461" s="34"/>
      <c r="M461" s="35"/>
      <c r="N461" s="36"/>
      <c r="O461" s="322"/>
      <c r="P461" s="38"/>
      <c r="Q461" s="38"/>
      <c r="R461" s="279"/>
      <c r="S461" s="40"/>
      <c r="T461" s="22"/>
      <c r="U461" s="41"/>
      <c r="V461" s="4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>
      <c r="B462" s="22"/>
      <c r="C462" s="30"/>
      <c r="D462" s="30"/>
      <c r="E462" s="30"/>
      <c r="F462" s="32"/>
      <c r="G462" s="32"/>
      <c r="H462" s="42"/>
      <c r="I462" s="34"/>
      <c r="J462" s="35"/>
      <c r="K462" s="35"/>
      <c r="L462" s="34"/>
      <c r="M462" s="35"/>
      <c r="N462" s="36"/>
      <c r="O462" s="322"/>
      <c r="P462" s="38"/>
      <c r="Q462" s="38"/>
      <c r="R462" s="279"/>
      <c r="S462" s="40"/>
      <c r="T462" s="22"/>
      <c r="U462" s="41"/>
      <c r="V462" s="4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>
      <c r="B463" s="22"/>
      <c r="C463" s="30"/>
      <c r="D463" s="30"/>
      <c r="E463" s="30"/>
      <c r="F463" s="32"/>
      <c r="G463" s="32"/>
      <c r="H463" s="42"/>
      <c r="I463" s="34"/>
      <c r="J463" s="35"/>
      <c r="K463" s="35"/>
      <c r="L463" s="34"/>
      <c r="M463" s="35"/>
      <c r="N463" s="36"/>
      <c r="O463" s="322"/>
      <c r="P463" s="38"/>
      <c r="Q463" s="38"/>
      <c r="R463" s="279"/>
      <c r="S463" s="40"/>
      <c r="T463" s="22"/>
      <c r="U463" s="41"/>
      <c r="V463" s="4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>
      <c r="B464" s="22"/>
      <c r="C464" s="30"/>
      <c r="D464" s="30"/>
      <c r="E464" s="30"/>
      <c r="F464" s="32"/>
      <c r="G464" s="32"/>
      <c r="H464" s="42"/>
      <c r="I464" s="34"/>
      <c r="J464" s="35"/>
      <c r="K464" s="35"/>
      <c r="L464" s="34"/>
      <c r="M464" s="35"/>
      <c r="N464" s="36"/>
      <c r="O464" s="322"/>
      <c r="P464" s="38"/>
      <c r="Q464" s="38"/>
      <c r="R464" s="279"/>
      <c r="S464" s="40"/>
      <c r="T464" s="22"/>
      <c r="U464" s="41"/>
      <c r="V464" s="4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>
      <c r="B465" s="22"/>
      <c r="C465" s="30"/>
      <c r="D465" s="30"/>
      <c r="E465" s="30"/>
      <c r="F465" s="32"/>
      <c r="G465" s="32"/>
      <c r="H465" s="42"/>
      <c r="I465" s="34"/>
      <c r="J465" s="35"/>
      <c r="K465" s="35"/>
      <c r="L465" s="34"/>
      <c r="M465" s="35"/>
      <c r="N465" s="36"/>
      <c r="O465" s="322"/>
      <c r="P465" s="38"/>
      <c r="Q465" s="38"/>
      <c r="R465" s="279"/>
      <c r="S465" s="40"/>
      <c r="T465" s="22"/>
      <c r="U465" s="41"/>
      <c r="V465" s="4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>
      <c r="B466" s="22"/>
      <c r="C466" s="30"/>
      <c r="D466" s="30"/>
      <c r="E466" s="30"/>
      <c r="F466" s="32"/>
      <c r="G466" s="32"/>
      <c r="H466" s="42"/>
      <c r="I466" s="34"/>
      <c r="J466" s="35"/>
      <c r="K466" s="35"/>
      <c r="L466" s="34"/>
      <c r="M466" s="35"/>
      <c r="N466" s="36"/>
      <c r="O466" s="322"/>
      <c r="P466" s="38"/>
      <c r="Q466" s="38"/>
      <c r="R466" s="279"/>
      <c r="S466" s="40"/>
      <c r="T466" s="22"/>
      <c r="U466" s="41"/>
      <c r="V466" s="4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>
      <c r="B467" s="22"/>
      <c r="C467" s="30"/>
      <c r="D467" s="30"/>
      <c r="E467" s="30"/>
      <c r="F467" s="32"/>
      <c r="G467" s="32"/>
      <c r="H467" s="42"/>
      <c r="I467" s="34"/>
      <c r="J467" s="35"/>
      <c r="K467" s="35"/>
      <c r="L467" s="34"/>
      <c r="M467" s="35"/>
      <c r="N467" s="36"/>
      <c r="O467" s="322"/>
      <c r="P467" s="38"/>
      <c r="Q467" s="38"/>
      <c r="R467" s="279"/>
      <c r="S467" s="40"/>
      <c r="T467" s="22"/>
      <c r="U467" s="41"/>
      <c r="V467" s="4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>
      <c r="B468" s="22"/>
      <c r="C468" s="30"/>
      <c r="D468" s="30"/>
      <c r="E468" s="30"/>
      <c r="F468" s="32"/>
      <c r="G468" s="32"/>
      <c r="H468" s="42"/>
      <c r="I468" s="34"/>
      <c r="J468" s="35"/>
      <c r="K468" s="35"/>
      <c r="L468" s="34"/>
      <c r="M468" s="35"/>
      <c r="N468" s="36"/>
      <c r="O468" s="322"/>
      <c r="P468" s="38"/>
      <c r="Q468" s="38"/>
      <c r="R468" s="279"/>
      <c r="S468" s="40"/>
      <c r="T468" s="22"/>
      <c r="U468" s="41"/>
      <c r="V468" s="4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>
      <c r="B469" s="22"/>
      <c r="C469" s="30"/>
      <c r="D469" s="30"/>
      <c r="E469" s="30"/>
      <c r="F469" s="32"/>
      <c r="G469" s="32"/>
      <c r="H469" s="42"/>
      <c r="I469" s="34"/>
      <c r="J469" s="35"/>
      <c r="K469" s="35"/>
      <c r="L469" s="34"/>
      <c r="M469" s="35"/>
      <c r="N469" s="36"/>
      <c r="O469" s="322"/>
      <c r="P469" s="38"/>
      <c r="Q469" s="38"/>
      <c r="R469" s="279"/>
      <c r="S469" s="40"/>
      <c r="T469" s="22"/>
      <c r="U469" s="41"/>
      <c r="V469" s="4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>
      <c r="B470" s="22"/>
      <c r="C470" s="30"/>
      <c r="D470" s="30"/>
      <c r="E470" s="30"/>
      <c r="F470" s="32"/>
      <c r="G470" s="32"/>
      <c r="H470" s="42"/>
      <c r="I470" s="34"/>
      <c r="J470" s="35"/>
      <c r="K470" s="35"/>
      <c r="L470" s="34"/>
      <c r="M470" s="35"/>
      <c r="N470" s="36"/>
      <c r="O470" s="322"/>
      <c r="P470" s="38"/>
      <c r="Q470" s="38"/>
      <c r="R470" s="279"/>
      <c r="S470" s="40"/>
      <c r="T470" s="22"/>
      <c r="U470" s="41"/>
      <c r="V470" s="4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>
      <c r="B471" s="22"/>
      <c r="C471" s="30"/>
      <c r="D471" s="30"/>
      <c r="E471" s="30"/>
      <c r="F471" s="32"/>
      <c r="G471" s="32"/>
      <c r="H471" s="42"/>
      <c r="I471" s="34"/>
      <c r="J471" s="35"/>
      <c r="K471" s="35"/>
      <c r="L471" s="34"/>
      <c r="M471" s="35"/>
      <c r="N471" s="36"/>
      <c r="O471" s="322"/>
      <c r="P471" s="38"/>
      <c r="Q471" s="38"/>
      <c r="R471" s="279"/>
      <c r="S471" s="40"/>
      <c r="T471" s="22"/>
      <c r="U471" s="41"/>
      <c r="V471" s="4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>
      <c r="B472" s="22"/>
      <c r="C472" s="30"/>
      <c r="D472" s="30"/>
      <c r="E472" s="30"/>
      <c r="F472" s="32"/>
      <c r="G472" s="32"/>
      <c r="H472" s="42"/>
      <c r="I472" s="34"/>
      <c r="J472" s="35"/>
      <c r="K472" s="35"/>
      <c r="L472" s="34"/>
      <c r="M472" s="35"/>
      <c r="N472" s="36"/>
      <c r="O472" s="322"/>
      <c r="P472" s="38"/>
      <c r="Q472" s="38"/>
      <c r="R472" s="279"/>
      <c r="S472" s="40"/>
      <c r="T472" s="22"/>
      <c r="U472" s="41"/>
      <c r="V472" s="4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>
      <c r="B473" s="22"/>
      <c r="C473" s="30"/>
      <c r="D473" s="30"/>
      <c r="E473" s="30"/>
      <c r="F473" s="32"/>
      <c r="G473" s="32"/>
      <c r="H473" s="42"/>
      <c r="I473" s="34"/>
      <c r="J473" s="35"/>
      <c r="K473" s="35"/>
      <c r="L473" s="34"/>
      <c r="M473" s="35"/>
      <c r="N473" s="36"/>
      <c r="O473" s="322"/>
      <c r="P473" s="38"/>
      <c r="Q473" s="38"/>
      <c r="R473" s="279"/>
      <c r="S473" s="40"/>
      <c r="T473" s="22"/>
      <c r="U473" s="41"/>
      <c r="V473" s="4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>
      <c r="B474" s="22"/>
      <c r="C474" s="30"/>
      <c r="D474" s="30"/>
      <c r="E474" s="30"/>
      <c r="F474" s="32"/>
      <c r="G474" s="32"/>
      <c r="H474" s="42"/>
      <c r="I474" s="34"/>
      <c r="J474" s="35"/>
      <c r="K474" s="35"/>
      <c r="L474" s="34"/>
      <c r="M474" s="35"/>
      <c r="N474" s="36"/>
      <c r="O474" s="322"/>
      <c r="P474" s="38"/>
      <c r="Q474" s="38"/>
      <c r="R474" s="279"/>
      <c r="S474" s="40"/>
      <c r="T474" s="22"/>
      <c r="U474" s="41"/>
      <c r="V474" s="4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>
      <c r="B475" s="22"/>
      <c r="C475" s="30"/>
      <c r="D475" s="30"/>
      <c r="E475" s="30"/>
      <c r="F475" s="32"/>
      <c r="G475" s="32"/>
      <c r="H475" s="42"/>
      <c r="I475" s="34"/>
      <c r="J475" s="35"/>
      <c r="K475" s="35"/>
      <c r="L475" s="34"/>
      <c r="M475" s="35"/>
      <c r="N475" s="36"/>
      <c r="O475" s="322"/>
      <c r="P475" s="38"/>
      <c r="Q475" s="38"/>
      <c r="R475" s="279"/>
      <c r="S475" s="40"/>
      <c r="T475" s="22"/>
      <c r="U475" s="41"/>
      <c r="V475" s="4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>
      <c r="B476" s="22"/>
      <c r="C476" s="30"/>
      <c r="D476" s="30"/>
      <c r="E476" s="30"/>
      <c r="F476" s="32"/>
      <c r="G476" s="32"/>
      <c r="H476" s="42"/>
      <c r="I476" s="34"/>
      <c r="J476" s="35"/>
      <c r="K476" s="35"/>
      <c r="L476" s="34"/>
      <c r="M476" s="35"/>
      <c r="N476" s="36"/>
      <c r="O476" s="322"/>
      <c r="P476" s="38"/>
      <c r="Q476" s="38"/>
      <c r="R476" s="279"/>
      <c r="S476" s="40"/>
      <c r="T476" s="22"/>
      <c r="U476" s="41"/>
      <c r="V476" s="4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>
      <c r="B477" s="22"/>
      <c r="C477" s="30"/>
      <c r="D477" s="30"/>
      <c r="E477" s="30"/>
      <c r="F477" s="32"/>
      <c r="G477" s="32"/>
      <c r="H477" s="42"/>
      <c r="I477" s="34"/>
      <c r="J477" s="35"/>
      <c r="K477" s="35"/>
      <c r="L477" s="34"/>
      <c r="M477" s="35"/>
      <c r="N477" s="36"/>
      <c r="O477" s="322"/>
      <c r="P477" s="38"/>
      <c r="Q477" s="38"/>
      <c r="R477" s="279"/>
      <c r="S477" s="40"/>
      <c r="T477" s="22"/>
      <c r="U477" s="41"/>
      <c r="V477" s="4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>
      <c r="B478" s="22"/>
      <c r="C478" s="30"/>
      <c r="D478" s="30"/>
      <c r="E478" s="30"/>
      <c r="F478" s="32"/>
      <c r="G478" s="32"/>
      <c r="H478" s="42"/>
      <c r="I478" s="34"/>
      <c r="J478" s="35"/>
      <c r="K478" s="35"/>
      <c r="L478" s="34"/>
      <c r="M478" s="35"/>
      <c r="N478" s="36"/>
      <c r="O478" s="322"/>
      <c r="P478" s="38"/>
      <c r="Q478" s="38"/>
      <c r="R478" s="279"/>
      <c r="S478" s="40"/>
      <c r="T478" s="22"/>
      <c r="U478" s="41"/>
      <c r="V478" s="4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>
      <c r="B479" s="22"/>
      <c r="C479" s="30"/>
      <c r="D479" s="30"/>
      <c r="E479" s="30"/>
      <c r="F479" s="32"/>
      <c r="G479" s="32"/>
      <c r="H479" s="42"/>
      <c r="I479" s="34"/>
      <c r="J479" s="35"/>
      <c r="K479" s="35"/>
      <c r="L479" s="34"/>
      <c r="M479" s="35"/>
      <c r="N479" s="36"/>
      <c r="O479" s="322"/>
      <c r="P479" s="38"/>
      <c r="Q479" s="38"/>
      <c r="R479" s="279"/>
      <c r="S479" s="40"/>
      <c r="T479" s="22"/>
      <c r="U479" s="41"/>
      <c r="V479" s="4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>
      <c r="B480" s="22"/>
      <c r="C480" s="30"/>
      <c r="D480" s="30"/>
      <c r="E480" s="30"/>
      <c r="F480" s="32"/>
      <c r="G480" s="32"/>
      <c r="H480" s="42"/>
      <c r="I480" s="34"/>
      <c r="J480" s="35"/>
      <c r="K480" s="35"/>
      <c r="L480" s="34"/>
      <c r="M480" s="35"/>
      <c r="N480" s="36"/>
      <c r="O480" s="322"/>
      <c r="P480" s="38"/>
      <c r="Q480" s="38"/>
      <c r="R480" s="279"/>
      <c r="S480" s="40"/>
      <c r="T480" s="22"/>
      <c r="U480" s="41"/>
      <c r="V480" s="4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>
      <c r="B481" s="22"/>
      <c r="C481" s="30"/>
      <c r="D481" s="30"/>
      <c r="E481" s="30"/>
      <c r="F481" s="32"/>
      <c r="G481" s="32"/>
      <c r="H481" s="42"/>
      <c r="I481" s="34"/>
      <c r="J481" s="35"/>
      <c r="K481" s="35"/>
      <c r="L481" s="34"/>
      <c r="M481" s="35"/>
      <c r="N481" s="36"/>
      <c r="O481" s="322"/>
      <c r="P481" s="38"/>
      <c r="Q481" s="38"/>
      <c r="R481" s="279"/>
      <c r="S481" s="40"/>
      <c r="T481" s="22"/>
      <c r="U481" s="41"/>
      <c r="V481" s="4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>
      <c r="B482" s="22"/>
      <c r="C482" s="30"/>
      <c r="D482" s="30"/>
      <c r="E482" s="30"/>
      <c r="F482" s="32"/>
      <c r="G482" s="32"/>
      <c r="H482" s="42"/>
      <c r="I482" s="34"/>
      <c r="J482" s="35"/>
      <c r="K482" s="35"/>
      <c r="L482" s="34"/>
      <c r="M482" s="35"/>
      <c r="N482" s="36"/>
      <c r="O482" s="322"/>
      <c r="P482" s="38"/>
      <c r="Q482" s="38"/>
      <c r="R482" s="279"/>
      <c r="S482" s="40"/>
      <c r="T482" s="22"/>
      <c r="U482" s="41"/>
      <c r="V482" s="4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>
      <c r="B483" s="22"/>
      <c r="C483" s="30"/>
      <c r="D483" s="30"/>
      <c r="E483" s="30"/>
      <c r="F483" s="32"/>
      <c r="G483" s="32"/>
      <c r="H483" s="42"/>
      <c r="I483" s="34"/>
      <c r="J483" s="35"/>
      <c r="K483" s="35"/>
      <c r="L483" s="34"/>
      <c r="M483" s="35"/>
      <c r="N483" s="36"/>
      <c r="O483" s="322"/>
      <c r="P483" s="38"/>
      <c r="Q483" s="38"/>
      <c r="R483" s="279"/>
      <c r="S483" s="40"/>
      <c r="T483" s="22"/>
      <c r="U483" s="41"/>
      <c r="V483" s="4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>
      <c r="B484" s="22"/>
      <c r="C484" s="30"/>
      <c r="D484" s="30"/>
      <c r="E484" s="30"/>
      <c r="F484" s="32"/>
      <c r="G484" s="32"/>
      <c r="H484" s="42"/>
      <c r="I484" s="34"/>
      <c r="J484" s="35"/>
      <c r="K484" s="35"/>
      <c r="L484" s="34"/>
      <c r="M484" s="35"/>
      <c r="N484" s="36"/>
      <c r="O484" s="322"/>
      <c r="P484" s="38"/>
      <c r="Q484" s="38"/>
      <c r="R484" s="279"/>
      <c r="S484" s="40"/>
      <c r="T484" s="22"/>
      <c r="U484" s="41"/>
      <c r="V484" s="4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>
      <c r="B485" s="22"/>
      <c r="C485" s="30"/>
      <c r="D485" s="30"/>
      <c r="E485" s="30"/>
      <c r="F485" s="32"/>
      <c r="G485" s="32"/>
      <c r="H485" s="42"/>
      <c r="I485" s="34"/>
      <c r="J485" s="35"/>
      <c r="K485" s="35"/>
      <c r="L485" s="34"/>
      <c r="M485" s="35"/>
      <c r="N485" s="36"/>
      <c r="O485" s="322"/>
      <c r="P485" s="38"/>
      <c r="Q485" s="38"/>
      <c r="R485" s="279"/>
      <c r="S485" s="40"/>
      <c r="T485" s="22"/>
      <c r="U485" s="41"/>
      <c r="V485" s="4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>
      <c r="B486" s="22"/>
      <c r="C486" s="30"/>
      <c r="D486" s="30"/>
      <c r="E486" s="30"/>
      <c r="F486" s="32"/>
      <c r="G486" s="32"/>
      <c r="H486" s="42"/>
      <c r="I486" s="34"/>
      <c r="J486" s="35"/>
      <c r="K486" s="35"/>
      <c r="L486" s="34"/>
      <c r="M486" s="35"/>
      <c r="N486" s="36"/>
      <c r="O486" s="322"/>
      <c r="P486" s="38"/>
      <c r="Q486" s="38"/>
      <c r="R486" s="279"/>
      <c r="S486" s="40"/>
      <c r="T486" s="22"/>
      <c r="U486" s="41"/>
      <c r="V486" s="4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>
      <c r="B487" s="22"/>
      <c r="C487" s="30"/>
      <c r="D487" s="30"/>
      <c r="E487" s="30"/>
      <c r="F487" s="32"/>
      <c r="G487" s="32"/>
      <c r="H487" s="42"/>
      <c r="I487" s="34"/>
      <c r="J487" s="35"/>
      <c r="K487" s="35"/>
      <c r="L487" s="34"/>
      <c r="M487" s="35"/>
      <c r="N487" s="36"/>
      <c r="O487" s="322"/>
      <c r="P487" s="38"/>
      <c r="Q487" s="38"/>
      <c r="R487" s="279"/>
      <c r="S487" s="40"/>
      <c r="T487" s="22"/>
      <c r="U487" s="41"/>
      <c r="V487" s="4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>
      <c r="B488" s="22"/>
      <c r="C488" s="30"/>
      <c r="D488" s="30"/>
      <c r="E488" s="30"/>
      <c r="F488" s="32"/>
      <c r="G488" s="32"/>
      <c r="H488" s="42"/>
      <c r="I488" s="34"/>
      <c r="J488" s="35"/>
      <c r="K488" s="35"/>
      <c r="L488" s="34"/>
      <c r="M488" s="35"/>
      <c r="N488" s="36"/>
      <c r="O488" s="322"/>
      <c r="P488" s="38"/>
      <c r="Q488" s="38"/>
      <c r="R488" s="279"/>
      <c r="S488" s="40"/>
      <c r="T488" s="22"/>
      <c r="U488" s="41"/>
      <c r="V488" s="4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>
      <c r="B489" s="22"/>
      <c r="C489" s="30"/>
      <c r="D489" s="30"/>
      <c r="E489" s="30"/>
      <c r="F489" s="32"/>
      <c r="G489" s="32"/>
      <c r="H489" s="42"/>
      <c r="I489" s="34"/>
      <c r="J489" s="35"/>
      <c r="K489" s="35"/>
      <c r="L489" s="34"/>
      <c r="M489" s="35"/>
      <c r="N489" s="36"/>
      <c r="O489" s="322"/>
      <c r="P489" s="38"/>
      <c r="Q489" s="38"/>
      <c r="R489" s="279"/>
      <c r="S489" s="40"/>
      <c r="T489" s="22"/>
      <c r="U489" s="41"/>
      <c r="V489" s="4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>
      <c r="B490" s="22"/>
      <c r="C490" s="30"/>
      <c r="D490" s="30"/>
      <c r="E490" s="30"/>
      <c r="F490" s="32"/>
      <c r="G490" s="32"/>
      <c r="H490" s="42"/>
      <c r="I490" s="34"/>
      <c r="J490" s="35"/>
      <c r="K490" s="35"/>
      <c r="L490" s="34"/>
      <c r="M490" s="35"/>
      <c r="N490" s="36"/>
      <c r="O490" s="322"/>
      <c r="P490" s="38"/>
      <c r="Q490" s="38"/>
      <c r="R490" s="279"/>
      <c r="S490" s="40"/>
      <c r="T490" s="22"/>
      <c r="U490" s="41"/>
      <c r="V490" s="4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>
      <c r="B491" s="22"/>
      <c r="C491" s="30"/>
      <c r="D491" s="30"/>
      <c r="E491" s="30"/>
      <c r="F491" s="32"/>
      <c r="G491" s="32"/>
      <c r="H491" s="42"/>
      <c r="I491" s="34"/>
      <c r="J491" s="35"/>
      <c r="K491" s="35"/>
      <c r="L491" s="34"/>
      <c r="M491" s="35"/>
      <c r="N491" s="36"/>
      <c r="O491" s="322"/>
      <c r="P491" s="38"/>
      <c r="Q491" s="38"/>
      <c r="R491" s="279"/>
      <c r="S491" s="40"/>
      <c r="T491" s="22"/>
      <c r="U491" s="41"/>
      <c r="V491" s="4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>
      <c r="B492" s="22"/>
      <c r="C492" s="30"/>
      <c r="D492" s="30"/>
      <c r="E492" s="30"/>
      <c r="F492" s="32"/>
      <c r="G492" s="32"/>
      <c r="H492" s="42"/>
      <c r="I492" s="34"/>
      <c r="J492" s="35"/>
      <c r="K492" s="35"/>
      <c r="L492" s="34"/>
      <c r="M492" s="35"/>
      <c r="N492" s="36"/>
      <c r="O492" s="322"/>
      <c r="P492" s="38"/>
      <c r="Q492" s="38"/>
      <c r="R492" s="279"/>
      <c r="S492" s="40"/>
      <c r="T492" s="22"/>
      <c r="U492" s="41"/>
      <c r="V492" s="4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>
      <c r="B493" s="22"/>
      <c r="C493" s="30"/>
      <c r="D493" s="30"/>
      <c r="E493" s="30"/>
      <c r="F493" s="32"/>
      <c r="G493" s="32"/>
      <c r="H493" s="42"/>
      <c r="I493" s="34"/>
      <c r="J493" s="35"/>
      <c r="K493" s="35"/>
      <c r="L493" s="34"/>
      <c r="M493" s="35"/>
      <c r="N493" s="36"/>
      <c r="O493" s="322"/>
      <c r="P493" s="38"/>
      <c r="Q493" s="38"/>
      <c r="R493" s="279"/>
      <c r="S493" s="40"/>
      <c r="T493" s="22"/>
      <c r="U493" s="41"/>
      <c r="V493" s="4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>
      <c r="B494" s="22"/>
      <c r="C494" s="30"/>
      <c r="D494" s="30"/>
      <c r="E494" s="30"/>
      <c r="F494" s="32"/>
      <c r="G494" s="32"/>
      <c r="H494" s="42"/>
      <c r="I494" s="34"/>
      <c r="J494" s="35"/>
      <c r="K494" s="35"/>
      <c r="L494" s="34"/>
      <c r="M494" s="35"/>
      <c r="N494" s="36"/>
      <c r="O494" s="322"/>
      <c r="P494" s="38"/>
      <c r="Q494" s="38"/>
      <c r="R494" s="279"/>
      <c r="S494" s="40"/>
      <c r="T494" s="22"/>
      <c r="U494" s="41"/>
      <c r="V494" s="4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>
      <c r="B495" s="22"/>
      <c r="C495" s="30"/>
      <c r="D495" s="30"/>
      <c r="E495" s="30"/>
      <c r="F495" s="32"/>
      <c r="G495" s="32"/>
      <c r="H495" s="42"/>
      <c r="I495" s="34"/>
      <c r="J495" s="35"/>
      <c r="K495" s="35"/>
      <c r="L495" s="34"/>
      <c r="M495" s="35"/>
      <c r="N495" s="36"/>
      <c r="O495" s="322"/>
      <c r="P495" s="38"/>
      <c r="Q495" s="38"/>
      <c r="R495" s="279"/>
      <c r="S495" s="40"/>
      <c r="T495" s="22"/>
      <c r="U495" s="41"/>
      <c r="V495" s="4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>
      <c r="B496" s="22"/>
      <c r="C496" s="30"/>
      <c r="D496" s="30"/>
      <c r="E496" s="30"/>
      <c r="F496" s="32"/>
      <c r="G496" s="32"/>
      <c r="H496" s="42"/>
      <c r="I496" s="34"/>
      <c r="J496" s="35"/>
      <c r="K496" s="35"/>
      <c r="L496" s="34"/>
      <c r="M496" s="35"/>
      <c r="N496" s="36"/>
      <c r="O496" s="322"/>
      <c r="P496" s="38"/>
      <c r="Q496" s="38"/>
      <c r="R496" s="279"/>
      <c r="S496" s="40"/>
      <c r="T496" s="22"/>
      <c r="U496" s="41"/>
      <c r="V496" s="4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>
      <c r="B497" s="22"/>
      <c r="C497" s="30"/>
      <c r="D497" s="30"/>
      <c r="E497" s="30"/>
      <c r="F497" s="32"/>
      <c r="G497" s="32"/>
      <c r="H497" s="42"/>
      <c r="I497" s="34"/>
      <c r="J497" s="35"/>
      <c r="K497" s="35"/>
      <c r="L497" s="34"/>
      <c r="M497" s="35"/>
      <c r="N497" s="36"/>
      <c r="O497" s="322"/>
      <c r="P497" s="38"/>
      <c r="Q497" s="38"/>
      <c r="R497" s="279"/>
      <c r="S497" s="40"/>
      <c r="T497" s="22"/>
      <c r="U497" s="41"/>
      <c r="V497" s="4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>
      <c r="B498" s="22"/>
      <c r="C498" s="30"/>
      <c r="D498" s="30"/>
      <c r="E498" s="30"/>
      <c r="F498" s="32"/>
      <c r="G498" s="32"/>
      <c r="H498" s="42"/>
      <c r="I498" s="34"/>
      <c r="J498" s="35"/>
      <c r="K498" s="35"/>
      <c r="L498" s="34"/>
      <c r="M498" s="35"/>
      <c r="N498" s="36"/>
      <c r="O498" s="322"/>
      <c r="P498" s="38"/>
      <c r="Q498" s="38"/>
      <c r="R498" s="279"/>
      <c r="S498" s="40"/>
      <c r="T498" s="22"/>
      <c r="U498" s="41"/>
      <c r="V498" s="4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>
      <c r="B499" s="22"/>
      <c r="C499" s="30"/>
      <c r="D499" s="30"/>
      <c r="E499" s="30"/>
      <c r="F499" s="32"/>
      <c r="G499" s="32"/>
      <c r="H499" s="42"/>
      <c r="I499" s="34"/>
      <c r="J499" s="35"/>
      <c r="K499" s="35"/>
      <c r="L499" s="34"/>
      <c r="M499" s="35"/>
      <c r="N499" s="36"/>
      <c r="O499" s="322"/>
      <c r="P499" s="38"/>
      <c r="Q499" s="38"/>
      <c r="R499" s="279"/>
      <c r="S499" s="40"/>
      <c r="T499" s="22"/>
      <c r="U499" s="41"/>
      <c r="V499" s="4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>
      <c r="B500" s="22"/>
      <c r="C500" s="30"/>
      <c r="D500" s="30"/>
      <c r="E500" s="30"/>
      <c r="F500" s="32"/>
      <c r="G500" s="32"/>
      <c r="H500" s="42"/>
      <c r="I500" s="34"/>
      <c r="J500" s="35"/>
      <c r="K500" s="35"/>
      <c r="L500" s="34"/>
      <c r="M500" s="35"/>
      <c r="N500" s="36"/>
      <c r="O500" s="322"/>
      <c r="P500" s="38"/>
      <c r="Q500" s="38"/>
      <c r="R500" s="279"/>
      <c r="S500" s="40"/>
      <c r="T500" s="22"/>
      <c r="U500" s="41"/>
      <c r="V500" s="4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>
      <c r="B501" s="22"/>
      <c r="C501" s="30"/>
      <c r="D501" s="30"/>
      <c r="E501" s="30"/>
      <c r="F501" s="32"/>
      <c r="G501" s="32"/>
      <c r="H501" s="42"/>
      <c r="I501" s="34"/>
      <c r="J501" s="35"/>
      <c r="K501" s="35"/>
      <c r="L501" s="34"/>
      <c r="M501" s="35"/>
      <c r="N501" s="36"/>
      <c r="O501" s="322"/>
      <c r="P501" s="38"/>
      <c r="Q501" s="38"/>
      <c r="R501" s="279"/>
      <c r="S501" s="40"/>
      <c r="T501" s="22"/>
      <c r="U501" s="41"/>
      <c r="V501" s="4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>
      <c r="B502" s="22"/>
      <c r="C502" s="30"/>
      <c r="D502" s="30"/>
      <c r="E502" s="30"/>
      <c r="F502" s="32"/>
      <c r="G502" s="32"/>
      <c r="H502" s="42"/>
      <c r="I502" s="34"/>
      <c r="J502" s="35"/>
      <c r="K502" s="35"/>
      <c r="L502" s="34"/>
      <c r="M502" s="35"/>
      <c r="N502" s="36"/>
      <c r="O502" s="322"/>
      <c r="P502" s="38"/>
      <c r="Q502" s="38"/>
      <c r="R502" s="279"/>
      <c r="S502" s="40"/>
      <c r="T502" s="22"/>
      <c r="U502" s="41"/>
      <c r="V502" s="4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>
      <c r="B503" s="22"/>
      <c r="C503" s="30"/>
      <c r="D503" s="30"/>
      <c r="E503" s="30"/>
      <c r="F503" s="32"/>
      <c r="G503" s="32"/>
      <c r="H503" s="42"/>
      <c r="I503" s="34"/>
      <c r="J503" s="35"/>
      <c r="K503" s="35"/>
      <c r="L503" s="34"/>
      <c r="M503" s="35"/>
      <c r="N503" s="36"/>
      <c r="O503" s="322"/>
      <c r="P503" s="38"/>
      <c r="Q503" s="38"/>
      <c r="R503" s="279"/>
      <c r="S503" s="40"/>
      <c r="T503" s="22"/>
      <c r="U503" s="41"/>
      <c r="V503" s="4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>
      <c r="B504" s="22"/>
      <c r="C504" s="30"/>
      <c r="D504" s="30"/>
      <c r="E504" s="30"/>
      <c r="F504" s="32"/>
      <c r="G504" s="32"/>
      <c r="H504" s="42"/>
      <c r="I504" s="34"/>
      <c r="J504" s="35"/>
      <c r="K504" s="35"/>
      <c r="L504" s="34"/>
      <c r="M504" s="35"/>
      <c r="N504" s="36"/>
      <c r="O504" s="322"/>
      <c r="P504" s="38"/>
      <c r="Q504" s="38"/>
      <c r="R504" s="279"/>
      <c r="S504" s="40"/>
      <c r="T504" s="22"/>
      <c r="U504" s="41"/>
      <c r="V504" s="4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>
      <c r="B505" s="22"/>
      <c r="C505" s="30"/>
      <c r="D505" s="30"/>
      <c r="E505" s="30"/>
      <c r="F505" s="32"/>
      <c r="G505" s="32"/>
      <c r="H505" s="42"/>
      <c r="I505" s="34"/>
      <c r="J505" s="35"/>
      <c r="K505" s="35"/>
      <c r="L505" s="34"/>
      <c r="M505" s="35"/>
      <c r="N505" s="36"/>
      <c r="O505" s="322"/>
      <c r="P505" s="38"/>
      <c r="Q505" s="38"/>
      <c r="R505" s="279"/>
      <c r="S505" s="40"/>
      <c r="T505" s="22"/>
      <c r="U505" s="41"/>
      <c r="V505" s="4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>
      <c r="B506" s="22"/>
      <c r="C506" s="30"/>
      <c r="D506" s="30"/>
      <c r="E506" s="30"/>
      <c r="F506" s="32"/>
      <c r="G506" s="32"/>
      <c r="H506" s="42"/>
      <c r="I506" s="34"/>
      <c r="J506" s="35"/>
      <c r="K506" s="35"/>
      <c r="L506" s="34"/>
      <c r="M506" s="35"/>
      <c r="N506" s="36"/>
      <c r="O506" s="322"/>
      <c r="P506" s="38"/>
      <c r="Q506" s="38"/>
      <c r="R506" s="279"/>
      <c r="S506" s="40"/>
      <c r="T506" s="22"/>
      <c r="U506" s="41"/>
      <c r="V506" s="4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>
      <c r="B507" s="22"/>
      <c r="C507" s="30"/>
      <c r="D507" s="30"/>
      <c r="E507" s="30"/>
      <c r="F507" s="32"/>
      <c r="G507" s="32"/>
      <c r="H507" s="42"/>
      <c r="I507" s="34"/>
      <c r="J507" s="35"/>
      <c r="K507" s="35"/>
      <c r="L507" s="34"/>
      <c r="M507" s="35"/>
      <c r="N507" s="36"/>
      <c r="O507" s="322"/>
      <c r="P507" s="38"/>
      <c r="Q507" s="38"/>
      <c r="R507" s="279"/>
      <c r="S507" s="40"/>
      <c r="T507" s="22"/>
      <c r="U507" s="41"/>
      <c r="V507" s="4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>
      <c r="B508" s="22"/>
      <c r="C508" s="30"/>
      <c r="D508" s="30"/>
      <c r="E508" s="30"/>
      <c r="F508" s="32"/>
      <c r="G508" s="32"/>
      <c r="H508" s="42"/>
      <c r="I508" s="34"/>
      <c r="J508" s="35"/>
      <c r="K508" s="35"/>
      <c r="L508" s="34"/>
      <c r="M508" s="35"/>
      <c r="N508" s="36"/>
      <c r="O508" s="322"/>
      <c r="P508" s="38"/>
      <c r="Q508" s="38"/>
      <c r="R508" s="279"/>
      <c r="S508" s="40"/>
      <c r="T508" s="22"/>
      <c r="U508" s="41"/>
      <c r="V508" s="4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>
      <c r="B509" s="22"/>
      <c r="C509" s="30"/>
      <c r="D509" s="30"/>
      <c r="E509" s="30"/>
      <c r="F509" s="32"/>
      <c r="G509" s="32"/>
      <c r="H509" s="42"/>
      <c r="I509" s="34"/>
      <c r="J509" s="35"/>
      <c r="K509" s="35"/>
      <c r="L509" s="34"/>
      <c r="M509" s="35"/>
      <c r="N509" s="36"/>
      <c r="O509" s="322"/>
      <c r="P509" s="38"/>
      <c r="Q509" s="38"/>
      <c r="R509" s="279"/>
      <c r="S509" s="40"/>
      <c r="T509" s="22"/>
      <c r="U509" s="41"/>
      <c r="V509" s="4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>
      <c r="B510" s="22"/>
      <c r="C510" s="30"/>
      <c r="D510" s="30"/>
      <c r="E510" s="30"/>
      <c r="F510" s="32"/>
      <c r="G510" s="32"/>
      <c r="H510" s="42"/>
      <c r="I510" s="34"/>
      <c r="J510" s="35"/>
      <c r="K510" s="35"/>
      <c r="L510" s="34"/>
      <c r="M510" s="35"/>
      <c r="N510" s="36"/>
      <c r="O510" s="322"/>
      <c r="P510" s="38"/>
      <c r="Q510" s="38"/>
      <c r="R510" s="279"/>
      <c r="S510" s="40"/>
      <c r="T510" s="22"/>
      <c r="U510" s="41"/>
      <c r="V510" s="4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>
      <c r="B511" s="22"/>
      <c r="C511" s="30"/>
      <c r="D511" s="30"/>
      <c r="E511" s="30"/>
      <c r="F511" s="32"/>
      <c r="G511" s="32"/>
      <c r="H511" s="42"/>
      <c r="I511" s="34"/>
      <c r="J511" s="35"/>
      <c r="K511" s="35"/>
      <c r="L511" s="34"/>
      <c r="M511" s="35"/>
      <c r="N511" s="36"/>
      <c r="O511" s="322"/>
      <c r="P511" s="38"/>
      <c r="Q511" s="38"/>
      <c r="R511" s="279"/>
      <c r="S511" s="40"/>
      <c r="T511" s="22"/>
      <c r="U511" s="41"/>
      <c r="V511" s="4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>
      <c r="B512" s="22"/>
      <c r="C512" s="30"/>
      <c r="D512" s="30"/>
      <c r="E512" s="30"/>
      <c r="F512" s="32"/>
      <c r="G512" s="32"/>
      <c r="H512" s="42"/>
      <c r="I512" s="34"/>
      <c r="J512" s="35"/>
      <c r="K512" s="35"/>
      <c r="L512" s="34"/>
      <c r="M512" s="35"/>
      <c r="N512" s="36"/>
      <c r="O512" s="322"/>
      <c r="P512" s="38"/>
      <c r="Q512" s="38"/>
      <c r="R512" s="279"/>
      <c r="S512" s="40"/>
      <c r="T512" s="22"/>
      <c r="U512" s="41"/>
      <c r="V512" s="4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>
      <c r="B513" s="22"/>
      <c r="C513" s="30"/>
      <c r="D513" s="30"/>
      <c r="E513" s="30"/>
      <c r="F513" s="32"/>
      <c r="G513" s="32"/>
      <c r="H513" s="42"/>
      <c r="I513" s="34"/>
      <c r="J513" s="35"/>
      <c r="K513" s="35"/>
      <c r="L513" s="34"/>
      <c r="M513" s="35"/>
      <c r="N513" s="36"/>
      <c r="O513" s="322"/>
      <c r="P513" s="38"/>
      <c r="Q513" s="38"/>
      <c r="R513" s="279"/>
      <c r="S513" s="40"/>
      <c r="T513" s="22"/>
      <c r="U513" s="41"/>
      <c r="V513" s="4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>
      <c r="B514" s="22"/>
      <c r="C514" s="30"/>
      <c r="D514" s="30"/>
      <c r="E514" s="30"/>
      <c r="F514" s="32"/>
      <c r="G514" s="32"/>
      <c r="H514" s="42"/>
      <c r="I514" s="34"/>
      <c r="J514" s="35"/>
      <c r="K514" s="35"/>
      <c r="L514" s="34"/>
      <c r="M514" s="35"/>
      <c r="N514" s="36"/>
      <c r="O514" s="322"/>
      <c r="P514" s="38"/>
      <c r="Q514" s="38"/>
      <c r="R514" s="279"/>
      <c r="S514" s="40"/>
      <c r="T514" s="22"/>
      <c r="U514" s="41"/>
      <c r="V514" s="4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>
      <c r="B515" s="22"/>
      <c r="C515" s="30"/>
      <c r="D515" s="30"/>
      <c r="E515" s="30"/>
      <c r="F515" s="32"/>
      <c r="G515" s="32"/>
      <c r="H515" s="42"/>
      <c r="I515" s="34"/>
      <c r="J515" s="35"/>
      <c r="K515" s="35"/>
      <c r="L515" s="34"/>
      <c r="M515" s="35"/>
      <c r="N515" s="36"/>
      <c r="O515" s="322"/>
      <c r="P515" s="38"/>
      <c r="Q515" s="38"/>
      <c r="R515" s="279"/>
      <c r="S515" s="40"/>
      <c r="T515" s="22"/>
      <c r="U515" s="41"/>
      <c r="V515" s="4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>
      <c r="B516" s="22"/>
      <c r="C516" s="30"/>
      <c r="D516" s="30"/>
      <c r="E516" s="30"/>
      <c r="F516" s="32"/>
      <c r="G516" s="32"/>
      <c r="H516" s="42"/>
      <c r="I516" s="34"/>
      <c r="J516" s="35"/>
      <c r="K516" s="35"/>
      <c r="L516" s="34"/>
      <c r="M516" s="35"/>
      <c r="N516" s="36"/>
      <c r="O516" s="322"/>
      <c r="P516" s="38"/>
      <c r="Q516" s="38"/>
      <c r="R516" s="279"/>
      <c r="S516" s="40"/>
      <c r="T516" s="22"/>
      <c r="U516" s="41"/>
      <c r="V516" s="4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>
      <c r="B517" s="22"/>
      <c r="C517" s="30"/>
      <c r="D517" s="30"/>
      <c r="E517" s="30"/>
      <c r="F517" s="32"/>
      <c r="G517" s="32"/>
      <c r="H517" s="42"/>
      <c r="I517" s="34"/>
      <c r="J517" s="35"/>
      <c r="K517" s="35"/>
      <c r="L517" s="34"/>
      <c r="M517" s="35"/>
      <c r="N517" s="36"/>
      <c r="O517" s="322"/>
      <c r="P517" s="38"/>
      <c r="Q517" s="38"/>
      <c r="R517" s="279"/>
      <c r="S517" s="40"/>
      <c r="T517" s="22"/>
      <c r="U517" s="41"/>
      <c r="V517" s="4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>
      <c r="B518" s="22"/>
      <c r="C518" s="30"/>
      <c r="D518" s="30"/>
      <c r="E518" s="30"/>
      <c r="F518" s="32"/>
      <c r="G518" s="32"/>
      <c r="H518" s="42"/>
      <c r="I518" s="34"/>
      <c r="J518" s="35"/>
      <c r="K518" s="35"/>
      <c r="L518" s="34"/>
      <c r="M518" s="35"/>
      <c r="N518" s="36"/>
      <c r="O518" s="322"/>
      <c r="P518" s="38"/>
      <c r="Q518" s="38"/>
      <c r="R518" s="279"/>
      <c r="S518" s="40"/>
      <c r="T518" s="22"/>
      <c r="U518" s="41"/>
      <c r="V518" s="4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>
      <c r="B519" s="22"/>
      <c r="C519" s="30"/>
      <c r="D519" s="30"/>
      <c r="E519" s="30"/>
      <c r="F519" s="32"/>
      <c r="G519" s="32"/>
      <c r="H519" s="42"/>
      <c r="I519" s="34"/>
      <c r="J519" s="35"/>
      <c r="K519" s="35"/>
      <c r="L519" s="34"/>
      <c r="M519" s="35"/>
      <c r="N519" s="36"/>
      <c r="O519" s="322"/>
      <c r="P519" s="38"/>
      <c r="Q519" s="38"/>
      <c r="R519" s="279"/>
      <c r="S519" s="40"/>
      <c r="T519" s="22"/>
      <c r="U519" s="41"/>
      <c r="V519" s="4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>
      <c r="B520" s="22"/>
      <c r="C520" s="30"/>
      <c r="D520" s="30"/>
      <c r="E520" s="30"/>
      <c r="F520" s="32"/>
      <c r="G520" s="32"/>
      <c r="H520" s="42"/>
      <c r="I520" s="34"/>
      <c r="J520" s="35"/>
      <c r="K520" s="35"/>
      <c r="L520" s="34"/>
      <c r="M520" s="35"/>
      <c r="N520" s="36"/>
      <c r="O520" s="322"/>
      <c r="P520" s="38"/>
      <c r="Q520" s="38"/>
      <c r="R520" s="279"/>
      <c r="S520" s="40"/>
      <c r="T520" s="22"/>
      <c r="U520" s="41"/>
      <c r="V520" s="4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>
      <c r="B521" s="22"/>
      <c r="C521" s="30"/>
      <c r="D521" s="30"/>
      <c r="E521" s="30"/>
      <c r="F521" s="32"/>
      <c r="G521" s="32"/>
      <c r="H521" s="42"/>
      <c r="I521" s="34"/>
      <c r="J521" s="35"/>
      <c r="K521" s="35"/>
      <c r="L521" s="34"/>
      <c r="M521" s="35"/>
      <c r="N521" s="36"/>
      <c r="O521" s="322"/>
      <c r="P521" s="38"/>
      <c r="Q521" s="38"/>
      <c r="R521" s="279"/>
      <c r="S521" s="40"/>
      <c r="T521" s="22"/>
      <c r="U521" s="41"/>
      <c r="V521" s="4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>
      <c r="B522" s="22"/>
      <c r="C522" s="30"/>
      <c r="D522" s="30"/>
      <c r="E522" s="30"/>
      <c r="F522" s="32"/>
      <c r="G522" s="32"/>
      <c r="H522" s="42"/>
      <c r="I522" s="34"/>
      <c r="J522" s="35"/>
      <c r="K522" s="35"/>
      <c r="L522" s="34"/>
      <c r="M522" s="35"/>
      <c r="N522" s="36"/>
      <c r="O522" s="322"/>
      <c r="P522" s="38"/>
      <c r="Q522" s="38"/>
      <c r="R522" s="279"/>
      <c r="S522" s="40"/>
      <c r="T522" s="22"/>
      <c r="U522" s="41"/>
      <c r="V522" s="4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>
      <c r="B523" s="22"/>
      <c r="C523" s="30"/>
      <c r="D523" s="30"/>
      <c r="E523" s="30"/>
      <c r="F523" s="32"/>
      <c r="G523" s="32"/>
      <c r="H523" s="42"/>
      <c r="I523" s="34"/>
      <c r="J523" s="35"/>
      <c r="K523" s="35"/>
      <c r="L523" s="34"/>
      <c r="M523" s="35"/>
      <c r="N523" s="36"/>
      <c r="O523" s="322"/>
      <c r="P523" s="38"/>
      <c r="Q523" s="38"/>
      <c r="R523" s="279"/>
      <c r="S523" s="40"/>
      <c r="T523" s="22"/>
      <c r="U523" s="41"/>
      <c r="V523" s="4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>
      <c r="B524" s="22"/>
      <c r="C524" s="30"/>
      <c r="D524" s="30"/>
      <c r="E524" s="30"/>
      <c r="F524" s="32"/>
      <c r="G524" s="32"/>
      <c r="H524" s="42"/>
      <c r="I524" s="34"/>
      <c r="J524" s="35"/>
      <c r="K524" s="35"/>
      <c r="L524" s="34"/>
      <c r="M524" s="35"/>
      <c r="N524" s="36"/>
      <c r="O524" s="322"/>
      <c r="P524" s="38"/>
      <c r="Q524" s="38"/>
      <c r="R524" s="279"/>
      <c r="S524" s="40"/>
      <c r="T524" s="22"/>
      <c r="U524" s="41"/>
      <c r="V524" s="4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>
      <c r="B525" s="22"/>
      <c r="C525" s="30"/>
      <c r="D525" s="30"/>
      <c r="E525" s="30"/>
      <c r="F525" s="32"/>
      <c r="G525" s="32"/>
      <c r="H525" s="42"/>
      <c r="I525" s="34"/>
      <c r="J525" s="35"/>
      <c r="K525" s="35"/>
      <c r="L525" s="34"/>
      <c r="M525" s="35"/>
      <c r="N525" s="36"/>
      <c r="O525" s="322"/>
      <c r="P525" s="38"/>
      <c r="Q525" s="38"/>
      <c r="R525" s="279"/>
      <c r="S525" s="40"/>
      <c r="T525" s="22"/>
      <c r="U525" s="41"/>
      <c r="V525" s="4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>
      <c r="B526" s="22"/>
      <c r="C526" s="30"/>
      <c r="D526" s="30"/>
      <c r="E526" s="30"/>
      <c r="F526" s="32"/>
      <c r="G526" s="32"/>
      <c r="H526" s="42"/>
      <c r="I526" s="34"/>
      <c r="J526" s="35"/>
      <c r="K526" s="35"/>
      <c r="L526" s="34"/>
      <c r="M526" s="35"/>
      <c r="N526" s="36"/>
      <c r="O526" s="322"/>
      <c r="P526" s="38"/>
      <c r="Q526" s="38"/>
      <c r="R526" s="279"/>
      <c r="S526" s="40"/>
      <c r="T526" s="22"/>
      <c r="U526" s="41"/>
      <c r="V526" s="4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>
      <c r="B527" s="22"/>
      <c r="C527" s="30"/>
      <c r="D527" s="30"/>
      <c r="E527" s="30"/>
      <c r="F527" s="32"/>
      <c r="G527" s="32"/>
      <c r="H527" s="42"/>
      <c r="I527" s="34"/>
      <c r="J527" s="35"/>
      <c r="K527" s="35"/>
      <c r="L527" s="34"/>
      <c r="M527" s="35"/>
      <c r="N527" s="36"/>
      <c r="O527" s="322"/>
      <c r="P527" s="38"/>
      <c r="Q527" s="38"/>
      <c r="R527" s="279"/>
      <c r="S527" s="40"/>
      <c r="T527" s="22"/>
      <c r="U527" s="41"/>
      <c r="V527" s="4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>
      <c r="B528" s="22"/>
      <c r="C528" s="30"/>
      <c r="D528" s="30"/>
      <c r="E528" s="30"/>
      <c r="F528" s="32"/>
      <c r="G528" s="32"/>
      <c r="H528" s="42"/>
      <c r="I528" s="34"/>
      <c r="J528" s="35"/>
      <c r="K528" s="35"/>
      <c r="L528" s="34"/>
      <c r="M528" s="35"/>
      <c r="N528" s="36"/>
      <c r="O528" s="322"/>
      <c r="P528" s="38"/>
      <c r="Q528" s="38"/>
      <c r="R528" s="279"/>
      <c r="S528" s="40"/>
      <c r="T528" s="22"/>
      <c r="U528" s="41"/>
      <c r="V528" s="4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>
      <c r="B529" s="22"/>
      <c r="C529" s="30"/>
      <c r="D529" s="30"/>
      <c r="E529" s="30"/>
      <c r="F529" s="32"/>
      <c r="G529" s="32"/>
      <c r="H529" s="42"/>
      <c r="I529" s="34"/>
      <c r="J529" s="35"/>
      <c r="K529" s="35"/>
      <c r="L529" s="34"/>
      <c r="M529" s="35"/>
      <c r="N529" s="36"/>
      <c r="O529" s="322"/>
      <c r="P529" s="38"/>
      <c r="Q529" s="38"/>
      <c r="R529" s="279"/>
      <c r="S529" s="40"/>
      <c r="T529" s="22"/>
      <c r="U529" s="41"/>
      <c r="V529" s="4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>
      <c r="B530" s="22"/>
      <c r="C530" s="30"/>
      <c r="D530" s="30"/>
      <c r="E530" s="30"/>
      <c r="F530" s="32"/>
      <c r="G530" s="32"/>
      <c r="H530" s="42"/>
      <c r="I530" s="34"/>
      <c r="J530" s="35"/>
      <c r="K530" s="35"/>
      <c r="L530" s="34"/>
      <c r="M530" s="35"/>
      <c r="N530" s="36"/>
      <c r="O530" s="322"/>
      <c r="P530" s="38"/>
      <c r="Q530" s="38"/>
      <c r="R530" s="279"/>
      <c r="S530" s="40"/>
      <c r="T530" s="22"/>
      <c r="U530" s="41"/>
      <c r="V530" s="4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>
      <c r="B531" s="22"/>
      <c r="C531" s="30"/>
      <c r="D531" s="30"/>
      <c r="E531" s="30"/>
      <c r="F531" s="32"/>
      <c r="G531" s="32"/>
      <c r="H531" s="42"/>
      <c r="I531" s="34"/>
      <c r="J531" s="35"/>
      <c r="K531" s="35"/>
      <c r="L531" s="34"/>
      <c r="M531" s="35"/>
      <c r="N531" s="36"/>
      <c r="O531" s="322"/>
      <c r="P531" s="38"/>
      <c r="Q531" s="38"/>
      <c r="R531" s="279"/>
      <c r="S531" s="40"/>
      <c r="T531" s="22"/>
      <c r="U531" s="41"/>
      <c r="V531" s="4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>
      <c r="B532" s="22"/>
      <c r="C532" s="30"/>
      <c r="D532" s="30"/>
      <c r="E532" s="30"/>
      <c r="F532" s="32"/>
      <c r="G532" s="32"/>
      <c r="H532" s="42"/>
      <c r="I532" s="34"/>
      <c r="J532" s="35"/>
      <c r="K532" s="35"/>
      <c r="L532" s="34"/>
      <c r="M532" s="35"/>
      <c r="N532" s="36"/>
      <c r="O532" s="322"/>
      <c r="P532" s="38"/>
      <c r="Q532" s="38"/>
      <c r="R532" s="279"/>
      <c r="S532" s="40"/>
      <c r="T532" s="22"/>
      <c r="U532" s="41"/>
      <c r="V532" s="4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>
      <c r="B533" s="22"/>
      <c r="C533" s="30"/>
      <c r="D533" s="30"/>
      <c r="E533" s="30"/>
      <c r="F533" s="32"/>
      <c r="G533" s="32"/>
      <c r="H533" s="42"/>
      <c r="I533" s="34"/>
      <c r="J533" s="35"/>
      <c r="K533" s="35"/>
      <c r="L533" s="34"/>
      <c r="M533" s="35"/>
      <c r="N533" s="36"/>
      <c r="O533" s="322"/>
      <c r="P533" s="38"/>
      <c r="Q533" s="38"/>
      <c r="R533" s="279"/>
      <c r="S533" s="40"/>
      <c r="T533" s="22"/>
      <c r="U533" s="41"/>
      <c r="V533" s="4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>
      <c r="B534" s="22"/>
      <c r="C534" s="30"/>
      <c r="D534" s="30"/>
      <c r="E534" s="30"/>
      <c r="F534" s="32"/>
      <c r="G534" s="32"/>
      <c r="H534" s="42"/>
      <c r="I534" s="34"/>
      <c r="J534" s="35"/>
      <c r="K534" s="35"/>
      <c r="L534" s="34"/>
      <c r="M534" s="35"/>
      <c r="N534" s="36"/>
      <c r="O534" s="322"/>
      <c r="P534" s="38"/>
      <c r="Q534" s="38"/>
      <c r="R534" s="279"/>
      <c r="S534" s="40"/>
      <c r="T534" s="22"/>
      <c r="U534" s="41"/>
      <c r="V534" s="4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>
      <c r="B535" s="22"/>
      <c r="C535" s="30"/>
      <c r="D535" s="30"/>
      <c r="E535" s="30"/>
      <c r="F535" s="32"/>
      <c r="G535" s="32"/>
      <c r="H535" s="42"/>
      <c r="I535" s="34"/>
      <c r="J535" s="35"/>
      <c r="K535" s="35"/>
      <c r="L535" s="34"/>
      <c r="M535" s="35"/>
      <c r="N535" s="36"/>
      <c r="O535" s="322"/>
      <c r="P535" s="38"/>
      <c r="Q535" s="38"/>
      <c r="R535" s="279"/>
      <c r="S535" s="40"/>
      <c r="T535" s="22"/>
      <c r="U535" s="41"/>
      <c r="V535" s="4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>
      <c r="B536" s="22"/>
      <c r="C536" s="30"/>
      <c r="D536" s="30"/>
      <c r="E536" s="30"/>
      <c r="F536" s="32"/>
      <c r="G536" s="32"/>
      <c r="H536" s="42"/>
      <c r="I536" s="34"/>
      <c r="J536" s="35"/>
      <c r="K536" s="35"/>
      <c r="L536" s="34"/>
      <c r="M536" s="35"/>
      <c r="N536" s="36"/>
      <c r="O536" s="322"/>
      <c r="P536" s="38"/>
      <c r="Q536" s="38"/>
      <c r="R536" s="279"/>
      <c r="S536" s="40"/>
      <c r="T536" s="22"/>
      <c r="U536" s="41"/>
      <c r="V536" s="4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>
      <c r="B537" s="22"/>
      <c r="C537" s="30"/>
      <c r="D537" s="30"/>
      <c r="E537" s="30"/>
      <c r="F537" s="32"/>
      <c r="G537" s="32"/>
      <c r="H537" s="42"/>
      <c r="I537" s="34"/>
      <c r="J537" s="35"/>
      <c r="K537" s="35"/>
      <c r="L537" s="34"/>
      <c r="M537" s="35"/>
      <c r="N537" s="36"/>
      <c r="O537" s="322"/>
      <c r="P537" s="38"/>
      <c r="Q537" s="38"/>
      <c r="R537" s="279"/>
      <c r="S537" s="40"/>
      <c r="T537" s="22"/>
      <c r="U537" s="41"/>
      <c r="V537" s="4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>
      <c r="B538" s="22"/>
      <c r="C538" s="30"/>
      <c r="D538" s="30"/>
      <c r="E538" s="30"/>
      <c r="F538" s="32"/>
      <c r="G538" s="32"/>
      <c r="H538" s="42"/>
      <c r="I538" s="34"/>
      <c r="J538" s="35"/>
      <c r="K538" s="35"/>
      <c r="L538" s="34"/>
      <c r="M538" s="35"/>
      <c r="N538" s="36"/>
      <c r="O538" s="322"/>
      <c r="P538" s="38"/>
      <c r="Q538" s="38"/>
      <c r="R538" s="279"/>
      <c r="S538" s="40"/>
      <c r="T538" s="22"/>
      <c r="U538" s="41"/>
      <c r="V538" s="4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>
      <c r="B539" s="22"/>
      <c r="C539" s="30"/>
      <c r="D539" s="30"/>
      <c r="E539" s="30"/>
      <c r="F539" s="32"/>
      <c r="G539" s="32"/>
      <c r="H539" s="42"/>
      <c r="I539" s="34"/>
      <c r="J539" s="35"/>
      <c r="K539" s="35"/>
      <c r="L539" s="34"/>
      <c r="M539" s="35"/>
      <c r="N539" s="36"/>
      <c r="O539" s="322"/>
      <c r="P539" s="38"/>
      <c r="Q539" s="38"/>
      <c r="R539" s="279"/>
      <c r="S539" s="40"/>
      <c r="T539" s="22"/>
      <c r="U539" s="41"/>
      <c r="V539" s="4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>
      <c r="B540" s="22"/>
      <c r="C540" s="30"/>
      <c r="D540" s="30"/>
      <c r="E540" s="30"/>
      <c r="F540" s="32"/>
      <c r="G540" s="32"/>
      <c r="H540" s="42"/>
      <c r="I540" s="34"/>
      <c r="J540" s="35"/>
      <c r="K540" s="35"/>
      <c r="L540" s="34"/>
      <c r="M540" s="35"/>
      <c r="N540" s="36"/>
      <c r="O540" s="322"/>
      <c r="P540" s="38"/>
      <c r="Q540" s="38"/>
      <c r="R540" s="279"/>
      <c r="S540" s="40"/>
      <c r="T540" s="22"/>
      <c r="U540" s="41"/>
      <c r="V540" s="4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>
      <c r="B541" s="22"/>
      <c r="C541" s="30"/>
      <c r="D541" s="30"/>
      <c r="E541" s="30"/>
      <c r="F541" s="32"/>
      <c r="G541" s="32"/>
      <c r="H541" s="42"/>
      <c r="I541" s="34"/>
      <c r="J541" s="35"/>
      <c r="K541" s="35"/>
      <c r="L541" s="34"/>
      <c r="M541" s="35"/>
      <c r="N541" s="36"/>
      <c r="O541" s="322"/>
      <c r="P541" s="38"/>
      <c r="Q541" s="38"/>
      <c r="R541" s="279"/>
      <c r="S541" s="40"/>
      <c r="T541" s="22"/>
      <c r="U541" s="41"/>
      <c r="V541" s="4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>
      <c r="B542" s="22"/>
      <c r="C542" s="30"/>
      <c r="D542" s="30"/>
      <c r="E542" s="30"/>
      <c r="F542" s="32"/>
      <c r="G542" s="32"/>
      <c r="H542" s="42"/>
      <c r="I542" s="34"/>
      <c r="J542" s="35"/>
      <c r="K542" s="35"/>
      <c r="L542" s="34"/>
      <c r="M542" s="35"/>
      <c r="N542" s="36"/>
      <c r="O542" s="322"/>
      <c r="P542" s="38"/>
      <c r="Q542" s="38"/>
      <c r="R542" s="279"/>
      <c r="S542" s="40"/>
      <c r="T542" s="22"/>
      <c r="U542" s="41"/>
      <c r="V542" s="4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>
      <c r="B543" s="22"/>
      <c r="C543" s="30"/>
      <c r="D543" s="30"/>
      <c r="E543" s="30"/>
      <c r="F543" s="32"/>
      <c r="G543" s="32"/>
      <c r="H543" s="42"/>
      <c r="I543" s="34"/>
      <c r="J543" s="35"/>
      <c r="K543" s="35"/>
      <c r="L543" s="34"/>
      <c r="M543" s="35"/>
      <c r="N543" s="36"/>
      <c r="O543" s="322"/>
      <c r="P543" s="38"/>
      <c r="Q543" s="38"/>
      <c r="R543" s="279"/>
      <c r="S543" s="40"/>
      <c r="T543" s="22"/>
      <c r="U543" s="41"/>
      <c r="V543" s="4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>
      <c r="B544" s="22"/>
      <c r="C544" s="30"/>
      <c r="D544" s="30"/>
      <c r="E544" s="30"/>
      <c r="F544" s="32"/>
      <c r="G544" s="32"/>
      <c r="H544" s="42"/>
      <c r="I544" s="34"/>
      <c r="J544" s="35"/>
      <c r="K544" s="35"/>
      <c r="L544" s="34"/>
      <c r="M544" s="35"/>
      <c r="N544" s="36"/>
      <c r="O544" s="322"/>
      <c r="P544" s="38"/>
      <c r="Q544" s="38"/>
      <c r="R544" s="279"/>
      <c r="S544" s="40"/>
      <c r="T544" s="22"/>
      <c r="U544" s="41"/>
      <c r="V544" s="4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>
      <c r="B545" s="22"/>
      <c r="C545" s="30"/>
      <c r="D545" s="30"/>
      <c r="E545" s="30"/>
      <c r="F545" s="32"/>
      <c r="G545" s="32"/>
      <c r="H545" s="42"/>
      <c r="I545" s="34"/>
      <c r="J545" s="35"/>
      <c r="K545" s="35"/>
      <c r="L545" s="34"/>
      <c r="M545" s="35"/>
      <c r="N545" s="36"/>
      <c r="O545" s="322"/>
      <c r="P545" s="38"/>
      <c r="Q545" s="38"/>
      <c r="R545" s="279"/>
      <c r="S545" s="40"/>
      <c r="T545" s="22"/>
      <c r="U545" s="41"/>
      <c r="V545" s="4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>
      <c r="B546" s="22"/>
      <c r="C546" s="30"/>
      <c r="D546" s="30"/>
      <c r="E546" s="30"/>
      <c r="F546" s="32"/>
      <c r="G546" s="32"/>
      <c r="H546" s="42"/>
      <c r="I546" s="34"/>
      <c r="J546" s="35"/>
      <c r="K546" s="35"/>
      <c r="L546" s="34"/>
      <c r="M546" s="35"/>
      <c r="N546" s="36"/>
      <c r="O546" s="322"/>
      <c r="P546" s="38"/>
      <c r="Q546" s="38"/>
      <c r="R546" s="279"/>
      <c r="S546" s="40"/>
      <c r="T546" s="22"/>
      <c r="U546" s="41"/>
      <c r="V546" s="4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>
      <c r="B547" s="22"/>
      <c r="C547" s="30"/>
      <c r="D547" s="30"/>
      <c r="E547" s="30"/>
      <c r="F547" s="32"/>
      <c r="G547" s="32"/>
      <c r="H547" s="42"/>
      <c r="I547" s="34"/>
      <c r="J547" s="35"/>
      <c r="K547" s="35"/>
      <c r="L547" s="34"/>
      <c r="M547" s="35"/>
      <c r="N547" s="36"/>
      <c r="O547" s="322"/>
      <c r="P547" s="38"/>
      <c r="Q547" s="38"/>
      <c r="R547" s="279"/>
      <c r="S547" s="40"/>
      <c r="T547" s="22"/>
      <c r="U547" s="41"/>
      <c r="V547" s="4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>
      <c r="B548" s="22"/>
      <c r="C548" s="30"/>
      <c r="D548" s="30"/>
      <c r="E548" s="30"/>
      <c r="F548" s="32"/>
      <c r="G548" s="32"/>
      <c r="H548" s="42"/>
      <c r="I548" s="34"/>
      <c r="J548" s="35"/>
      <c r="K548" s="35"/>
      <c r="L548" s="34"/>
      <c r="M548" s="35"/>
      <c r="N548" s="36"/>
      <c r="O548" s="322"/>
      <c r="P548" s="38"/>
      <c r="Q548" s="38"/>
      <c r="R548" s="279"/>
      <c r="S548" s="40"/>
      <c r="T548" s="22"/>
      <c r="U548" s="41"/>
      <c r="V548" s="4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>
      <c r="B549" s="22"/>
      <c r="C549" s="30"/>
      <c r="D549" s="30"/>
      <c r="E549" s="30"/>
      <c r="F549" s="32"/>
      <c r="G549" s="32"/>
      <c r="H549" s="42"/>
      <c r="I549" s="34"/>
      <c r="J549" s="35"/>
      <c r="K549" s="35"/>
      <c r="L549" s="34"/>
      <c r="M549" s="35"/>
      <c r="N549" s="36"/>
      <c r="O549" s="322"/>
      <c r="P549" s="38"/>
      <c r="Q549" s="38"/>
      <c r="R549" s="279"/>
      <c r="S549" s="40"/>
      <c r="T549" s="22"/>
      <c r="U549" s="41"/>
      <c r="V549" s="4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>
      <c r="B550" s="22"/>
      <c r="C550" s="30"/>
      <c r="D550" s="30"/>
      <c r="E550" s="30"/>
      <c r="F550" s="32"/>
      <c r="G550" s="32"/>
      <c r="H550" s="42"/>
      <c r="I550" s="34"/>
      <c r="J550" s="35"/>
      <c r="K550" s="35"/>
      <c r="L550" s="34"/>
      <c r="M550" s="35"/>
      <c r="N550" s="36"/>
      <c r="O550" s="322"/>
      <c r="P550" s="38"/>
      <c r="Q550" s="38"/>
      <c r="R550" s="279"/>
      <c r="S550" s="40"/>
      <c r="T550" s="22"/>
      <c r="U550" s="41"/>
      <c r="V550" s="4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>
      <c r="B551" s="22"/>
      <c r="C551" s="30"/>
      <c r="D551" s="30"/>
      <c r="E551" s="30"/>
      <c r="F551" s="32"/>
      <c r="G551" s="32"/>
      <c r="H551" s="42"/>
      <c r="I551" s="34"/>
      <c r="J551" s="35"/>
      <c r="K551" s="35"/>
      <c r="L551" s="34"/>
      <c r="M551" s="35"/>
      <c r="N551" s="36"/>
      <c r="O551" s="322"/>
      <c r="P551" s="38"/>
      <c r="Q551" s="38"/>
      <c r="R551" s="279"/>
      <c r="S551" s="40"/>
      <c r="T551" s="22"/>
      <c r="U551" s="41"/>
      <c r="V551" s="4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>
      <c r="B552" s="22"/>
      <c r="C552" s="30"/>
      <c r="D552" s="30"/>
      <c r="E552" s="30"/>
      <c r="F552" s="32"/>
      <c r="G552" s="32"/>
      <c r="H552" s="42"/>
      <c r="I552" s="34"/>
      <c r="J552" s="35"/>
      <c r="K552" s="35"/>
      <c r="L552" s="34"/>
      <c r="M552" s="35"/>
      <c r="N552" s="36"/>
      <c r="O552" s="322"/>
      <c r="P552" s="38"/>
      <c r="Q552" s="38"/>
      <c r="R552" s="279"/>
      <c r="S552" s="40"/>
      <c r="T552" s="22"/>
      <c r="U552" s="41"/>
      <c r="V552" s="4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>
      <c r="B553" s="22"/>
      <c r="C553" s="30"/>
      <c r="D553" s="30"/>
      <c r="E553" s="30"/>
      <c r="F553" s="32"/>
      <c r="G553" s="32"/>
      <c r="H553" s="42"/>
      <c r="I553" s="34"/>
      <c r="J553" s="35"/>
      <c r="K553" s="35"/>
      <c r="L553" s="34"/>
      <c r="M553" s="35"/>
      <c r="N553" s="36"/>
      <c r="O553" s="322"/>
      <c r="P553" s="38"/>
      <c r="Q553" s="38"/>
      <c r="R553" s="279"/>
      <c r="S553" s="40"/>
      <c r="T553" s="22"/>
      <c r="U553" s="41"/>
      <c r="V553" s="4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>
      <c r="B554" s="22"/>
      <c r="C554" s="30"/>
      <c r="D554" s="30"/>
      <c r="E554" s="30"/>
      <c r="F554" s="32"/>
      <c r="G554" s="32"/>
      <c r="H554" s="42"/>
      <c r="I554" s="34"/>
      <c r="J554" s="35"/>
      <c r="K554" s="35"/>
      <c r="L554" s="34"/>
      <c r="M554" s="35"/>
      <c r="N554" s="36"/>
      <c r="O554" s="322"/>
      <c r="P554" s="38"/>
      <c r="Q554" s="38"/>
      <c r="R554" s="279"/>
      <c r="S554" s="40"/>
      <c r="T554" s="22"/>
      <c r="U554" s="41"/>
      <c r="V554" s="4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>
      <c r="B555" s="22"/>
      <c r="C555" s="30"/>
      <c r="D555" s="30"/>
      <c r="E555" s="30"/>
      <c r="F555" s="32"/>
      <c r="G555" s="32"/>
      <c r="H555" s="42"/>
      <c r="I555" s="34"/>
      <c r="J555" s="35"/>
      <c r="K555" s="35"/>
      <c r="L555" s="34"/>
      <c r="M555" s="35"/>
      <c r="N555" s="36"/>
      <c r="O555" s="322"/>
      <c r="P555" s="38"/>
      <c r="Q555" s="38"/>
      <c r="R555" s="279"/>
      <c r="S555" s="40"/>
      <c r="T555" s="22"/>
      <c r="U555" s="41"/>
      <c r="V555" s="4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>
      <c r="B556" s="22"/>
      <c r="C556" s="30"/>
      <c r="D556" s="30"/>
      <c r="E556" s="30"/>
      <c r="F556" s="32"/>
      <c r="G556" s="32"/>
      <c r="H556" s="42"/>
      <c r="I556" s="34"/>
      <c r="J556" s="35"/>
      <c r="K556" s="35"/>
      <c r="L556" s="34"/>
      <c r="M556" s="35"/>
      <c r="N556" s="36"/>
      <c r="O556" s="322"/>
      <c r="P556" s="38"/>
      <c r="Q556" s="38"/>
      <c r="R556" s="279"/>
      <c r="S556" s="40"/>
      <c r="T556" s="22"/>
      <c r="U556" s="41"/>
      <c r="V556" s="4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>
      <c r="B557" s="22"/>
      <c r="C557" s="30"/>
      <c r="D557" s="30"/>
      <c r="E557" s="30"/>
      <c r="F557" s="32"/>
      <c r="G557" s="32"/>
      <c r="H557" s="42"/>
      <c r="I557" s="34"/>
      <c r="J557" s="35"/>
      <c r="K557" s="35"/>
      <c r="L557" s="34"/>
      <c r="M557" s="35"/>
      <c r="N557" s="36"/>
      <c r="O557" s="322"/>
      <c r="P557" s="38"/>
      <c r="Q557" s="38"/>
      <c r="R557" s="279"/>
      <c r="S557" s="40"/>
      <c r="T557" s="22"/>
      <c r="U557" s="41"/>
      <c r="V557" s="4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>
      <c r="B558" s="22"/>
      <c r="C558" s="30"/>
      <c r="D558" s="30"/>
      <c r="E558" s="30"/>
      <c r="F558" s="32"/>
      <c r="G558" s="32"/>
      <c r="H558" s="42"/>
      <c r="I558" s="34"/>
      <c r="J558" s="35"/>
      <c r="K558" s="35"/>
      <c r="L558" s="34"/>
      <c r="M558" s="35"/>
      <c r="N558" s="36"/>
      <c r="O558" s="322"/>
      <c r="P558" s="38"/>
      <c r="Q558" s="38"/>
      <c r="R558" s="279"/>
      <c r="S558" s="40"/>
      <c r="T558" s="22"/>
      <c r="U558" s="41"/>
      <c r="V558" s="4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>
      <c r="B559" s="22"/>
      <c r="C559" s="30"/>
      <c r="D559" s="30"/>
      <c r="E559" s="30"/>
      <c r="F559" s="32"/>
      <c r="G559" s="32"/>
      <c r="H559" s="42"/>
      <c r="I559" s="34"/>
      <c r="J559" s="35"/>
      <c r="K559" s="35"/>
      <c r="L559" s="34"/>
      <c r="M559" s="35"/>
      <c r="N559" s="36"/>
      <c r="O559" s="322"/>
      <c r="P559" s="38"/>
      <c r="Q559" s="38"/>
      <c r="R559" s="279"/>
      <c r="S559" s="40"/>
      <c r="T559" s="22"/>
      <c r="U559" s="41"/>
      <c r="V559" s="4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>
      <c r="B560" s="22"/>
      <c r="C560" s="30"/>
      <c r="D560" s="30"/>
      <c r="E560" s="30"/>
      <c r="F560" s="32"/>
      <c r="G560" s="32"/>
      <c r="H560" s="42"/>
      <c r="I560" s="34"/>
      <c r="J560" s="35"/>
      <c r="K560" s="35"/>
      <c r="L560" s="34"/>
      <c r="M560" s="35"/>
      <c r="N560" s="36"/>
      <c r="O560" s="322"/>
      <c r="P560" s="38"/>
      <c r="Q560" s="38"/>
      <c r="R560" s="279"/>
      <c r="S560" s="40"/>
      <c r="T560" s="22"/>
      <c r="U560" s="41"/>
      <c r="V560" s="4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>
      <c r="B561" s="22"/>
      <c r="C561" s="30"/>
      <c r="D561" s="30"/>
      <c r="E561" s="30"/>
      <c r="F561" s="32"/>
      <c r="G561" s="32"/>
      <c r="H561" s="42"/>
      <c r="I561" s="34"/>
      <c r="J561" s="35"/>
      <c r="K561" s="35"/>
      <c r="L561" s="34"/>
      <c r="M561" s="35"/>
      <c r="N561" s="36"/>
      <c r="O561" s="322"/>
      <c r="P561" s="38"/>
      <c r="Q561" s="38"/>
      <c r="R561" s="279"/>
      <c r="S561" s="40"/>
      <c r="T561" s="22"/>
      <c r="U561" s="41"/>
      <c r="V561" s="4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>
      <c r="B562" s="22"/>
      <c r="C562" s="30"/>
      <c r="D562" s="30"/>
      <c r="E562" s="30"/>
      <c r="F562" s="32"/>
      <c r="G562" s="32"/>
      <c r="H562" s="42"/>
      <c r="I562" s="34"/>
      <c r="J562" s="35"/>
      <c r="K562" s="35"/>
      <c r="L562" s="34"/>
      <c r="M562" s="35"/>
      <c r="N562" s="36"/>
      <c r="O562" s="322"/>
      <c r="P562" s="38"/>
      <c r="Q562" s="38"/>
      <c r="R562" s="279"/>
      <c r="S562" s="40"/>
      <c r="T562" s="22"/>
      <c r="U562" s="41"/>
      <c r="V562" s="4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>
      <c r="B563" s="22"/>
      <c r="C563" s="30"/>
      <c r="D563" s="30"/>
      <c r="E563" s="30"/>
      <c r="F563" s="32"/>
      <c r="G563" s="32"/>
      <c r="H563" s="42"/>
      <c r="I563" s="34"/>
      <c r="J563" s="35"/>
      <c r="K563" s="35"/>
      <c r="L563" s="34"/>
      <c r="M563" s="35"/>
      <c r="N563" s="36"/>
      <c r="O563" s="322"/>
      <c r="P563" s="38"/>
      <c r="Q563" s="38"/>
      <c r="R563" s="279"/>
      <c r="S563" s="40"/>
      <c r="T563" s="22"/>
      <c r="U563" s="41"/>
      <c r="V563" s="4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>
      <c r="B564" s="22"/>
      <c r="C564" s="30"/>
      <c r="D564" s="30"/>
      <c r="E564" s="30"/>
      <c r="F564" s="32"/>
      <c r="G564" s="32"/>
      <c r="H564" s="42"/>
      <c r="I564" s="34"/>
      <c r="J564" s="35"/>
      <c r="K564" s="35"/>
      <c r="L564" s="34"/>
      <c r="M564" s="35"/>
      <c r="N564" s="36"/>
      <c r="O564" s="322"/>
      <c r="P564" s="38"/>
      <c r="Q564" s="38"/>
      <c r="R564" s="279"/>
      <c r="S564" s="40"/>
      <c r="T564" s="22"/>
      <c r="U564" s="41"/>
      <c r="V564" s="4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>
      <c r="B565" s="22"/>
      <c r="C565" s="30"/>
      <c r="D565" s="30"/>
      <c r="E565" s="30"/>
      <c r="F565" s="32"/>
      <c r="G565" s="32"/>
      <c r="H565" s="42"/>
      <c r="I565" s="34"/>
      <c r="J565" s="35"/>
      <c r="K565" s="35"/>
      <c r="L565" s="34"/>
      <c r="M565" s="35"/>
      <c r="N565" s="36"/>
      <c r="O565" s="322"/>
      <c r="P565" s="38"/>
      <c r="Q565" s="38"/>
      <c r="R565" s="279"/>
      <c r="S565" s="40"/>
      <c r="T565" s="22"/>
      <c r="U565" s="41"/>
      <c r="V565" s="4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>
      <c r="B566" s="22"/>
      <c r="C566" s="30"/>
      <c r="D566" s="30"/>
      <c r="E566" s="30"/>
      <c r="F566" s="32"/>
      <c r="G566" s="32"/>
      <c r="H566" s="42"/>
      <c r="I566" s="34"/>
      <c r="J566" s="35"/>
      <c r="K566" s="35"/>
      <c r="L566" s="34"/>
      <c r="M566" s="35"/>
      <c r="N566" s="36"/>
      <c r="O566" s="322"/>
      <c r="P566" s="38"/>
      <c r="Q566" s="38"/>
      <c r="R566" s="279"/>
      <c r="S566" s="40"/>
      <c r="T566" s="22"/>
      <c r="U566" s="41"/>
      <c r="V566" s="4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>
      <c r="B567" s="22"/>
      <c r="C567" s="30"/>
      <c r="D567" s="30"/>
      <c r="E567" s="30"/>
      <c r="F567" s="32"/>
      <c r="G567" s="32"/>
      <c r="H567" s="42"/>
      <c r="I567" s="34"/>
      <c r="J567" s="35"/>
      <c r="K567" s="35"/>
      <c r="L567" s="34"/>
      <c r="M567" s="35"/>
      <c r="N567" s="36"/>
      <c r="O567" s="322"/>
      <c r="P567" s="38"/>
      <c r="Q567" s="38"/>
      <c r="R567" s="279"/>
      <c r="S567" s="40"/>
      <c r="T567" s="22"/>
      <c r="U567" s="41"/>
      <c r="V567" s="4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>
      <c r="B568" s="22"/>
      <c r="C568" s="30"/>
      <c r="D568" s="30"/>
      <c r="E568" s="30"/>
      <c r="F568" s="32"/>
      <c r="G568" s="32"/>
      <c r="H568" s="42"/>
      <c r="I568" s="34"/>
      <c r="J568" s="35"/>
      <c r="K568" s="35"/>
      <c r="L568" s="34"/>
      <c r="M568" s="35"/>
      <c r="N568" s="36"/>
      <c r="O568" s="322"/>
      <c r="P568" s="38"/>
      <c r="Q568" s="38"/>
      <c r="R568" s="279"/>
      <c r="S568" s="40"/>
      <c r="T568" s="22"/>
      <c r="U568" s="41"/>
      <c r="V568" s="4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>
      <c r="B569" s="22"/>
      <c r="C569" s="30"/>
      <c r="D569" s="30"/>
      <c r="E569" s="30"/>
      <c r="F569" s="32"/>
      <c r="G569" s="32"/>
      <c r="H569" s="42"/>
      <c r="I569" s="34"/>
      <c r="J569" s="35"/>
      <c r="K569" s="35"/>
      <c r="L569" s="34"/>
      <c r="M569" s="35"/>
      <c r="N569" s="36"/>
      <c r="O569" s="322"/>
      <c r="P569" s="38"/>
      <c r="Q569" s="38"/>
      <c r="R569" s="279"/>
      <c r="S569" s="40"/>
      <c r="T569" s="22"/>
      <c r="U569" s="41"/>
      <c r="V569" s="4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>
      <c r="B570" s="22"/>
      <c r="C570" s="30"/>
      <c r="D570" s="30"/>
      <c r="E570" s="30"/>
      <c r="F570" s="32"/>
      <c r="G570" s="32"/>
      <c r="H570" s="42"/>
      <c r="I570" s="34"/>
      <c r="J570" s="35"/>
      <c r="K570" s="35"/>
      <c r="L570" s="34"/>
      <c r="M570" s="35"/>
      <c r="N570" s="36"/>
      <c r="O570" s="322"/>
      <c r="P570" s="38"/>
      <c r="Q570" s="38"/>
      <c r="R570" s="279"/>
      <c r="S570" s="40"/>
      <c r="T570" s="22"/>
      <c r="U570" s="41"/>
      <c r="V570" s="4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>
      <c r="B571" s="22"/>
      <c r="C571" s="30"/>
      <c r="D571" s="30"/>
      <c r="E571" s="30"/>
      <c r="F571" s="32"/>
      <c r="G571" s="32"/>
      <c r="H571" s="42"/>
      <c r="I571" s="34"/>
      <c r="J571" s="35"/>
      <c r="K571" s="35"/>
      <c r="L571" s="34"/>
      <c r="M571" s="35"/>
      <c r="N571" s="36"/>
      <c r="O571" s="322"/>
      <c r="P571" s="38"/>
      <c r="Q571" s="38"/>
      <c r="R571" s="279"/>
      <c r="S571" s="40"/>
      <c r="T571" s="22"/>
      <c r="U571" s="41"/>
      <c r="V571" s="4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>
      <c r="B572" s="22"/>
      <c r="C572" s="30"/>
      <c r="D572" s="30"/>
      <c r="E572" s="30"/>
      <c r="F572" s="32"/>
      <c r="G572" s="32"/>
      <c r="H572" s="42"/>
      <c r="I572" s="34"/>
      <c r="J572" s="35"/>
      <c r="K572" s="35"/>
      <c r="L572" s="34"/>
      <c r="M572" s="35"/>
      <c r="N572" s="36"/>
      <c r="O572" s="322"/>
      <c r="P572" s="38"/>
      <c r="Q572" s="38"/>
      <c r="R572" s="279"/>
      <c r="S572" s="40"/>
      <c r="T572" s="22"/>
      <c r="U572" s="41"/>
      <c r="V572" s="4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>
      <c r="B573" s="22"/>
      <c r="C573" s="30"/>
      <c r="D573" s="30"/>
      <c r="E573" s="30"/>
      <c r="F573" s="32"/>
      <c r="G573" s="32"/>
      <c r="H573" s="42"/>
      <c r="I573" s="34"/>
      <c r="J573" s="35"/>
      <c r="K573" s="35"/>
      <c r="L573" s="34"/>
      <c r="M573" s="35"/>
      <c r="N573" s="36"/>
      <c r="O573" s="322"/>
      <c r="P573" s="38"/>
      <c r="Q573" s="38"/>
      <c r="R573" s="279"/>
      <c r="S573" s="40"/>
      <c r="T573" s="22"/>
      <c r="U573" s="41"/>
      <c r="V573" s="4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>
      <c r="B574" s="22"/>
      <c r="C574" s="30"/>
      <c r="D574" s="30"/>
      <c r="E574" s="30"/>
      <c r="F574" s="32"/>
      <c r="G574" s="32"/>
      <c r="H574" s="42"/>
      <c r="I574" s="34"/>
      <c r="J574" s="35"/>
      <c r="K574" s="35"/>
      <c r="L574" s="34"/>
      <c r="M574" s="35"/>
      <c r="N574" s="36"/>
      <c r="O574" s="322"/>
      <c r="P574" s="38"/>
      <c r="Q574" s="38"/>
      <c r="R574" s="279"/>
      <c r="S574" s="40"/>
      <c r="T574" s="22"/>
      <c r="U574" s="41"/>
      <c r="V574" s="4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>
      <c r="B575" s="22"/>
      <c r="C575" s="30"/>
      <c r="D575" s="30"/>
      <c r="E575" s="30"/>
      <c r="F575" s="32"/>
      <c r="G575" s="32"/>
      <c r="H575" s="42"/>
      <c r="I575" s="34"/>
      <c r="J575" s="35"/>
      <c r="K575" s="35"/>
      <c r="L575" s="34"/>
      <c r="M575" s="35"/>
      <c r="N575" s="36"/>
      <c r="O575" s="322"/>
      <c r="P575" s="38"/>
      <c r="Q575" s="38"/>
      <c r="R575" s="279"/>
      <c r="S575" s="40"/>
      <c r="T575" s="22"/>
      <c r="U575" s="41"/>
      <c r="V575" s="4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>
      <c r="B576" s="22"/>
      <c r="C576" s="30"/>
      <c r="D576" s="30"/>
      <c r="E576" s="30"/>
      <c r="F576" s="32"/>
      <c r="G576" s="32"/>
      <c r="H576" s="42"/>
      <c r="I576" s="34"/>
      <c r="J576" s="35"/>
      <c r="K576" s="35"/>
      <c r="L576" s="34"/>
      <c r="M576" s="35"/>
      <c r="N576" s="36"/>
      <c r="O576" s="322"/>
      <c r="P576" s="38"/>
      <c r="Q576" s="38"/>
      <c r="R576" s="279"/>
      <c r="S576" s="40"/>
      <c r="T576" s="22"/>
      <c r="U576" s="41"/>
      <c r="V576" s="4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>
      <c r="B577" s="22"/>
      <c r="C577" s="30"/>
      <c r="D577" s="30"/>
      <c r="E577" s="30"/>
      <c r="F577" s="32"/>
      <c r="G577" s="32"/>
      <c r="H577" s="42"/>
      <c r="I577" s="34"/>
      <c r="J577" s="35"/>
      <c r="K577" s="35"/>
      <c r="L577" s="34"/>
      <c r="M577" s="35"/>
      <c r="N577" s="36"/>
      <c r="O577" s="322"/>
      <c r="P577" s="38"/>
      <c r="Q577" s="38"/>
      <c r="R577" s="279"/>
      <c r="S577" s="40"/>
      <c r="T577" s="22"/>
      <c r="U577" s="41"/>
      <c r="V577" s="4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>
      <c r="B578" s="22"/>
      <c r="C578" s="30"/>
      <c r="D578" s="30"/>
      <c r="E578" s="30"/>
      <c r="F578" s="32"/>
      <c r="G578" s="32"/>
      <c r="H578" s="42"/>
      <c r="I578" s="34"/>
      <c r="J578" s="35"/>
      <c r="K578" s="35"/>
      <c r="L578" s="34"/>
      <c r="M578" s="35"/>
      <c r="N578" s="36"/>
      <c r="O578" s="322"/>
      <c r="P578" s="38"/>
      <c r="Q578" s="38"/>
      <c r="R578" s="279"/>
      <c r="S578" s="40"/>
      <c r="T578" s="22"/>
      <c r="U578" s="41"/>
      <c r="V578" s="4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>
      <c r="B579" s="22"/>
      <c r="C579" s="30"/>
      <c r="D579" s="30"/>
      <c r="E579" s="30"/>
      <c r="F579" s="32"/>
      <c r="G579" s="32"/>
      <c r="H579" s="42"/>
      <c r="I579" s="34"/>
      <c r="J579" s="35"/>
      <c r="K579" s="35"/>
      <c r="L579" s="34"/>
      <c r="M579" s="35"/>
      <c r="N579" s="36"/>
      <c r="O579" s="322"/>
      <c r="P579" s="38"/>
      <c r="Q579" s="38"/>
      <c r="R579" s="279"/>
      <c r="S579" s="40"/>
      <c r="T579" s="22"/>
      <c r="U579" s="41"/>
      <c r="V579" s="4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>
      <c r="B580" s="22"/>
      <c r="C580" s="30"/>
      <c r="D580" s="30"/>
      <c r="E580" s="30"/>
      <c r="F580" s="32"/>
      <c r="G580" s="32"/>
      <c r="H580" s="42"/>
      <c r="I580" s="34"/>
      <c r="J580" s="35"/>
      <c r="K580" s="35"/>
      <c r="L580" s="34"/>
      <c r="M580" s="35"/>
      <c r="N580" s="36"/>
      <c r="O580" s="322"/>
      <c r="P580" s="38"/>
      <c r="Q580" s="38"/>
      <c r="R580" s="279"/>
      <c r="S580" s="40"/>
      <c r="T580" s="22"/>
      <c r="U580" s="41"/>
      <c r="V580" s="4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>
      <c r="B581" s="22"/>
      <c r="C581" s="30"/>
      <c r="D581" s="30"/>
      <c r="E581" s="30"/>
      <c r="F581" s="32"/>
      <c r="G581" s="32"/>
      <c r="H581" s="42"/>
      <c r="I581" s="34"/>
      <c r="J581" s="35"/>
      <c r="K581" s="35"/>
      <c r="L581" s="34"/>
      <c r="M581" s="35"/>
      <c r="N581" s="36"/>
      <c r="O581" s="322"/>
      <c r="P581" s="38"/>
      <c r="Q581" s="38"/>
      <c r="R581" s="279"/>
      <c r="S581" s="40"/>
      <c r="T581" s="22"/>
      <c r="U581" s="41"/>
      <c r="V581" s="4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>
      <c r="B582" s="22"/>
      <c r="C582" s="30"/>
      <c r="D582" s="30"/>
      <c r="E582" s="30"/>
      <c r="F582" s="32"/>
      <c r="G582" s="32"/>
      <c r="H582" s="42"/>
      <c r="I582" s="34"/>
      <c r="J582" s="35"/>
      <c r="K582" s="35"/>
      <c r="L582" s="34"/>
      <c r="M582" s="35"/>
      <c r="N582" s="36"/>
      <c r="O582" s="322"/>
      <c r="P582" s="38"/>
      <c r="Q582" s="38"/>
      <c r="R582" s="279"/>
      <c r="S582" s="40"/>
      <c r="T582" s="22"/>
      <c r="U582" s="41"/>
      <c r="V582" s="4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>
      <c r="B583" s="22"/>
      <c r="C583" s="30"/>
      <c r="D583" s="30"/>
      <c r="E583" s="30"/>
      <c r="F583" s="32"/>
      <c r="G583" s="32"/>
      <c r="H583" s="42"/>
      <c r="I583" s="34"/>
      <c r="J583" s="35"/>
      <c r="K583" s="35"/>
      <c r="L583" s="34"/>
      <c r="M583" s="35"/>
      <c r="N583" s="36"/>
      <c r="O583" s="322"/>
      <c r="P583" s="38"/>
      <c r="Q583" s="38"/>
      <c r="R583" s="279"/>
      <c r="S583" s="40"/>
      <c r="T583" s="22"/>
      <c r="U583" s="41"/>
      <c r="V583" s="4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>
      <c r="B584" s="22"/>
      <c r="C584" s="30"/>
      <c r="D584" s="30"/>
      <c r="E584" s="30"/>
      <c r="F584" s="32"/>
      <c r="G584" s="32"/>
      <c r="H584" s="42"/>
      <c r="I584" s="34"/>
      <c r="J584" s="35"/>
      <c r="K584" s="35"/>
      <c r="L584" s="34"/>
      <c r="M584" s="35"/>
      <c r="N584" s="36"/>
      <c r="O584" s="322"/>
      <c r="P584" s="38"/>
      <c r="Q584" s="38"/>
      <c r="R584" s="279"/>
      <c r="S584" s="40"/>
      <c r="T584" s="22"/>
      <c r="U584" s="41"/>
      <c r="V584" s="4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>
      <c r="B585" s="22"/>
      <c r="C585" s="30"/>
      <c r="D585" s="30"/>
      <c r="E585" s="30"/>
      <c r="F585" s="32"/>
      <c r="G585" s="32"/>
      <c r="H585" s="42"/>
      <c r="I585" s="34"/>
      <c r="J585" s="35"/>
      <c r="K585" s="35"/>
      <c r="L585" s="34"/>
      <c r="M585" s="35"/>
      <c r="N585" s="36"/>
      <c r="O585" s="322"/>
      <c r="P585" s="38"/>
      <c r="Q585" s="38"/>
      <c r="R585" s="279"/>
      <c r="S585" s="40"/>
      <c r="T585" s="22"/>
      <c r="U585" s="41"/>
      <c r="V585" s="4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>
      <c r="B586" s="22"/>
      <c r="C586" s="30"/>
      <c r="D586" s="30"/>
      <c r="E586" s="30"/>
      <c r="F586" s="32"/>
      <c r="G586" s="32"/>
      <c r="H586" s="42"/>
      <c r="I586" s="34"/>
      <c r="J586" s="35"/>
      <c r="K586" s="35"/>
      <c r="L586" s="34"/>
      <c r="M586" s="35"/>
      <c r="N586" s="36"/>
      <c r="O586" s="322"/>
      <c r="P586" s="38"/>
      <c r="Q586" s="38"/>
      <c r="R586" s="279"/>
      <c r="S586" s="40"/>
      <c r="T586" s="22"/>
      <c r="U586" s="41"/>
      <c r="V586" s="4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>
      <c r="B587" s="22"/>
      <c r="C587" s="30"/>
      <c r="D587" s="30"/>
      <c r="E587" s="30"/>
      <c r="F587" s="32"/>
      <c r="G587" s="32"/>
      <c r="H587" s="42"/>
      <c r="I587" s="34"/>
      <c r="J587" s="35"/>
      <c r="K587" s="35"/>
      <c r="L587" s="34"/>
      <c r="M587" s="35"/>
      <c r="N587" s="36"/>
      <c r="O587" s="322"/>
      <c r="P587" s="38"/>
      <c r="Q587" s="38"/>
      <c r="R587" s="279"/>
      <c r="S587" s="40"/>
      <c r="T587" s="22"/>
      <c r="U587" s="41"/>
      <c r="V587" s="4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>
      <c r="B588" s="22"/>
      <c r="C588" s="30"/>
      <c r="D588" s="30"/>
      <c r="E588" s="30"/>
      <c r="F588" s="32"/>
      <c r="G588" s="32"/>
      <c r="H588" s="42"/>
      <c r="I588" s="34"/>
      <c r="J588" s="35"/>
      <c r="K588" s="35"/>
      <c r="L588" s="34"/>
      <c r="M588" s="35"/>
      <c r="N588" s="36"/>
      <c r="O588" s="322"/>
      <c r="P588" s="38"/>
      <c r="Q588" s="38"/>
      <c r="R588" s="279"/>
      <c r="S588" s="40"/>
      <c r="T588" s="22"/>
      <c r="U588" s="41"/>
      <c r="V588" s="4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>
      <c r="B589" s="22"/>
      <c r="C589" s="30"/>
      <c r="D589" s="30"/>
      <c r="E589" s="30"/>
      <c r="F589" s="32"/>
      <c r="G589" s="32"/>
      <c r="H589" s="42"/>
      <c r="I589" s="34"/>
      <c r="J589" s="35"/>
      <c r="K589" s="35"/>
      <c r="L589" s="34"/>
      <c r="M589" s="35"/>
      <c r="N589" s="36"/>
      <c r="O589" s="322"/>
      <c r="P589" s="38"/>
      <c r="Q589" s="38"/>
      <c r="R589" s="279"/>
      <c r="S589" s="40"/>
      <c r="T589" s="22"/>
      <c r="U589" s="41"/>
      <c r="V589" s="4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>
      <c r="B590" s="22"/>
      <c r="C590" s="30"/>
      <c r="D590" s="30"/>
      <c r="E590" s="30"/>
      <c r="F590" s="32"/>
      <c r="G590" s="32"/>
      <c r="H590" s="42"/>
      <c r="I590" s="34"/>
      <c r="J590" s="35"/>
      <c r="K590" s="35"/>
      <c r="L590" s="34"/>
      <c r="M590" s="35"/>
      <c r="N590" s="36"/>
      <c r="O590" s="322"/>
      <c r="P590" s="38"/>
      <c r="Q590" s="38"/>
      <c r="R590" s="279"/>
      <c r="S590" s="40"/>
      <c r="T590" s="22"/>
      <c r="U590" s="41"/>
      <c r="V590" s="4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>
      <c r="B591" s="22"/>
      <c r="C591" s="30"/>
      <c r="D591" s="30"/>
      <c r="E591" s="30"/>
      <c r="F591" s="32"/>
      <c r="G591" s="32"/>
      <c r="H591" s="42"/>
      <c r="I591" s="34"/>
      <c r="J591" s="35"/>
      <c r="K591" s="35"/>
      <c r="L591" s="34"/>
      <c r="M591" s="35"/>
      <c r="N591" s="36"/>
      <c r="O591" s="322"/>
      <c r="P591" s="38"/>
      <c r="Q591" s="38"/>
      <c r="R591" s="279"/>
      <c r="S591" s="40"/>
      <c r="T591" s="22"/>
      <c r="U591" s="41"/>
      <c r="V591" s="4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>
      <c r="B592" s="22"/>
      <c r="C592" s="30"/>
      <c r="D592" s="30"/>
      <c r="E592" s="30"/>
      <c r="F592" s="32"/>
      <c r="G592" s="32"/>
      <c r="H592" s="42"/>
      <c r="I592" s="34"/>
      <c r="J592" s="35"/>
      <c r="K592" s="35"/>
      <c r="L592" s="34"/>
      <c r="M592" s="35"/>
      <c r="N592" s="36"/>
      <c r="O592" s="322"/>
      <c r="P592" s="38"/>
      <c r="Q592" s="38"/>
      <c r="R592" s="279"/>
      <c r="S592" s="40"/>
      <c r="T592" s="22"/>
      <c r="U592" s="41"/>
      <c r="V592" s="4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>
      <c r="B593" s="22"/>
      <c r="C593" s="30"/>
      <c r="D593" s="30"/>
      <c r="E593" s="30"/>
      <c r="F593" s="32"/>
      <c r="G593" s="32"/>
      <c r="H593" s="42"/>
      <c r="I593" s="34"/>
      <c r="J593" s="35"/>
      <c r="K593" s="35"/>
      <c r="L593" s="34"/>
      <c r="M593" s="35"/>
      <c r="N593" s="36"/>
      <c r="O593" s="322"/>
      <c r="P593" s="38"/>
      <c r="Q593" s="38"/>
      <c r="R593" s="279"/>
      <c r="S593" s="40"/>
      <c r="T593" s="22"/>
      <c r="U593" s="41"/>
      <c r="V593" s="4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>
      <c r="B594" s="22"/>
      <c r="C594" s="30"/>
      <c r="D594" s="30"/>
      <c r="E594" s="30"/>
      <c r="F594" s="32"/>
      <c r="G594" s="32"/>
      <c r="H594" s="42"/>
      <c r="I594" s="34"/>
      <c r="J594" s="35"/>
      <c r="K594" s="35"/>
      <c r="L594" s="34"/>
      <c r="M594" s="35"/>
      <c r="N594" s="36"/>
      <c r="O594" s="322"/>
      <c r="P594" s="38"/>
      <c r="Q594" s="38"/>
      <c r="R594" s="279"/>
      <c r="S594" s="40"/>
      <c r="T594" s="22"/>
      <c r="U594" s="41"/>
      <c r="V594" s="4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>
      <c r="B595" s="22"/>
      <c r="C595" s="30"/>
      <c r="D595" s="30"/>
      <c r="E595" s="30"/>
      <c r="F595" s="32"/>
      <c r="G595" s="32"/>
      <c r="H595" s="42"/>
      <c r="I595" s="34"/>
      <c r="J595" s="35"/>
      <c r="K595" s="35"/>
      <c r="L595" s="34"/>
      <c r="M595" s="35"/>
      <c r="N595" s="36"/>
      <c r="O595" s="322"/>
      <c r="P595" s="38"/>
      <c r="Q595" s="38"/>
      <c r="R595" s="279"/>
      <c r="S595" s="40"/>
      <c r="T595" s="22"/>
      <c r="U595" s="41"/>
      <c r="V595" s="4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>
      <c r="B596" s="22"/>
      <c r="C596" s="30"/>
      <c r="D596" s="30"/>
      <c r="E596" s="30"/>
      <c r="F596" s="32"/>
      <c r="G596" s="32"/>
      <c r="H596" s="42"/>
      <c r="I596" s="34"/>
      <c r="J596" s="35"/>
      <c r="K596" s="35"/>
      <c r="L596" s="34"/>
      <c r="M596" s="35"/>
      <c r="N596" s="36"/>
      <c r="O596" s="322"/>
      <c r="P596" s="38"/>
      <c r="Q596" s="38"/>
      <c r="R596" s="279"/>
      <c r="S596" s="40"/>
      <c r="T596" s="22"/>
      <c r="U596" s="41"/>
      <c r="V596" s="4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>
      <c r="B597" s="22"/>
      <c r="C597" s="30"/>
      <c r="D597" s="30"/>
      <c r="E597" s="30"/>
      <c r="F597" s="32"/>
      <c r="G597" s="32"/>
      <c r="H597" s="42"/>
      <c r="I597" s="34"/>
      <c r="J597" s="35"/>
      <c r="K597" s="35"/>
      <c r="L597" s="34"/>
      <c r="M597" s="35"/>
      <c r="N597" s="36"/>
      <c r="O597" s="322"/>
      <c r="P597" s="38"/>
      <c r="Q597" s="38"/>
      <c r="R597" s="279"/>
      <c r="S597" s="40"/>
      <c r="T597" s="22"/>
      <c r="U597" s="41"/>
      <c r="V597" s="4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>
      <c r="B598" s="22"/>
      <c r="C598" s="30"/>
      <c r="D598" s="30"/>
      <c r="E598" s="30"/>
      <c r="F598" s="32"/>
      <c r="G598" s="32"/>
      <c r="H598" s="42"/>
      <c r="I598" s="34"/>
      <c r="J598" s="35"/>
      <c r="K598" s="35"/>
      <c r="L598" s="34"/>
      <c r="M598" s="35"/>
      <c r="N598" s="36"/>
      <c r="O598" s="322"/>
      <c r="P598" s="38"/>
      <c r="Q598" s="38"/>
      <c r="R598" s="279"/>
      <c r="S598" s="40"/>
      <c r="T598" s="22"/>
      <c r="U598" s="41"/>
      <c r="V598" s="4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>
      <c r="B599" s="22"/>
      <c r="C599" s="30"/>
      <c r="D599" s="30"/>
      <c r="E599" s="30"/>
      <c r="F599" s="32"/>
      <c r="G599" s="32"/>
      <c r="H599" s="42"/>
      <c r="I599" s="34"/>
      <c r="J599" s="35"/>
      <c r="K599" s="35"/>
      <c r="L599" s="34"/>
      <c r="M599" s="35"/>
      <c r="N599" s="36"/>
      <c r="O599" s="322"/>
      <c r="P599" s="38"/>
      <c r="Q599" s="38"/>
      <c r="R599" s="279"/>
      <c r="S599" s="40"/>
      <c r="T599" s="22"/>
      <c r="U599" s="41"/>
      <c r="V599" s="4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>
      <c r="B600" s="22"/>
      <c r="C600" s="30"/>
      <c r="D600" s="30"/>
      <c r="E600" s="30"/>
      <c r="F600" s="32"/>
      <c r="G600" s="32"/>
      <c r="H600" s="42"/>
      <c r="I600" s="34"/>
      <c r="J600" s="35"/>
      <c r="K600" s="35"/>
      <c r="L600" s="34"/>
      <c r="M600" s="35"/>
      <c r="N600" s="36"/>
      <c r="O600" s="322"/>
      <c r="P600" s="38"/>
      <c r="Q600" s="38"/>
      <c r="R600" s="279"/>
      <c r="S600" s="40"/>
      <c r="T600" s="22"/>
      <c r="U600" s="41"/>
      <c r="V600" s="4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>
      <c r="B601" s="22"/>
      <c r="C601" s="30"/>
      <c r="D601" s="30"/>
      <c r="E601" s="30"/>
      <c r="F601" s="32"/>
      <c r="G601" s="32"/>
      <c r="H601" s="42"/>
      <c r="I601" s="34"/>
      <c r="J601" s="35"/>
      <c r="K601" s="35"/>
      <c r="L601" s="34"/>
      <c r="M601" s="35"/>
      <c r="N601" s="36"/>
      <c r="O601" s="322"/>
      <c r="P601" s="38"/>
      <c r="Q601" s="38"/>
      <c r="R601" s="279"/>
      <c r="S601" s="40"/>
      <c r="T601" s="22"/>
      <c r="U601" s="41"/>
      <c r="V601" s="4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>
      <c r="B602" s="22"/>
      <c r="C602" s="30"/>
      <c r="D602" s="30"/>
      <c r="E602" s="30"/>
      <c r="F602" s="32"/>
      <c r="G602" s="32"/>
      <c r="H602" s="42"/>
      <c r="I602" s="34"/>
      <c r="J602" s="35"/>
      <c r="K602" s="35"/>
      <c r="L602" s="34"/>
      <c r="M602" s="35"/>
      <c r="N602" s="36"/>
      <c r="O602" s="322"/>
      <c r="P602" s="38"/>
      <c r="Q602" s="38"/>
      <c r="R602" s="279"/>
      <c r="S602" s="40"/>
      <c r="T602" s="22"/>
      <c r="U602" s="41"/>
      <c r="V602" s="4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>
      <c r="B603" s="22"/>
      <c r="C603" s="30"/>
      <c r="D603" s="30"/>
      <c r="E603" s="30"/>
      <c r="F603" s="32"/>
      <c r="G603" s="32"/>
      <c r="H603" s="42"/>
      <c r="I603" s="34"/>
      <c r="J603" s="35"/>
      <c r="K603" s="35"/>
      <c r="L603" s="34"/>
      <c r="M603" s="35"/>
      <c r="N603" s="36"/>
      <c r="O603" s="322"/>
      <c r="P603" s="38"/>
      <c r="Q603" s="38"/>
      <c r="R603" s="279"/>
      <c r="S603" s="40"/>
      <c r="T603" s="22"/>
      <c r="U603" s="41"/>
      <c r="V603" s="4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>
      <c r="B604" s="22"/>
      <c r="C604" s="30"/>
      <c r="D604" s="30"/>
      <c r="E604" s="30"/>
      <c r="F604" s="32"/>
      <c r="G604" s="32"/>
      <c r="H604" s="42"/>
      <c r="I604" s="34"/>
      <c r="J604" s="35"/>
      <c r="K604" s="35"/>
      <c r="L604" s="34"/>
      <c r="M604" s="35"/>
      <c r="N604" s="36"/>
      <c r="O604" s="322"/>
      <c r="P604" s="38"/>
      <c r="Q604" s="38"/>
      <c r="R604" s="279"/>
      <c r="S604" s="40"/>
      <c r="T604" s="22"/>
      <c r="U604" s="41"/>
      <c r="V604" s="4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>
      <c r="B605" s="22"/>
      <c r="C605" s="30"/>
      <c r="D605" s="30"/>
      <c r="E605" s="30"/>
      <c r="F605" s="32"/>
      <c r="G605" s="32"/>
      <c r="H605" s="42"/>
      <c r="I605" s="34"/>
      <c r="J605" s="35"/>
      <c r="K605" s="35"/>
      <c r="L605" s="34"/>
      <c r="M605" s="35"/>
      <c r="N605" s="36"/>
      <c r="O605" s="322"/>
      <c r="P605" s="38"/>
      <c r="Q605" s="38"/>
      <c r="R605" s="279"/>
      <c r="S605" s="40"/>
      <c r="T605" s="22"/>
      <c r="U605" s="41"/>
      <c r="V605" s="4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>
      <c r="B606" s="22"/>
      <c r="C606" s="30"/>
      <c r="D606" s="30"/>
      <c r="E606" s="30"/>
      <c r="F606" s="32"/>
      <c r="G606" s="32"/>
      <c r="H606" s="42"/>
      <c r="I606" s="34"/>
      <c r="J606" s="35"/>
      <c r="K606" s="35"/>
      <c r="L606" s="34"/>
      <c r="M606" s="35"/>
      <c r="N606" s="36"/>
      <c r="O606" s="322"/>
      <c r="P606" s="38"/>
      <c r="Q606" s="38"/>
      <c r="R606" s="279"/>
      <c r="S606" s="40"/>
      <c r="T606" s="22"/>
      <c r="U606" s="41"/>
      <c r="V606" s="4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>
      <c r="B607" s="22"/>
      <c r="C607" s="30"/>
      <c r="D607" s="30"/>
      <c r="E607" s="30"/>
      <c r="F607" s="32"/>
      <c r="G607" s="32"/>
      <c r="H607" s="42"/>
      <c r="I607" s="34"/>
      <c r="J607" s="35"/>
      <c r="K607" s="35"/>
      <c r="L607" s="34"/>
      <c r="M607" s="35"/>
      <c r="N607" s="36"/>
      <c r="O607" s="322"/>
      <c r="P607" s="38"/>
      <c r="Q607" s="38"/>
      <c r="R607" s="279"/>
      <c r="S607" s="40"/>
      <c r="T607" s="22"/>
      <c r="U607" s="41"/>
      <c r="V607" s="4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>
      <c r="B608" s="22"/>
      <c r="C608" s="30"/>
      <c r="D608" s="30"/>
      <c r="E608" s="30"/>
      <c r="F608" s="32"/>
      <c r="G608" s="32"/>
      <c r="H608" s="42"/>
      <c r="I608" s="34"/>
      <c r="J608" s="35"/>
      <c r="K608" s="35"/>
      <c r="L608" s="34"/>
      <c r="M608" s="35"/>
      <c r="N608" s="36"/>
      <c r="O608" s="322"/>
      <c r="P608" s="38"/>
      <c r="Q608" s="38"/>
      <c r="R608" s="279"/>
      <c r="S608" s="40"/>
      <c r="T608" s="22"/>
      <c r="U608" s="41"/>
      <c r="V608" s="4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>
      <c r="B609" s="22"/>
      <c r="C609" s="30"/>
      <c r="D609" s="30"/>
      <c r="E609" s="30"/>
      <c r="F609" s="32"/>
      <c r="G609" s="32"/>
      <c r="H609" s="42"/>
      <c r="I609" s="34"/>
      <c r="J609" s="35"/>
      <c r="K609" s="35"/>
      <c r="L609" s="34"/>
      <c r="M609" s="35"/>
      <c r="N609" s="36"/>
      <c r="O609" s="322"/>
      <c r="P609" s="38"/>
      <c r="Q609" s="38"/>
      <c r="R609" s="279"/>
      <c r="S609" s="40"/>
      <c r="T609" s="22"/>
      <c r="U609" s="41"/>
      <c r="V609" s="4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>
      <c r="B610" s="22"/>
      <c r="C610" s="30"/>
      <c r="D610" s="30"/>
      <c r="E610" s="30"/>
      <c r="F610" s="32"/>
      <c r="G610" s="32"/>
      <c r="H610" s="42"/>
      <c r="I610" s="34"/>
      <c r="J610" s="35"/>
      <c r="K610" s="35"/>
      <c r="L610" s="34"/>
      <c r="M610" s="35"/>
      <c r="N610" s="36"/>
      <c r="O610" s="322"/>
      <c r="P610" s="38"/>
      <c r="Q610" s="38"/>
      <c r="R610" s="279"/>
      <c r="S610" s="40"/>
      <c r="T610" s="22"/>
      <c r="U610" s="41"/>
      <c r="V610" s="4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>
      <c r="B611" s="22"/>
      <c r="C611" s="30"/>
      <c r="D611" s="30"/>
      <c r="E611" s="30"/>
      <c r="F611" s="32"/>
      <c r="G611" s="32"/>
      <c r="H611" s="42"/>
      <c r="I611" s="34"/>
      <c r="J611" s="35"/>
      <c r="K611" s="35"/>
      <c r="L611" s="34"/>
      <c r="M611" s="35"/>
      <c r="N611" s="36"/>
      <c r="O611" s="322"/>
      <c r="P611" s="38"/>
      <c r="Q611" s="38"/>
      <c r="R611" s="279"/>
      <c r="S611" s="40"/>
      <c r="T611" s="22"/>
      <c r="U611" s="41"/>
      <c r="V611" s="4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>
      <c r="B612" s="22"/>
      <c r="C612" s="30"/>
      <c r="D612" s="30"/>
      <c r="E612" s="30"/>
      <c r="F612" s="32"/>
      <c r="G612" s="32"/>
      <c r="H612" s="42"/>
      <c r="I612" s="34"/>
      <c r="J612" s="35"/>
      <c r="K612" s="35"/>
      <c r="L612" s="34"/>
      <c r="M612" s="35"/>
      <c r="N612" s="36"/>
      <c r="O612" s="322"/>
      <c r="P612" s="38"/>
      <c r="Q612" s="38"/>
      <c r="R612" s="279"/>
      <c r="S612" s="40"/>
      <c r="T612" s="22"/>
      <c r="U612" s="41"/>
      <c r="V612" s="4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>
      <c r="B613" s="22"/>
      <c r="C613" s="30"/>
      <c r="D613" s="30"/>
      <c r="E613" s="30"/>
      <c r="F613" s="32"/>
      <c r="G613" s="32"/>
      <c r="H613" s="42"/>
      <c r="I613" s="34"/>
      <c r="J613" s="35"/>
      <c r="K613" s="35"/>
      <c r="L613" s="34"/>
      <c r="M613" s="35"/>
      <c r="N613" s="36"/>
      <c r="O613" s="322"/>
      <c r="P613" s="38"/>
      <c r="Q613" s="38"/>
      <c r="R613" s="279"/>
      <c r="S613" s="40"/>
      <c r="T613" s="22"/>
      <c r="U613" s="41"/>
      <c r="V613" s="4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>
      <c r="B614" s="22"/>
      <c r="C614" s="30"/>
      <c r="D614" s="30"/>
      <c r="E614" s="30"/>
      <c r="F614" s="32"/>
      <c r="G614" s="32"/>
      <c r="H614" s="42"/>
      <c r="I614" s="34"/>
      <c r="J614" s="35"/>
      <c r="K614" s="35"/>
      <c r="L614" s="34"/>
      <c r="M614" s="35"/>
      <c r="N614" s="36"/>
      <c r="O614" s="322"/>
      <c r="P614" s="38"/>
      <c r="Q614" s="38"/>
      <c r="R614" s="279"/>
      <c r="S614" s="40"/>
      <c r="T614" s="22"/>
      <c r="U614" s="41"/>
      <c r="V614" s="4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>
      <c r="B615" s="22"/>
      <c r="C615" s="30"/>
      <c r="D615" s="30"/>
      <c r="E615" s="30"/>
      <c r="F615" s="32"/>
      <c r="G615" s="32"/>
      <c r="H615" s="42"/>
      <c r="I615" s="34"/>
      <c r="J615" s="35"/>
      <c r="K615" s="35"/>
      <c r="L615" s="34"/>
      <c r="M615" s="35"/>
      <c r="N615" s="36"/>
      <c r="O615" s="322"/>
      <c r="P615" s="38"/>
      <c r="Q615" s="38"/>
      <c r="R615" s="279"/>
      <c r="S615" s="40"/>
      <c r="T615" s="22"/>
      <c r="U615" s="41"/>
      <c r="V615" s="4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>
      <c r="B616" s="22"/>
      <c r="C616" s="30"/>
      <c r="D616" s="30"/>
      <c r="E616" s="30"/>
      <c r="F616" s="32"/>
      <c r="G616" s="32"/>
      <c r="H616" s="42"/>
      <c r="I616" s="34"/>
      <c r="J616" s="35"/>
      <c r="K616" s="35"/>
      <c r="L616" s="34"/>
      <c r="M616" s="35"/>
      <c r="N616" s="36"/>
      <c r="O616" s="322"/>
      <c r="P616" s="38"/>
      <c r="Q616" s="38"/>
      <c r="R616" s="279"/>
      <c r="S616" s="40"/>
      <c r="T616" s="22"/>
      <c r="U616" s="41"/>
      <c r="V616" s="4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>
      <c r="B617" s="22"/>
      <c r="C617" s="30"/>
      <c r="D617" s="30"/>
      <c r="E617" s="30"/>
      <c r="F617" s="32"/>
      <c r="G617" s="32"/>
      <c r="H617" s="42"/>
      <c r="I617" s="34"/>
      <c r="J617" s="35"/>
      <c r="K617" s="35"/>
      <c r="L617" s="34"/>
      <c r="M617" s="35"/>
      <c r="N617" s="36"/>
      <c r="O617" s="322"/>
      <c r="P617" s="38"/>
      <c r="Q617" s="38"/>
      <c r="R617" s="279"/>
      <c r="S617" s="40"/>
      <c r="T617" s="22"/>
      <c r="U617" s="41"/>
      <c r="V617" s="4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>
      <c r="B618" s="22"/>
      <c r="C618" s="30"/>
      <c r="D618" s="30"/>
      <c r="E618" s="30"/>
      <c r="F618" s="32"/>
      <c r="G618" s="32"/>
      <c r="H618" s="42"/>
      <c r="I618" s="34"/>
      <c r="J618" s="35"/>
      <c r="K618" s="35"/>
      <c r="L618" s="34"/>
      <c r="M618" s="35"/>
      <c r="N618" s="36"/>
      <c r="O618" s="322"/>
      <c r="P618" s="38"/>
      <c r="Q618" s="38"/>
      <c r="R618" s="279"/>
      <c r="S618" s="40"/>
      <c r="T618" s="22"/>
      <c r="U618" s="41"/>
      <c r="V618" s="4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>
      <c r="B619" s="22"/>
      <c r="C619" s="30"/>
      <c r="D619" s="30"/>
      <c r="E619" s="30"/>
      <c r="F619" s="32"/>
      <c r="G619" s="32"/>
      <c r="H619" s="42"/>
      <c r="I619" s="34"/>
      <c r="J619" s="35"/>
      <c r="K619" s="35"/>
      <c r="L619" s="34"/>
      <c r="M619" s="35"/>
      <c r="N619" s="36"/>
      <c r="O619" s="322"/>
      <c r="P619" s="38"/>
      <c r="Q619" s="38"/>
      <c r="R619" s="279"/>
      <c r="S619" s="40"/>
      <c r="T619" s="22"/>
      <c r="U619" s="41"/>
      <c r="V619" s="4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>
      <c r="B620" s="22"/>
      <c r="C620" s="30"/>
      <c r="D620" s="30"/>
      <c r="E620" s="30"/>
      <c r="F620" s="32"/>
      <c r="G620" s="32"/>
      <c r="H620" s="42"/>
      <c r="I620" s="34"/>
      <c r="J620" s="35"/>
      <c r="K620" s="35"/>
      <c r="L620" s="34"/>
      <c r="M620" s="35"/>
      <c r="N620" s="36"/>
      <c r="O620" s="322"/>
      <c r="P620" s="38"/>
      <c r="Q620" s="38"/>
      <c r="R620" s="279"/>
      <c r="S620" s="40"/>
      <c r="T620" s="22"/>
      <c r="U620" s="41"/>
      <c r="V620" s="4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>
      <c r="B621" s="22"/>
      <c r="C621" s="30"/>
      <c r="D621" s="30"/>
      <c r="E621" s="30"/>
      <c r="F621" s="32"/>
      <c r="G621" s="32"/>
      <c r="H621" s="42"/>
      <c r="I621" s="34"/>
      <c r="J621" s="35"/>
      <c r="K621" s="35"/>
      <c r="L621" s="34"/>
      <c r="M621" s="35"/>
      <c r="N621" s="36"/>
      <c r="O621" s="322"/>
      <c r="P621" s="38"/>
      <c r="Q621" s="38"/>
      <c r="R621" s="279"/>
      <c r="S621" s="40"/>
      <c r="T621" s="22"/>
      <c r="U621" s="41"/>
      <c r="V621" s="4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>
      <c r="B622" s="22"/>
      <c r="C622" s="30"/>
      <c r="D622" s="30"/>
      <c r="E622" s="30"/>
      <c r="F622" s="32"/>
      <c r="G622" s="32"/>
      <c r="H622" s="42"/>
      <c r="I622" s="34"/>
      <c r="J622" s="35"/>
      <c r="K622" s="35"/>
      <c r="L622" s="34"/>
      <c r="M622" s="35"/>
      <c r="N622" s="36"/>
      <c r="O622" s="322"/>
      <c r="P622" s="38"/>
      <c r="Q622" s="38"/>
      <c r="R622" s="279"/>
      <c r="S622" s="40"/>
      <c r="T622" s="22"/>
      <c r="U622" s="41"/>
      <c r="V622" s="4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>
      <c r="B623" s="22"/>
      <c r="C623" s="30"/>
      <c r="D623" s="30"/>
      <c r="E623" s="30"/>
      <c r="F623" s="32"/>
      <c r="G623" s="32"/>
      <c r="H623" s="42"/>
      <c r="I623" s="34"/>
      <c r="J623" s="35"/>
      <c r="K623" s="35"/>
      <c r="L623" s="34"/>
      <c r="M623" s="35"/>
      <c r="N623" s="36"/>
      <c r="O623" s="322"/>
      <c r="P623" s="38"/>
      <c r="Q623" s="38"/>
      <c r="R623" s="279"/>
      <c r="S623" s="40"/>
      <c r="T623" s="22"/>
      <c r="U623" s="41"/>
      <c r="V623" s="4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>
      <c r="B624" s="22"/>
      <c r="C624" s="30"/>
      <c r="D624" s="30"/>
      <c r="E624" s="30"/>
      <c r="F624" s="32"/>
      <c r="G624" s="32"/>
      <c r="H624" s="42"/>
      <c r="I624" s="34"/>
      <c r="J624" s="35"/>
      <c r="K624" s="35"/>
      <c r="L624" s="34"/>
      <c r="M624" s="35"/>
      <c r="N624" s="36"/>
      <c r="O624" s="322"/>
      <c r="P624" s="38"/>
      <c r="Q624" s="38"/>
      <c r="R624" s="279"/>
      <c r="S624" s="40"/>
      <c r="T624" s="22"/>
      <c r="U624" s="41"/>
      <c r="V624" s="4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>
      <c r="B625" s="22"/>
      <c r="C625" s="30"/>
      <c r="D625" s="30"/>
      <c r="E625" s="30"/>
      <c r="F625" s="32"/>
      <c r="G625" s="32"/>
      <c r="H625" s="42"/>
      <c r="I625" s="34"/>
      <c r="J625" s="35"/>
      <c r="K625" s="35"/>
      <c r="L625" s="34"/>
      <c r="M625" s="35"/>
      <c r="N625" s="36"/>
      <c r="O625" s="322"/>
      <c r="P625" s="38"/>
      <c r="Q625" s="38"/>
      <c r="R625" s="279"/>
      <c r="S625" s="40"/>
      <c r="T625" s="22"/>
      <c r="U625" s="41"/>
      <c r="V625" s="4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>
      <c r="B626" s="22"/>
      <c r="C626" s="30"/>
      <c r="D626" s="30"/>
      <c r="E626" s="30"/>
      <c r="F626" s="32"/>
      <c r="G626" s="32"/>
      <c r="H626" s="42"/>
      <c r="I626" s="34"/>
      <c r="J626" s="35"/>
      <c r="K626" s="35"/>
      <c r="L626" s="34"/>
      <c r="M626" s="35"/>
      <c r="N626" s="36"/>
      <c r="O626" s="322"/>
      <c r="P626" s="38"/>
      <c r="Q626" s="38"/>
      <c r="R626" s="279"/>
      <c r="S626" s="40"/>
      <c r="T626" s="22"/>
      <c r="U626" s="41"/>
      <c r="V626" s="4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>
      <c r="B627" s="22"/>
      <c r="C627" s="30"/>
      <c r="D627" s="30"/>
      <c r="E627" s="30"/>
      <c r="F627" s="32"/>
      <c r="G627" s="32"/>
      <c r="H627" s="42"/>
      <c r="I627" s="34"/>
      <c r="J627" s="35"/>
      <c r="K627" s="35"/>
      <c r="L627" s="34"/>
      <c r="M627" s="35"/>
      <c r="N627" s="36"/>
      <c r="O627" s="322"/>
      <c r="P627" s="38"/>
      <c r="Q627" s="38"/>
      <c r="R627" s="279"/>
      <c r="S627" s="40"/>
      <c r="T627" s="22"/>
      <c r="U627" s="41"/>
      <c r="V627" s="4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>
      <c r="B628" s="22"/>
      <c r="C628" s="30"/>
      <c r="D628" s="30"/>
      <c r="E628" s="30"/>
      <c r="F628" s="32"/>
      <c r="G628" s="32"/>
      <c r="H628" s="42"/>
      <c r="I628" s="34"/>
      <c r="J628" s="35"/>
      <c r="K628" s="35"/>
      <c r="L628" s="34"/>
      <c r="M628" s="35"/>
      <c r="N628" s="36"/>
      <c r="O628" s="322"/>
      <c r="P628" s="38"/>
      <c r="Q628" s="38"/>
      <c r="R628" s="279"/>
      <c r="S628" s="40"/>
      <c r="T628" s="22"/>
      <c r="U628" s="41"/>
      <c r="V628" s="4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>
      <c r="B629" s="22"/>
      <c r="C629" s="30"/>
      <c r="D629" s="30"/>
      <c r="E629" s="30"/>
      <c r="F629" s="32"/>
      <c r="G629" s="32"/>
      <c r="H629" s="42"/>
      <c r="I629" s="34"/>
      <c r="J629" s="35"/>
      <c r="K629" s="35"/>
      <c r="L629" s="34"/>
      <c r="M629" s="35"/>
      <c r="N629" s="36"/>
      <c r="O629" s="322"/>
      <c r="P629" s="38"/>
      <c r="Q629" s="38"/>
      <c r="R629" s="279"/>
      <c r="S629" s="40"/>
      <c r="T629" s="22"/>
      <c r="U629" s="41"/>
      <c r="V629" s="4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>
      <c r="B630" s="22"/>
      <c r="C630" s="30"/>
      <c r="D630" s="30"/>
      <c r="E630" s="30"/>
      <c r="F630" s="32"/>
      <c r="G630" s="32"/>
      <c r="H630" s="42"/>
      <c r="I630" s="34"/>
      <c r="J630" s="35"/>
      <c r="K630" s="35"/>
      <c r="L630" s="34"/>
      <c r="M630" s="35"/>
      <c r="N630" s="36"/>
      <c r="O630" s="322"/>
      <c r="P630" s="38"/>
      <c r="Q630" s="38"/>
      <c r="R630" s="279"/>
      <c r="S630" s="40"/>
      <c r="T630" s="22"/>
      <c r="U630" s="41"/>
      <c r="V630" s="4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>
      <c r="B631" s="22"/>
      <c r="C631" s="30"/>
      <c r="D631" s="30"/>
      <c r="E631" s="30"/>
      <c r="F631" s="32"/>
      <c r="G631" s="32"/>
      <c r="H631" s="42"/>
      <c r="I631" s="34"/>
      <c r="J631" s="35"/>
      <c r="K631" s="35"/>
      <c r="L631" s="34"/>
      <c r="M631" s="35"/>
      <c r="N631" s="36"/>
      <c r="O631" s="322"/>
      <c r="P631" s="38"/>
      <c r="Q631" s="38"/>
      <c r="R631" s="279"/>
      <c r="S631" s="40"/>
      <c r="T631" s="22"/>
      <c r="U631" s="41"/>
      <c r="V631" s="4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>
      <c r="B632" s="22"/>
      <c r="C632" s="30"/>
      <c r="D632" s="30"/>
      <c r="E632" s="30"/>
      <c r="F632" s="32"/>
      <c r="G632" s="32"/>
      <c r="H632" s="42"/>
      <c r="I632" s="34"/>
      <c r="J632" s="35"/>
      <c r="K632" s="35"/>
      <c r="L632" s="34"/>
      <c r="M632" s="35"/>
      <c r="N632" s="36"/>
      <c r="O632" s="322"/>
      <c r="P632" s="38"/>
      <c r="Q632" s="38"/>
      <c r="R632" s="279"/>
      <c r="S632" s="40"/>
      <c r="T632" s="22"/>
      <c r="U632" s="41"/>
      <c r="V632" s="4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>
      <c r="B633" s="22"/>
      <c r="C633" s="30"/>
      <c r="D633" s="30"/>
      <c r="E633" s="30"/>
      <c r="F633" s="32"/>
      <c r="G633" s="32"/>
      <c r="H633" s="42"/>
      <c r="I633" s="34"/>
      <c r="J633" s="35"/>
      <c r="K633" s="35"/>
      <c r="L633" s="34"/>
      <c r="M633" s="35"/>
      <c r="N633" s="36"/>
      <c r="O633" s="322"/>
      <c r="P633" s="38"/>
      <c r="Q633" s="38"/>
      <c r="R633" s="279"/>
      <c r="S633" s="40"/>
      <c r="T633" s="22"/>
      <c r="U633" s="41"/>
      <c r="V633" s="4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>
      <c r="B634" s="22"/>
      <c r="C634" s="30"/>
      <c r="D634" s="30"/>
      <c r="E634" s="30"/>
      <c r="F634" s="32"/>
      <c r="G634" s="32"/>
      <c r="H634" s="42"/>
      <c r="I634" s="34"/>
      <c r="J634" s="35"/>
      <c r="K634" s="35"/>
      <c r="L634" s="34"/>
      <c r="M634" s="35"/>
      <c r="N634" s="36"/>
      <c r="O634" s="322"/>
      <c r="P634" s="38"/>
      <c r="Q634" s="38"/>
      <c r="R634" s="279"/>
      <c r="S634" s="40"/>
      <c r="T634" s="22"/>
      <c r="U634" s="41"/>
      <c r="V634" s="4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>
      <c r="B635" s="22"/>
      <c r="C635" s="30"/>
      <c r="D635" s="30"/>
      <c r="E635" s="30"/>
      <c r="F635" s="32"/>
      <c r="G635" s="32"/>
      <c r="H635" s="42"/>
      <c r="I635" s="34"/>
      <c r="J635" s="35"/>
      <c r="K635" s="35"/>
      <c r="L635" s="34"/>
      <c r="M635" s="35"/>
      <c r="N635" s="36"/>
      <c r="O635" s="322"/>
      <c r="P635" s="38"/>
      <c r="Q635" s="38"/>
      <c r="R635" s="279"/>
      <c r="S635" s="40"/>
      <c r="T635" s="22"/>
      <c r="U635" s="41"/>
      <c r="V635" s="4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>
      <c r="B636" s="22"/>
      <c r="C636" s="30"/>
      <c r="D636" s="30"/>
      <c r="E636" s="30"/>
      <c r="F636" s="32"/>
      <c r="G636" s="32"/>
      <c r="H636" s="42"/>
      <c r="I636" s="34"/>
      <c r="J636" s="35"/>
      <c r="K636" s="35"/>
      <c r="L636" s="34"/>
      <c r="M636" s="35"/>
      <c r="N636" s="36"/>
      <c r="O636" s="322"/>
      <c r="P636" s="38"/>
      <c r="Q636" s="38"/>
      <c r="R636" s="279"/>
      <c r="S636" s="40"/>
      <c r="T636" s="22"/>
      <c r="U636" s="41"/>
      <c r="V636" s="4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>
      <c r="B637" s="22"/>
      <c r="C637" s="30"/>
      <c r="D637" s="30"/>
      <c r="E637" s="30"/>
      <c r="F637" s="32"/>
      <c r="G637" s="32"/>
      <c r="H637" s="42"/>
      <c r="I637" s="34"/>
      <c r="J637" s="35"/>
      <c r="K637" s="35"/>
      <c r="L637" s="34"/>
      <c r="M637" s="35"/>
      <c r="N637" s="36"/>
      <c r="O637" s="322"/>
      <c r="P637" s="38"/>
      <c r="Q637" s="38"/>
      <c r="R637" s="279"/>
      <c r="S637" s="40"/>
      <c r="T637" s="22"/>
      <c r="U637" s="41"/>
      <c r="V637" s="4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>
      <c r="B638" s="22"/>
      <c r="C638" s="30"/>
      <c r="D638" s="30"/>
      <c r="E638" s="30"/>
      <c r="F638" s="32"/>
      <c r="G638" s="32"/>
      <c r="H638" s="42"/>
      <c r="I638" s="34"/>
      <c r="J638" s="35"/>
      <c r="K638" s="35"/>
      <c r="L638" s="34"/>
      <c r="M638" s="35"/>
      <c r="N638" s="36"/>
      <c r="O638" s="322"/>
      <c r="P638" s="38"/>
      <c r="Q638" s="38"/>
      <c r="R638" s="279"/>
      <c r="S638" s="40"/>
      <c r="T638" s="22"/>
      <c r="U638" s="41"/>
      <c r="V638" s="4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>
      <c r="B639" s="22"/>
      <c r="C639" s="30"/>
      <c r="D639" s="30"/>
      <c r="E639" s="30"/>
      <c r="F639" s="32"/>
      <c r="G639" s="32"/>
      <c r="H639" s="42"/>
      <c r="I639" s="34"/>
      <c r="J639" s="35"/>
      <c r="K639" s="35"/>
      <c r="L639" s="34"/>
      <c r="M639" s="35"/>
      <c r="N639" s="36"/>
      <c r="O639" s="322"/>
      <c r="P639" s="38"/>
      <c r="Q639" s="38"/>
      <c r="R639" s="279"/>
      <c r="S639" s="40"/>
      <c r="T639" s="22"/>
      <c r="U639" s="41"/>
      <c r="V639" s="4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>
      <c r="B640" s="22"/>
      <c r="C640" s="30"/>
      <c r="D640" s="30"/>
      <c r="E640" s="30"/>
      <c r="F640" s="32"/>
      <c r="G640" s="32"/>
      <c r="H640" s="42"/>
      <c r="I640" s="34"/>
      <c r="J640" s="35"/>
      <c r="K640" s="35"/>
      <c r="L640" s="34"/>
      <c r="M640" s="35"/>
      <c r="N640" s="36"/>
      <c r="O640" s="322"/>
      <c r="P640" s="38"/>
      <c r="Q640" s="38"/>
      <c r="R640" s="279"/>
      <c r="S640" s="40"/>
      <c r="T640" s="22"/>
      <c r="U640" s="41"/>
      <c r="V640" s="4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>
      <c r="B641" s="22"/>
      <c r="C641" s="30"/>
      <c r="D641" s="30"/>
      <c r="E641" s="30"/>
      <c r="F641" s="32"/>
      <c r="G641" s="32"/>
      <c r="H641" s="42"/>
      <c r="I641" s="34"/>
      <c r="J641" s="35"/>
      <c r="K641" s="35"/>
      <c r="L641" s="34"/>
      <c r="M641" s="35"/>
      <c r="N641" s="36"/>
      <c r="O641" s="322"/>
      <c r="P641" s="38"/>
      <c r="Q641" s="38"/>
      <c r="R641" s="279"/>
      <c r="S641" s="40"/>
      <c r="T641" s="22"/>
      <c r="U641" s="41"/>
      <c r="V641" s="4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>
      <c r="B642" s="22"/>
      <c r="C642" s="30"/>
      <c r="D642" s="30"/>
      <c r="E642" s="30"/>
      <c r="F642" s="32"/>
      <c r="G642" s="32"/>
      <c r="H642" s="42"/>
      <c r="I642" s="34"/>
      <c r="J642" s="35"/>
      <c r="K642" s="35"/>
      <c r="L642" s="34"/>
      <c r="M642" s="35"/>
      <c r="N642" s="36"/>
      <c r="O642" s="322"/>
      <c r="P642" s="38"/>
      <c r="Q642" s="38"/>
      <c r="R642" s="279"/>
      <c r="S642" s="40"/>
      <c r="T642" s="22"/>
      <c r="U642" s="41"/>
      <c r="V642" s="4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>
      <c r="B643" s="22"/>
      <c r="C643" s="30"/>
      <c r="D643" s="30"/>
      <c r="E643" s="30"/>
      <c r="F643" s="32"/>
      <c r="G643" s="32"/>
      <c r="H643" s="42"/>
      <c r="I643" s="34"/>
      <c r="J643" s="35"/>
      <c r="K643" s="35"/>
      <c r="L643" s="34"/>
      <c r="M643" s="35"/>
      <c r="N643" s="36"/>
      <c r="O643" s="322"/>
      <c r="P643" s="38"/>
      <c r="Q643" s="38"/>
      <c r="R643" s="279"/>
      <c r="S643" s="40"/>
      <c r="T643" s="22"/>
      <c r="U643" s="41"/>
      <c r="V643" s="4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>
      <c r="B644" s="22"/>
      <c r="C644" s="30"/>
      <c r="D644" s="30"/>
      <c r="E644" s="30"/>
      <c r="F644" s="32"/>
      <c r="G644" s="32"/>
      <c r="H644" s="42"/>
      <c r="I644" s="34"/>
      <c r="J644" s="35"/>
      <c r="K644" s="35"/>
      <c r="L644" s="34"/>
      <c r="M644" s="35"/>
      <c r="N644" s="36"/>
      <c r="O644" s="322"/>
      <c r="P644" s="38"/>
      <c r="Q644" s="38"/>
      <c r="R644" s="279"/>
      <c r="S644" s="40"/>
      <c r="T644" s="22"/>
      <c r="U644" s="41"/>
      <c r="V644" s="4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>
      <c r="B645" s="22"/>
      <c r="C645" s="30"/>
      <c r="D645" s="30"/>
      <c r="E645" s="30"/>
      <c r="F645" s="32"/>
      <c r="G645" s="32"/>
      <c r="H645" s="42"/>
      <c r="I645" s="34"/>
      <c r="J645" s="35"/>
      <c r="K645" s="35"/>
      <c r="L645" s="34"/>
      <c r="M645" s="35"/>
      <c r="N645" s="36"/>
      <c r="O645" s="322"/>
      <c r="P645" s="38"/>
      <c r="Q645" s="38"/>
      <c r="R645" s="279"/>
      <c r="S645" s="40"/>
      <c r="T645" s="22"/>
      <c r="U645" s="41"/>
      <c r="V645" s="4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>
      <c r="B646" s="22"/>
      <c r="C646" s="30"/>
      <c r="D646" s="30"/>
      <c r="E646" s="30"/>
      <c r="F646" s="32"/>
      <c r="G646" s="32"/>
      <c r="H646" s="42"/>
      <c r="I646" s="34"/>
      <c r="J646" s="35"/>
      <c r="K646" s="35"/>
      <c r="L646" s="34"/>
      <c r="M646" s="35"/>
      <c r="N646" s="36"/>
      <c r="O646" s="322"/>
      <c r="P646" s="38"/>
      <c r="Q646" s="38"/>
      <c r="R646" s="279"/>
      <c r="S646" s="40"/>
      <c r="T646" s="22"/>
      <c r="U646" s="41"/>
      <c r="V646" s="4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>
      <c r="B647" s="22"/>
      <c r="C647" s="30"/>
      <c r="D647" s="30"/>
      <c r="E647" s="30"/>
      <c r="F647" s="32"/>
      <c r="G647" s="32"/>
      <c r="H647" s="42"/>
      <c r="I647" s="34"/>
      <c r="J647" s="35"/>
      <c r="K647" s="35"/>
      <c r="L647" s="34"/>
      <c r="M647" s="35"/>
      <c r="N647" s="36"/>
      <c r="O647" s="322"/>
      <c r="P647" s="38"/>
      <c r="Q647" s="38"/>
      <c r="R647" s="279"/>
      <c r="S647" s="40"/>
      <c r="T647" s="22"/>
      <c r="U647" s="41"/>
      <c r="V647" s="4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>
      <c r="B648" s="22"/>
      <c r="C648" s="30"/>
      <c r="D648" s="30"/>
      <c r="E648" s="30"/>
      <c r="F648" s="32"/>
      <c r="G648" s="32"/>
      <c r="H648" s="42"/>
      <c r="I648" s="34"/>
      <c r="J648" s="35"/>
      <c r="K648" s="35"/>
      <c r="L648" s="34"/>
      <c r="M648" s="35"/>
      <c r="N648" s="36"/>
      <c r="O648" s="322"/>
      <c r="P648" s="38"/>
      <c r="Q648" s="38"/>
      <c r="R648" s="279"/>
      <c r="S648" s="40"/>
      <c r="T648" s="22"/>
      <c r="U648" s="41"/>
      <c r="V648" s="4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>
      <c r="B649" s="22"/>
      <c r="C649" s="30"/>
      <c r="D649" s="30"/>
      <c r="E649" s="30"/>
      <c r="F649" s="32"/>
      <c r="G649" s="32"/>
      <c r="H649" s="42"/>
      <c r="I649" s="34"/>
      <c r="J649" s="35"/>
      <c r="K649" s="35"/>
      <c r="L649" s="34"/>
      <c r="M649" s="35"/>
      <c r="N649" s="36"/>
      <c r="O649" s="322"/>
      <c r="P649" s="38"/>
      <c r="Q649" s="38"/>
      <c r="R649" s="279"/>
      <c r="S649" s="40"/>
      <c r="T649" s="22"/>
      <c r="U649" s="41"/>
      <c r="V649" s="4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>
      <c r="B650" s="22"/>
      <c r="C650" s="30"/>
      <c r="D650" s="30"/>
      <c r="E650" s="30"/>
      <c r="F650" s="32"/>
      <c r="G650" s="32"/>
      <c r="H650" s="42"/>
      <c r="I650" s="34"/>
      <c r="J650" s="35"/>
      <c r="K650" s="35"/>
      <c r="L650" s="34"/>
      <c r="M650" s="35"/>
      <c r="N650" s="36"/>
      <c r="O650" s="322"/>
      <c r="P650" s="38"/>
      <c r="Q650" s="38"/>
      <c r="R650" s="279"/>
      <c r="S650" s="40"/>
      <c r="T650" s="22"/>
      <c r="U650" s="41"/>
      <c r="V650" s="4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>
      <c r="B651" s="22"/>
      <c r="C651" s="30"/>
      <c r="D651" s="30"/>
      <c r="E651" s="30"/>
      <c r="F651" s="32"/>
      <c r="G651" s="32"/>
      <c r="H651" s="42"/>
      <c r="I651" s="34"/>
      <c r="J651" s="35"/>
      <c r="K651" s="35"/>
      <c r="L651" s="34"/>
      <c r="M651" s="35"/>
      <c r="N651" s="36"/>
      <c r="O651" s="322"/>
      <c r="P651" s="38"/>
      <c r="Q651" s="38"/>
      <c r="R651" s="279"/>
      <c r="S651" s="40"/>
      <c r="T651" s="22"/>
      <c r="U651" s="41"/>
      <c r="V651" s="4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>
      <c r="B652" s="22"/>
      <c r="C652" s="30"/>
      <c r="D652" s="30"/>
      <c r="E652" s="30"/>
      <c r="F652" s="32"/>
      <c r="G652" s="32"/>
      <c r="H652" s="42"/>
      <c r="I652" s="34"/>
      <c r="J652" s="35"/>
      <c r="K652" s="35"/>
      <c r="L652" s="34"/>
      <c r="M652" s="35"/>
      <c r="N652" s="36"/>
      <c r="O652" s="322"/>
      <c r="P652" s="38"/>
      <c r="Q652" s="38"/>
      <c r="R652" s="279"/>
      <c r="S652" s="40"/>
      <c r="T652" s="22"/>
      <c r="U652" s="41"/>
      <c r="V652" s="4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>
      <c r="B653" s="22"/>
      <c r="C653" s="30"/>
      <c r="D653" s="30"/>
      <c r="E653" s="30"/>
      <c r="F653" s="32"/>
      <c r="G653" s="32"/>
      <c r="H653" s="42"/>
      <c r="I653" s="34"/>
      <c r="J653" s="35"/>
      <c r="K653" s="35"/>
      <c r="L653" s="34"/>
      <c r="M653" s="35"/>
      <c r="N653" s="36"/>
      <c r="O653" s="322"/>
      <c r="P653" s="38"/>
      <c r="Q653" s="38"/>
      <c r="R653" s="279"/>
      <c r="S653" s="40"/>
      <c r="T653" s="22"/>
      <c r="U653" s="41"/>
      <c r="V653" s="4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>
      <c r="B654" s="22"/>
      <c r="C654" s="30"/>
      <c r="D654" s="30"/>
      <c r="E654" s="30"/>
      <c r="F654" s="32"/>
      <c r="G654" s="32"/>
      <c r="H654" s="42"/>
      <c r="I654" s="34"/>
      <c r="J654" s="35"/>
      <c r="K654" s="35"/>
      <c r="L654" s="34"/>
      <c r="M654" s="35"/>
      <c r="N654" s="36"/>
      <c r="O654" s="322"/>
      <c r="P654" s="38"/>
      <c r="Q654" s="38"/>
      <c r="R654" s="279"/>
      <c r="S654" s="40"/>
      <c r="T654" s="22"/>
      <c r="U654" s="41"/>
      <c r="V654" s="4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>
      <c r="B655" s="22"/>
      <c r="C655" s="30"/>
      <c r="D655" s="30"/>
      <c r="E655" s="30"/>
      <c r="F655" s="32"/>
      <c r="G655" s="32"/>
      <c r="H655" s="42"/>
      <c r="I655" s="34"/>
      <c r="J655" s="35"/>
      <c r="K655" s="35"/>
      <c r="L655" s="34"/>
      <c r="M655" s="35"/>
      <c r="N655" s="36"/>
      <c r="O655" s="322"/>
      <c r="P655" s="38"/>
      <c r="Q655" s="38"/>
      <c r="R655" s="279"/>
      <c r="S655" s="40"/>
      <c r="T655" s="22"/>
      <c r="U655" s="41"/>
      <c r="V655" s="4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>
      <c r="B656" s="22"/>
      <c r="C656" s="30"/>
      <c r="D656" s="30"/>
      <c r="E656" s="30"/>
      <c r="F656" s="32"/>
      <c r="G656" s="32"/>
      <c r="H656" s="42"/>
      <c r="I656" s="34"/>
      <c r="J656" s="35"/>
      <c r="K656" s="35"/>
      <c r="L656" s="34"/>
      <c r="M656" s="35"/>
      <c r="N656" s="36"/>
      <c r="O656" s="322"/>
      <c r="P656" s="38"/>
      <c r="Q656" s="38"/>
      <c r="R656" s="279"/>
      <c r="S656" s="40"/>
      <c r="T656" s="22"/>
      <c r="U656" s="41"/>
      <c r="V656" s="4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>
      <c r="B657" s="22"/>
      <c r="C657" s="30"/>
      <c r="D657" s="30"/>
      <c r="E657" s="30"/>
      <c r="F657" s="32"/>
      <c r="G657" s="32"/>
      <c r="H657" s="42"/>
      <c r="I657" s="34"/>
      <c r="J657" s="35"/>
      <c r="K657" s="35"/>
      <c r="L657" s="34"/>
      <c r="M657" s="35"/>
      <c r="N657" s="36"/>
      <c r="O657" s="322"/>
      <c r="P657" s="38"/>
      <c r="Q657" s="38"/>
      <c r="R657" s="279"/>
      <c r="S657" s="40"/>
      <c r="T657" s="22"/>
      <c r="U657" s="41"/>
      <c r="V657" s="4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>
      <c r="B658" s="22"/>
      <c r="C658" s="30"/>
      <c r="D658" s="30"/>
      <c r="E658" s="30"/>
      <c r="F658" s="32"/>
      <c r="G658" s="32"/>
      <c r="H658" s="42"/>
      <c r="I658" s="34"/>
      <c r="J658" s="35"/>
      <c r="K658" s="35"/>
      <c r="L658" s="34"/>
      <c r="M658" s="35"/>
      <c r="N658" s="36"/>
      <c r="O658" s="322"/>
      <c r="P658" s="38"/>
      <c r="Q658" s="38"/>
      <c r="R658" s="279"/>
      <c r="S658" s="40"/>
      <c r="T658" s="22"/>
      <c r="U658" s="41"/>
      <c r="V658" s="4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>
      <c r="B659" s="22"/>
      <c r="C659" s="30"/>
      <c r="D659" s="30"/>
      <c r="E659" s="30"/>
      <c r="F659" s="32"/>
      <c r="G659" s="32"/>
      <c r="H659" s="42"/>
      <c r="I659" s="34"/>
      <c r="J659" s="35"/>
      <c r="K659" s="35"/>
      <c r="L659" s="34"/>
      <c r="M659" s="35"/>
      <c r="N659" s="36"/>
      <c r="O659" s="322"/>
      <c r="P659" s="38"/>
      <c r="Q659" s="38"/>
      <c r="R659" s="279"/>
      <c r="S659" s="40"/>
      <c r="T659" s="22"/>
      <c r="U659" s="41"/>
      <c r="V659" s="4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>
      <c r="B660" s="22"/>
      <c r="C660" s="30"/>
      <c r="D660" s="30"/>
      <c r="E660" s="30"/>
      <c r="F660" s="32"/>
      <c r="G660" s="32"/>
      <c r="H660" s="42"/>
      <c r="I660" s="34"/>
      <c r="J660" s="35"/>
      <c r="K660" s="35"/>
      <c r="L660" s="34"/>
      <c r="M660" s="35"/>
      <c r="N660" s="36"/>
      <c r="O660" s="322"/>
      <c r="P660" s="38"/>
      <c r="Q660" s="38"/>
      <c r="R660" s="279"/>
      <c r="S660" s="40"/>
      <c r="T660" s="22"/>
      <c r="U660" s="41"/>
      <c r="V660" s="4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>
      <c r="B661" s="22"/>
      <c r="C661" s="30"/>
      <c r="D661" s="30"/>
      <c r="E661" s="30"/>
      <c r="F661" s="32"/>
      <c r="G661" s="32"/>
      <c r="H661" s="42"/>
      <c r="I661" s="34"/>
      <c r="J661" s="35"/>
      <c r="K661" s="35"/>
      <c r="L661" s="34"/>
      <c r="M661" s="35"/>
      <c r="N661" s="36"/>
      <c r="O661" s="322"/>
      <c r="P661" s="38"/>
      <c r="Q661" s="38"/>
      <c r="R661" s="279"/>
      <c r="S661" s="40"/>
      <c r="T661" s="22"/>
      <c r="U661" s="41"/>
      <c r="V661" s="4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>
      <c r="B662" s="22"/>
      <c r="C662" s="30"/>
      <c r="D662" s="30"/>
      <c r="E662" s="30"/>
      <c r="F662" s="32"/>
      <c r="G662" s="32"/>
      <c r="H662" s="42"/>
      <c r="I662" s="34"/>
      <c r="J662" s="35"/>
      <c r="K662" s="35"/>
      <c r="L662" s="34"/>
      <c r="M662" s="35"/>
      <c r="N662" s="36"/>
      <c r="O662" s="322"/>
      <c r="P662" s="38"/>
      <c r="Q662" s="38"/>
      <c r="R662" s="279"/>
      <c r="S662" s="40"/>
      <c r="T662" s="22"/>
      <c r="U662" s="41"/>
      <c r="V662" s="4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>
      <c r="B663" s="22"/>
      <c r="C663" s="30"/>
      <c r="D663" s="30"/>
      <c r="E663" s="30"/>
      <c r="F663" s="32"/>
      <c r="G663" s="32"/>
      <c r="H663" s="42"/>
      <c r="I663" s="34"/>
      <c r="J663" s="35"/>
      <c r="K663" s="35"/>
      <c r="L663" s="34"/>
      <c r="M663" s="35"/>
      <c r="N663" s="36"/>
      <c r="O663" s="322"/>
      <c r="P663" s="38"/>
      <c r="Q663" s="38"/>
      <c r="R663" s="279"/>
      <c r="S663" s="40"/>
      <c r="T663" s="22"/>
      <c r="U663" s="41"/>
      <c r="V663" s="4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>
      <c r="B664" s="22"/>
      <c r="C664" s="30"/>
      <c r="D664" s="30"/>
      <c r="E664" s="30"/>
      <c r="F664" s="32"/>
      <c r="G664" s="32"/>
      <c r="H664" s="42"/>
      <c r="I664" s="34"/>
      <c r="J664" s="35"/>
      <c r="K664" s="35"/>
      <c r="L664" s="34"/>
      <c r="M664" s="35"/>
      <c r="N664" s="36"/>
      <c r="O664" s="322"/>
      <c r="P664" s="38"/>
      <c r="Q664" s="38"/>
      <c r="R664" s="279"/>
      <c r="S664" s="40"/>
      <c r="T664" s="22"/>
      <c r="U664" s="41"/>
      <c r="V664" s="4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>
      <c r="B665" s="22"/>
      <c r="C665" s="30"/>
      <c r="D665" s="30"/>
      <c r="E665" s="30"/>
      <c r="F665" s="32"/>
      <c r="G665" s="32"/>
      <c r="H665" s="42"/>
      <c r="I665" s="34"/>
      <c r="J665" s="35"/>
      <c r="K665" s="35"/>
      <c r="L665" s="34"/>
      <c r="M665" s="35"/>
      <c r="N665" s="36"/>
      <c r="O665" s="322"/>
      <c r="P665" s="38"/>
      <c r="Q665" s="38"/>
      <c r="R665" s="279"/>
      <c r="S665" s="40"/>
      <c r="T665" s="22"/>
      <c r="U665" s="41"/>
      <c r="V665" s="4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>
      <c r="B666" s="22"/>
      <c r="C666" s="30"/>
      <c r="D666" s="30"/>
      <c r="E666" s="30"/>
      <c r="F666" s="32"/>
      <c r="G666" s="32"/>
      <c r="H666" s="42"/>
      <c r="I666" s="34"/>
      <c r="J666" s="35"/>
      <c r="K666" s="35"/>
      <c r="L666" s="34"/>
      <c r="M666" s="35"/>
      <c r="N666" s="36"/>
      <c r="O666" s="322"/>
      <c r="P666" s="38"/>
      <c r="Q666" s="38"/>
      <c r="R666" s="279"/>
      <c r="S666" s="40"/>
      <c r="T666" s="22"/>
      <c r="U666" s="41"/>
      <c r="V666" s="4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>
      <c r="B667" s="22"/>
      <c r="C667" s="30"/>
      <c r="D667" s="30"/>
      <c r="E667" s="30"/>
      <c r="F667" s="32"/>
      <c r="G667" s="32"/>
      <c r="H667" s="42"/>
      <c r="I667" s="34"/>
      <c r="J667" s="35"/>
      <c r="K667" s="35"/>
      <c r="L667" s="34"/>
      <c r="M667" s="35"/>
      <c r="N667" s="36"/>
      <c r="O667" s="322"/>
      <c r="P667" s="38"/>
      <c r="Q667" s="38"/>
      <c r="R667" s="279"/>
      <c r="S667" s="40"/>
      <c r="T667" s="22"/>
      <c r="U667" s="41"/>
      <c r="V667" s="4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>
      <c r="B668" s="22"/>
      <c r="C668" s="30"/>
      <c r="D668" s="30"/>
      <c r="E668" s="30"/>
      <c r="F668" s="32"/>
      <c r="G668" s="32"/>
      <c r="H668" s="42"/>
      <c r="I668" s="34"/>
      <c r="J668" s="35"/>
      <c r="K668" s="35"/>
      <c r="L668" s="34"/>
      <c r="M668" s="35"/>
      <c r="N668" s="36"/>
      <c r="O668" s="322"/>
      <c r="P668" s="38"/>
      <c r="Q668" s="38"/>
      <c r="R668" s="279"/>
      <c r="S668" s="40"/>
      <c r="T668" s="22"/>
      <c r="U668" s="41"/>
      <c r="V668" s="4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>
      <c r="B669" s="22"/>
      <c r="C669" s="30"/>
      <c r="D669" s="30"/>
      <c r="E669" s="30"/>
      <c r="F669" s="32"/>
      <c r="G669" s="32"/>
      <c r="H669" s="42"/>
      <c r="I669" s="34"/>
      <c r="J669" s="35"/>
      <c r="K669" s="35"/>
      <c r="L669" s="34"/>
      <c r="M669" s="35"/>
      <c r="N669" s="36"/>
      <c r="O669" s="322"/>
      <c r="P669" s="38"/>
      <c r="Q669" s="38"/>
      <c r="R669" s="279"/>
      <c r="S669" s="40"/>
      <c r="T669" s="22"/>
      <c r="U669" s="41"/>
      <c r="V669" s="4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>
      <c r="B670" s="22"/>
      <c r="C670" s="30"/>
      <c r="D670" s="30"/>
      <c r="E670" s="30"/>
      <c r="F670" s="32"/>
      <c r="G670" s="32"/>
      <c r="H670" s="42"/>
      <c r="I670" s="34"/>
      <c r="J670" s="35"/>
      <c r="K670" s="35"/>
      <c r="L670" s="34"/>
      <c r="M670" s="35"/>
      <c r="N670" s="36"/>
      <c r="O670" s="322"/>
      <c r="P670" s="38"/>
      <c r="Q670" s="38"/>
      <c r="R670" s="279"/>
      <c r="S670" s="40"/>
      <c r="T670" s="22"/>
      <c r="U670" s="41"/>
      <c r="V670" s="4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>
      <c r="B671" s="22"/>
      <c r="C671" s="30"/>
      <c r="D671" s="30"/>
      <c r="E671" s="30"/>
      <c r="F671" s="32"/>
      <c r="G671" s="32"/>
      <c r="H671" s="42"/>
      <c r="I671" s="34"/>
      <c r="J671" s="35"/>
      <c r="K671" s="35"/>
      <c r="L671" s="34"/>
      <c r="M671" s="35"/>
      <c r="N671" s="36"/>
      <c r="O671" s="322"/>
      <c r="P671" s="38"/>
      <c r="Q671" s="38"/>
      <c r="R671" s="279"/>
      <c r="S671" s="40"/>
      <c r="T671" s="22"/>
      <c r="U671" s="41"/>
      <c r="V671" s="4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>
      <c r="B672" s="22"/>
      <c r="C672" s="30"/>
      <c r="D672" s="30"/>
      <c r="E672" s="30"/>
      <c r="F672" s="32"/>
      <c r="G672" s="32"/>
      <c r="H672" s="42"/>
      <c r="I672" s="34"/>
      <c r="J672" s="35"/>
      <c r="K672" s="35"/>
      <c r="L672" s="34"/>
      <c r="M672" s="35"/>
      <c r="N672" s="36"/>
      <c r="O672" s="322"/>
      <c r="P672" s="38"/>
      <c r="Q672" s="38"/>
      <c r="R672" s="279"/>
      <c r="S672" s="40"/>
      <c r="T672" s="22"/>
      <c r="U672" s="41"/>
      <c r="V672" s="4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>
      <c r="B673" s="22"/>
      <c r="C673" s="30"/>
      <c r="D673" s="30"/>
      <c r="E673" s="30"/>
      <c r="F673" s="32"/>
      <c r="G673" s="32"/>
      <c r="H673" s="42"/>
      <c r="I673" s="34"/>
      <c r="J673" s="35"/>
      <c r="K673" s="35"/>
      <c r="L673" s="34"/>
      <c r="M673" s="35"/>
      <c r="N673" s="36"/>
      <c r="O673" s="322"/>
      <c r="P673" s="38"/>
      <c r="Q673" s="38"/>
      <c r="R673" s="279"/>
      <c r="S673" s="40"/>
      <c r="T673" s="22"/>
      <c r="U673" s="41"/>
      <c r="V673" s="4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>
      <c r="B674" s="22"/>
      <c r="C674" s="30"/>
      <c r="D674" s="30"/>
      <c r="E674" s="30"/>
      <c r="F674" s="32"/>
      <c r="G674" s="32"/>
      <c r="H674" s="42"/>
      <c r="I674" s="34"/>
      <c r="J674" s="35"/>
      <c r="K674" s="35"/>
      <c r="L674" s="34"/>
      <c r="M674" s="35"/>
      <c r="N674" s="36"/>
      <c r="O674" s="322"/>
      <c r="P674" s="38"/>
      <c r="Q674" s="38"/>
      <c r="R674" s="279"/>
      <c r="S674" s="40"/>
      <c r="T674" s="22"/>
      <c r="U674" s="41"/>
      <c r="V674" s="4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>
      <c r="B675" s="22"/>
      <c r="C675" s="30"/>
      <c r="D675" s="30"/>
      <c r="E675" s="30"/>
      <c r="F675" s="32"/>
      <c r="G675" s="32"/>
      <c r="H675" s="42"/>
      <c r="I675" s="34"/>
      <c r="J675" s="35"/>
      <c r="K675" s="35"/>
      <c r="L675" s="34"/>
      <c r="M675" s="35"/>
      <c r="N675" s="36"/>
      <c r="O675" s="322"/>
      <c r="P675" s="38"/>
      <c r="Q675" s="38"/>
      <c r="R675" s="279"/>
      <c r="S675" s="40"/>
      <c r="T675" s="22"/>
      <c r="U675" s="41"/>
      <c r="V675" s="4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>
      <c r="B676" s="22"/>
      <c r="C676" s="30"/>
      <c r="D676" s="30"/>
      <c r="E676" s="30"/>
      <c r="F676" s="32"/>
      <c r="G676" s="32"/>
      <c r="H676" s="42"/>
      <c r="I676" s="34"/>
      <c r="J676" s="35"/>
      <c r="K676" s="35"/>
      <c r="L676" s="34"/>
      <c r="M676" s="35"/>
      <c r="N676" s="36"/>
      <c r="O676" s="322"/>
      <c r="P676" s="38"/>
      <c r="Q676" s="38"/>
      <c r="R676" s="279"/>
      <c r="S676" s="40"/>
      <c r="T676" s="22"/>
      <c r="U676" s="41"/>
      <c r="V676" s="4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>
      <c r="B677" s="22"/>
      <c r="C677" s="30"/>
      <c r="D677" s="30"/>
      <c r="E677" s="30"/>
      <c r="F677" s="32"/>
      <c r="G677" s="32"/>
      <c r="H677" s="42"/>
      <c r="I677" s="34"/>
      <c r="J677" s="35"/>
      <c r="K677" s="35"/>
      <c r="L677" s="34"/>
      <c r="M677" s="35"/>
      <c r="N677" s="36"/>
      <c r="O677" s="322"/>
      <c r="P677" s="38"/>
      <c r="Q677" s="38"/>
      <c r="R677" s="279"/>
      <c r="S677" s="40"/>
      <c r="T677" s="22"/>
      <c r="U677" s="41"/>
      <c r="V677" s="4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>
      <c r="B678" s="22"/>
      <c r="C678" s="30"/>
      <c r="D678" s="30"/>
      <c r="E678" s="30"/>
      <c r="F678" s="32"/>
      <c r="G678" s="32"/>
      <c r="H678" s="42"/>
      <c r="I678" s="34"/>
      <c r="J678" s="35"/>
      <c r="K678" s="35"/>
      <c r="L678" s="34"/>
      <c r="M678" s="35"/>
      <c r="N678" s="36"/>
      <c r="O678" s="322"/>
      <c r="P678" s="38"/>
      <c r="Q678" s="38"/>
      <c r="R678" s="279"/>
      <c r="S678" s="40"/>
      <c r="T678" s="22"/>
      <c r="U678" s="41"/>
      <c r="V678" s="4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>
      <c r="B679" s="22"/>
      <c r="C679" s="30"/>
      <c r="D679" s="30"/>
      <c r="E679" s="30"/>
      <c r="F679" s="32"/>
      <c r="G679" s="32"/>
      <c r="H679" s="42"/>
      <c r="I679" s="34"/>
      <c r="J679" s="35"/>
      <c r="K679" s="35"/>
      <c r="L679" s="34"/>
      <c r="M679" s="35"/>
      <c r="N679" s="36"/>
      <c r="O679" s="322"/>
      <c r="P679" s="38"/>
      <c r="Q679" s="38"/>
      <c r="R679" s="279"/>
      <c r="S679" s="40"/>
      <c r="T679" s="22"/>
      <c r="U679" s="41"/>
      <c r="V679" s="4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>
      <c r="B680" s="22"/>
      <c r="C680" s="30"/>
      <c r="D680" s="30"/>
      <c r="E680" s="30"/>
      <c r="F680" s="32"/>
      <c r="G680" s="32"/>
      <c r="H680" s="42"/>
      <c r="I680" s="34"/>
      <c r="J680" s="35"/>
      <c r="K680" s="35"/>
      <c r="L680" s="34"/>
      <c r="M680" s="35"/>
      <c r="N680" s="36"/>
      <c r="O680" s="322"/>
      <c r="P680" s="38"/>
      <c r="Q680" s="38"/>
      <c r="R680" s="279"/>
      <c r="S680" s="40"/>
      <c r="T680" s="22"/>
      <c r="U680" s="41"/>
      <c r="V680" s="4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>
      <c r="B681" s="22"/>
      <c r="C681" s="30"/>
      <c r="D681" s="30"/>
      <c r="E681" s="30"/>
      <c r="F681" s="32"/>
      <c r="G681" s="32"/>
      <c r="H681" s="42"/>
      <c r="I681" s="34"/>
      <c r="J681" s="35"/>
      <c r="K681" s="35"/>
      <c r="L681" s="34"/>
      <c r="M681" s="35"/>
      <c r="N681" s="36"/>
      <c r="O681" s="322"/>
      <c r="P681" s="38"/>
      <c r="Q681" s="38"/>
      <c r="R681" s="279"/>
      <c r="S681" s="40"/>
      <c r="T681" s="22"/>
      <c r="U681" s="41"/>
      <c r="V681" s="4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>
      <c r="B682" s="22"/>
      <c r="C682" s="30"/>
      <c r="D682" s="30"/>
      <c r="E682" s="30"/>
      <c r="F682" s="32"/>
      <c r="G682" s="32"/>
      <c r="H682" s="42"/>
      <c r="I682" s="34"/>
      <c r="J682" s="35"/>
      <c r="K682" s="35"/>
      <c r="L682" s="34"/>
      <c r="M682" s="35"/>
      <c r="N682" s="36"/>
      <c r="O682" s="322"/>
      <c r="P682" s="38"/>
      <c r="Q682" s="38"/>
      <c r="R682" s="279"/>
      <c r="S682" s="40"/>
      <c r="T682" s="22"/>
      <c r="U682" s="41"/>
      <c r="V682" s="4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>
      <c r="B683" s="22"/>
      <c r="C683" s="30"/>
      <c r="D683" s="30"/>
      <c r="E683" s="30"/>
      <c r="F683" s="32"/>
      <c r="G683" s="32"/>
      <c r="H683" s="42"/>
      <c r="I683" s="34"/>
      <c r="J683" s="35"/>
      <c r="K683" s="35"/>
      <c r="L683" s="34"/>
      <c r="M683" s="35"/>
      <c r="N683" s="36"/>
      <c r="O683" s="322"/>
      <c r="P683" s="38"/>
      <c r="Q683" s="38"/>
      <c r="R683" s="279"/>
      <c r="S683" s="40"/>
      <c r="T683" s="22"/>
      <c r="U683" s="41"/>
      <c r="V683" s="4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>
      <c r="B684" s="22"/>
      <c r="C684" s="30"/>
      <c r="D684" s="30"/>
      <c r="E684" s="30"/>
      <c r="F684" s="32"/>
      <c r="G684" s="32"/>
      <c r="H684" s="42"/>
      <c r="I684" s="34"/>
      <c r="J684" s="35"/>
      <c r="K684" s="35"/>
      <c r="L684" s="34"/>
      <c r="M684" s="35"/>
      <c r="N684" s="36"/>
      <c r="O684" s="322"/>
      <c r="P684" s="38"/>
      <c r="Q684" s="38"/>
      <c r="R684" s="279"/>
      <c r="S684" s="40"/>
      <c r="T684" s="22"/>
      <c r="U684" s="41"/>
      <c r="V684" s="4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>
      <c r="B685" s="22"/>
      <c r="C685" s="30"/>
      <c r="D685" s="30"/>
      <c r="E685" s="30"/>
      <c r="F685" s="32"/>
      <c r="G685" s="32"/>
      <c r="H685" s="42"/>
      <c r="I685" s="34"/>
      <c r="J685" s="35"/>
      <c r="K685" s="35"/>
      <c r="L685" s="34"/>
      <c r="M685" s="35"/>
      <c r="N685" s="36"/>
      <c r="O685" s="322"/>
      <c r="P685" s="38"/>
      <c r="Q685" s="38"/>
      <c r="R685" s="279"/>
      <c r="S685" s="40"/>
      <c r="T685" s="22"/>
      <c r="U685" s="41"/>
      <c r="V685" s="4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>
      <c r="B686" s="22"/>
      <c r="C686" s="30"/>
      <c r="D686" s="30"/>
      <c r="E686" s="30"/>
      <c r="F686" s="32"/>
      <c r="G686" s="32"/>
      <c r="H686" s="42"/>
      <c r="I686" s="34"/>
      <c r="J686" s="35"/>
      <c r="K686" s="35"/>
      <c r="L686" s="34"/>
      <c r="M686" s="35"/>
      <c r="N686" s="36"/>
      <c r="O686" s="322"/>
      <c r="P686" s="38"/>
      <c r="Q686" s="38"/>
      <c r="R686" s="279"/>
      <c r="S686" s="40"/>
      <c r="T686" s="22"/>
      <c r="U686" s="41"/>
      <c r="V686" s="4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>
      <c r="B687" s="22"/>
      <c r="C687" s="30"/>
      <c r="D687" s="30"/>
      <c r="E687" s="30"/>
      <c r="F687" s="32"/>
      <c r="G687" s="32"/>
      <c r="H687" s="42"/>
      <c r="I687" s="34"/>
      <c r="J687" s="35"/>
      <c r="K687" s="35"/>
      <c r="L687" s="34"/>
      <c r="M687" s="35"/>
      <c r="N687" s="36"/>
      <c r="O687" s="322"/>
      <c r="P687" s="38"/>
      <c r="Q687" s="38"/>
      <c r="R687" s="279"/>
      <c r="S687" s="40"/>
      <c r="T687" s="22"/>
      <c r="U687" s="41"/>
      <c r="V687" s="4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>
      <c r="B688" s="22"/>
      <c r="C688" s="30"/>
      <c r="D688" s="30"/>
      <c r="E688" s="30"/>
      <c r="F688" s="32"/>
      <c r="G688" s="32"/>
      <c r="H688" s="42"/>
      <c r="I688" s="34"/>
      <c r="J688" s="35"/>
      <c r="K688" s="35"/>
      <c r="L688" s="34"/>
      <c r="M688" s="35"/>
      <c r="N688" s="36"/>
      <c r="O688" s="322"/>
      <c r="P688" s="38"/>
      <c r="Q688" s="38"/>
      <c r="R688" s="279"/>
      <c r="S688" s="40"/>
      <c r="T688" s="22"/>
      <c r="U688" s="41"/>
      <c r="V688" s="4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>
      <c r="B689" s="22"/>
      <c r="C689" s="30"/>
      <c r="D689" s="30"/>
      <c r="E689" s="30"/>
      <c r="F689" s="32"/>
      <c r="G689" s="32"/>
      <c r="H689" s="42"/>
      <c r="I689" s="34"/>
      <c r="J689" s="35"/>
      <c r="K689" s="35"/>
      <c r="L689" s="34"/>
      <c r="M689" s="35"/>
      <c r="N689" s="36"/>
      <c r="O689" s="322"/>
      <c r="P689" s="38"/>
      <c r="Q689" s="38"/>
      <c r="R689" s="279"/>
      <c r="S689" s="40"/>
      <c r="T689" s="22"/>
      <c r="U689" s="41"/>
      <c r="V689" s="4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>
      <c r="B690" s="22"/>
      <c r="C690" s="30"/>
      <c r="D690" s="30"/>
      <c r="E690" s="30"/>
      <c r="F690" s="32"/>
      <c r="G690" s="32"/>
      <c r="H690" s="42"/>
      <c r="I690" s="34"/>
      <c r="J690" s="35"/>
      <c r="K690" s="35"/>
      <c r="L690" s="34"/>
      <c r="M690" s="35"/>
      <c r="N690" s="36"/>
      <c r="O690" s="322"/>
      <c r="P690" s="38"/>
      <c r="Q690" s="38"/>
      <c r="R690" s="279"/>
      <c r="S690" s="40"/>
      <c r="T690" s="22"/>
      <c r="U690" s="41"/>
      <c r="V690" s="4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>
      <c r="B691" s="22"/>
      <c r="C691" s="30"/>
      <c r="D691" s="30"/>
      <c r="E691" s="30"/>
      <c r="F691" s="32"/>
      <c r="G691" s="32"/>
      <c r="H691" s="42"/>
      <c r="I691" s="34"/>
      <c r="J691" s="35"/>
      <c r="K691" s="35"/>
      <c r="L691" s="34"/>
      <c r="M691" s="35"/>
      <c r="N691" s="36"/>
      <c r="O691" s="322"/>
      <c r="P691" s="38"/>
      <c r="Q691" s="38"/>
      <c r="R691" s="279"/>
      <c r="S691" s="40"/>
      <c r="T691" s="22"/>
      <c r="U691" s="41"/>
      <c r="V691" s="4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>
      <c r="B692" s="22"/>
      <c r="C692" s="30"/>
      <c r="D692" s="30"/>
      <c r="E692" s="30"/>
      <c r="F692" s="32"/>
      <c r="G692" s="32"/>
      <c r="H692" s="42"/>
      <c r="I692" s="34"/>
      <c r="J692" s="35"/>
      <c r="K692" s="35"/>
      <c r="L692" s="34"/>
      <c r="M692" s="35"/>
      <c r="N692" s="36"/>
      <c r="O692" s="322"/>
      <c r="P692" s="38"/>
      <c r="Q692" s="38"/>
      <c r="R692" s="279"/>
      <c r="S692" s="40"/>
      <c r="T692" s="22"/>
      <c r="U692" s="41"/>
      <c r="V692" s="4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>
      <c r="B693" s="22"/>
      <c r="C693" s="30"/>
      <c r="D693" s="30"/>
      <c r="E693" s="30"/>
      <c r="F693" s="32"/>
      <c r="G693" s="32"/>
      <c r="H693" s="42"/>
      <c r="I693" s="34"/>
      <c r="J693" s="35"/>
      <c r="K693" s="35"/>
      <c r="L693" s="34"/>
      <c r="M693" s="35"/>
      <c r="N693" s="36"/>
      <c r="O693" s="322"/>
      <c r="P693" s="38"/>
      <c r="Q693" s="38"/>
      <c r="R693" s="279"/>
      <c r="S693" s="40"/>
      <c r="T693" s="22"/>
      <c r="U693" s="41"/>
      <c r="V693" s="4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>
      <c r="B694" s="22"/>
      <c r="C694" s="30"/>
      <c r="D694" s="30"/>
      <c r="E694" s="30"/>
      <c r="F694" s="32"/>
      <c r="G694" s="32"/>
      <c r="H694" s="42"/>
      <c r="I694" s="34"/>
      <c r="J694" s="35"/>
      <c r="K694" s="35"/>
      <c r="L694" s="34"/>
      <c r="M694" s="35"/>
      <c r="N694" s="36"/>
      <c r="O694" s="322"/>
      <c r="P694" s="38"/>
      <c r="Q694" s="38"/>
      <c r="R694" s="279"/>
      <c r="S694" s="40"/>
      <c r="T694" s="22"/>
      <c r="U694" s="41"/>
      <c r="V694" s="4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>
      <c r="B695" s="22"/>
      <c r="C695" s="30"/>
      <c r="D695" s="30"/>
      <c r="E695" s="30"/>
      <c r="F695" s="32"/>
      <c r="G695" s="32"/>
      <c r="H695" s="42"/>
      <c r="I695" s="34"/>
      <c r="J695" s="35"/>
      <c r="K695" s="35"/>
      <c r="L695" s="34"/>
      <c r="M695" s="35"/>
      <c r="N695" s="36"/>
      <c r="O695" s="322"/>
      <c r="P695" s="38"/>
      <c r="Q695" s="38"/>
      <c r="R695" s="279"/>
      <c r="S695" s="40"/>
      <c r="T695" s="22"/>
      <c r="U695" s="41"/>
      <c r="V695" s="4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>
      <c r="B696" s="22"/>
      <c r="C696" s="30"/>
      <c r="D696" s="30"/>
      <c r="E696" s="30"/>
      <c r="F696" s="32"/>
      <c r="G696" s="32"/>
      <c r="H696" s="42"/>
      <c r="I696" s="34"/>
      <c r="J696" s="35"/>
      <c r="K696" s="35"/>
      <c r="L696" s="34"/>
      <c r="M696" s="35"/>
      <c r="N696" s="36"/>
      <c r="O696" s="322"/>
      <c r="P696" s="38"/>
      <c r="Q696" s="38"/>
      <c r="R696" s="279"/>
      <c r="S696" s="40"/>
      <c r="T696" s="22"/>
      <c r="U696" s="41"/>
      <c r="V696" s="4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>
      <c r="B697" s="22"/>
      <c r="C697" s="30"/>
      <c r="D697" s="30"/>
      <c r="E697" s="30"/>
      <c r="F697" s="32"/>
      <c r="G697" s="32"/>
      <c r="H697" s="42"/>
      <c r="I697" s="34"/>
      <c r="J697" s="35"/>
      <c r="K697" s="35"/>
      <c r="L697" s="34"/>
      <c r="M697" s="35"/>
      <c r="N697" s="36"/>
      <c r="O697" s="322"/>
      <c r="P697" s="38"/>
      <c r="Q697" s="38"/>
      <c r="R697" s="279"/>
      <c r="S697" s="40"/>
      <c r="T697" s="22"/>
      <c r="U697" s="41"/>
      <c r="V697" s="4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>
      <c r="B698" s="22"/>
      <c r="C698" s="30"/>
      <c r="D698" s="30"/>
      <c r="E698" s="30"/>
      <c r="F698" s="32"/>
      <c r="G698" s="32"/>
      <c r="H698" s="42"/>
      <c r="I698" s="34"/>
      <c r="J698" s="35"/>
      <c r="K698" s="35"/>
      <c r="L698" s="34"/>
      <c r="M698" s="35"/>
      <c r="N698" s="36"/>
      <c r="O698" s="322"/>
      <c r="P698" s="38"/>
      <c r="Q698" s="38"/>
      <c r="R698" s="279"/>
      <c r="S698" s="40"/>
      <c r="T698" s="22"/>
      <c r="U698" s="41"/>
      <c r="V698" s="4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>
      <c r="B699" s="22"/>
      <c r="C699" s="30"/>
      <c r="D699" s="30"/>
      <c r="E699" s="30"/>
      <c r="F699" s="32"/>
      <c r="G699" s="32"/>
      <c r="H699" s="42"/>
      <c r="I699" s="34"/>
      <c r="J699" s="35"/>
      <c r="K699" s="35"/>
      <c r="L699" s="34"/>
      <c r="M699" s="35"/>
      <c r="N699" s="36"/>
      <c r="O699" s="322"/>
      <c r="P699" s="38"/>
      <c r="Q699" s="38"/>
      <c r="R699" s="279"/>
      <c r="S699" s="40"/>
      <c r="T699" s="22"/>
      <c r="U699" s="41"/>
      <c r="V699" s="4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>
      <c r="B700" s="22"/>
      <c r="C700" s="30"/>
      <c r="D700" s="30"/>
      <c r="E700" s="30"/>
      <c r="F700" s="32"/>
      <c r="G700" s="32"/>
      <c r="H700" s="42"/>
      <c r="I700" s="34"/>
      <c r="J700" s="35"/>
      <c r="K700" s="35"/>
      <c r="L700" s="34"/>
      <c r="M700" s="35"/>
      <c r="N700" s="36"/>
      <c r="O700" s="322"/>
      <c r="P700" s="38"/>
      <c r="Q700" s="38"/>
      <c r="R700" s="279"/>
      <c r="S700" s="40"/>
      <c r="T700" s="22"/>
      <c r="U700" s="41"/>
      <c r="V700" s="4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>
      <c r="B701" s="22"/>
      <c r="C701" s="30"/>
      <c r="D701" s="30"/>
      <c r="E701" s="30"/>
      <c r="F701" s="32"/>
      <c r="G701" s="32"/>
      <c r="H701" s="42"/>
      <c r="I701" s="34"/>
      <c r="J701" s="35"/>
      <c r="K701" s="35"/>
      <c r="L701" s="34"/>
      <c r="M701" s="35"/>
      <c r="N701" s="36"/>
      <c r="O701" s="322"/>
      <c r="P701" s="38"/>
      <c r="Q701" s="38"/>
      <c r="R701" s="279"/>
      <c r="S701" s="40"/>
      <c r="T701" s="22"/>
      <c r="U701" s="41"/>
      <c r="V701" s="4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>
      <c r="B702" s="22"/>
      <c r="C702" s="30"/>
      <c r="D702" s="30"/>
      <c r="E702" s="30"/>
      <c r="F702" s="32"/>
      <c r="G702" s="32"/>
      <c r="H702" s="42"/>
      <c r="I702" s="34"/>
      <c r="J702" s="35"/>
      <c r="K702" s="35"/>
      <c r="L702" s="34"/>
      <c r="M702" s="35"/>
      <c r="N702" s="36"/>
      <c r="O702" s="322"/>
      <c r="P702" s="38"/>
      <c r="Q702" s="38"/>
      <c r="R702" s="279"/>
      <c r="S702" s="40"/>
      <c r="T702" s="22"/>
      <c r="U702" s="41"/>
      <c r="V702" s="4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>
      <c r="B703" s="22"/>
      <c r="C703" s="30"/>
      <c r="D703" s="30"/>
      <c r="E703" s="30"/>
      <c r="F703" s="32"/>
      <c r="G703" s="32"/>
      <c r="H703" s="42"/>
      <c r="I703" s="34"/>
      <c r="J703" s="35"/>
      <c r="K703" s="35"/>
      <c r="L703" s="34"/>
      <c r="M703" s="35"/>
      <c r="N703" s="36"/>
      <c r="O703" s="322"/>
      <c r="P703" s="38"/>
      <c r="Q703" s="38"/>
      <c r="R703" s="279"/>
      <c r="S703" s="40"/>
      <c r="T703" s="22"/>
      <c r="U703" s="41"/>
      <c r="V703" s="4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>
      <c r="B704" s="22"/>
      <c r="C704" s="30"/>
      <c r="D704" s="30"/>
      <c r="E704" s="30"/>
      <c r="F704" s="32"/>
      <c r="G704" s="32"/>
      <c r="H704" s="42"/>
      <c r="I704" s="34"/>
      <c r="J704" s="35"/>
      <c r="K704" s="35"/>
      <c r="L704" s="34"/>
      <c r="M704" s="35"/>
      <c r="N704" s="36"/>
      <c r="O704" s="322"/>
      <c r="P704" s="38"/>
      <c r="Q704" s="38"/>
      <c r="R704" s="279"/>
      <c r="S704" s="40"/>
      <c r="T704" s="22"/>
      <c r="U704" s="41"/>
      <c r="V704" s="4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>
      <c r="B705" s="22"/>
      <c r="C705" s="30"/>
      <c r="D705" s="30"/>
      <c r="E705" s="30"/>
      <c r="F705" s="32"/>
      <c r="G705" s="32"/>
      <c r="H705" s="42"/>
      <c r="I705" s="34"/>
      <c r="J705" s="35"/>
      <c r="K705" s="35"/>
      <c r="L705" s="34"/>
      <c r="M705" s="35"/>
      <c r="N705" s="36"/>
      <c r="O705" s="322"/>
      <c r="P705" s="38"/>
      <c r="Q705" s="38"/>
      <c r="R705" s="279"/>
      <c r="S705" s="40"/>
      <c r="T705" s="22"/>
      <c r="U705" s="41"/>
      <c r="V705" s="4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>
      <c r="B706" s="22"/>
      <c r="C706" s="30"/>
      <c r="D706" s="30"/>
      <c r="E706" s="30"/>
      <c r="F706" s="32"/>
      <c r="G706" s="32"/>
      <c r="H706" s="42"/>
      <c r="I706" s="34"/>
      <c r="J706" s="35"/>
      <c r="K706" s="35"/>
      <c r="L706" s="34"/>
      <c r="M706" s="35"/>
      <c r="N706" s="36"/>
      <c r="O706" s="322"/>
      <c r="P706" s="38"/>
      <c r="Q706" s="38"/>
      <c r="R706" s="279"/>
      <c r="S706" s="40"/>
      <c r="T706" s="22"/>
      <c r="U706" s="41"/>
      <c r="V706" s="4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>
      <c r="B707" s="22"/>
      <c r="C707" s="30"/>
      <c r="D707" s="30"/>
      <c r="E707" s="30"/>
      <c r="F707" s="32"/>
      <c r="G707" s="32"/>
      <c r="H707" s="42"/>
      <c r="I707" s="34"/>
      <c r="J707" s="35"/>
      <c r="K707" s="35"/>
      <c r="L707" s="34"/>
      <c r="M707" s="35"/>
      <c r="N707" s="36"/>
      <c r="O707" s="322"/>
      <c r="P707" s="38"/>
      <c r="Q707" s="38"/>
      <c r="R707" s="279"/>
      <c r="S707" s="40"/>
      <c r="T707" s="22"/>
      <c r="U707" s="41"/>
      <c r="V707" s="4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>
      <c r="B708" s="22"/>
      <c r="C708" s="30"/>
      <c r="D708" s="30"/>
      <c r="E708" s="30"/>
      <c r="F708" s="32"/>
      <c r="G708" s="32"/>
      <c r="H708" s="42"/>
      <c r="I708" s="34"/>
      <c r="J708" s="35"/>
      <c r="K708" s="35"/>
      <c r="L708" s="34"/>
      <c r="M708" s="35"/>
      <c r="N708" s="36"/>
      <c r="O708" s="322"/>
      <c r="P708" s="38"/>
      <c r="Q708" s="38"/>
      <c r="R708" s="279"/>
      <c r="S708" s="40"/>
      <c r="T708" s="22"/>
      <c r="U708" s="41"/>
      <c r="V708" s="4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>
      <c r="B709" s="22"/>
      <c r="C709" s="30"/>
      <c r="D709" s="30"/>
      <c r="E709" s="30"/>
      <c r="F709" s="32"/>
      <c r="G709" s="32"/>
      <c r="H709" s="42"/>
      <c r="I709" s="34"/>
      <c r="J709" s="35"/>
      <c r="K709" s="35"/>
      <c r="L709" s="34"/>
      <c r="M709" s="35"/>
      <c r="N709" s="36"/>
      <c r="O709" s="322"/>
      <c r="P709" s="38"/>
      <c r="Q709" s="38"/>
      <c r="R709" s="279"/>
      <c r="S709" s="40"/>
      <c r="T709" s="22"/>
      <c r="U709" s="41"/>
      <c r="V709" s="4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>
      <c r="B710" s="22"/>
      <c r="C710" s="30"/>
      <c r="D710" s="30"/>
      <c r="E710" s="30"/>
      <c r="F710" s="32"/>
      <c r="G710" s="32"/>
      <c r="H710" s="42"/>
      <c r="I710" s="34"/>
      <c r="J710" s="35"/>
      <c r="K710" s="35"/>
      <c r="L710" s="34"/>
      <c r="M710" s="35"/>
      <c r="N710" s="36"/>
      <c r="O710" s="322"/>
      <c r="P710" s="38"/>
      <c r="Q710" s="38"/>
      <c r="R710" s="279"/>
      <c r="S710" s="40"/>
      <c r="T710" s="22"/>
      <c r="U710" s="41"/>
      <c r="V710" s="4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>
      <c r="B711" s="22"/>
      <c r="C711" s="30"/>
      <c r="D711" s="30"/>
      <c r="E711" s="30"/>
      <c r="F711" s="32"/>
      <c r="G711" s="32"/>
      <c r="H711" s="42"/>
      <c r="I711" s="34"/>
      <c r="J711" s="35"/>
      <c r="K711" s="35"/>
      <c r="L711" s="34"/>
      <c r="M711" s="35"/>
      <c r="N711" s="36"/>
      <c r="O711" s="322"/>
      <c r="P711" s="38"/>
      <c r="Q711" s="38"/>
      <c r="R711" s="279"/>
      <c r="S711" s="40"/>
      <c r="T711" s="22"/>
      <c r="U711" s="41"/>
      <c r="V711" s="4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>
      <c r="B712" s="22"/>
      <c r="C712" s="30"/>
      <c r="D712" s="30"/>
      <c r="E712" s="30"/>
      <c r="F712" s="32"/>
      <c r="G712" s="32"/>
      <c r="H712" s="42"/>
      <c r="I712" s="34"/>
      <c r="J712" s="35"/>
      <c r="K712" s="35"/>
      <c r="L712" s="34"/>
      <c r="M712" s="35"/>
      <c r="N712" s="36"/>
      <c r="O712" s="322"/>
      <c r="P712" s="38"/>
      <c r="Q712" s="38"/>
      <c r="R712" s="279"/>
      <c r="S712" s="40"/>
      <c r="T712" s="22"/>
      <c r="U712" s="41"/>
      <c r="V712" s="4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>
      <c r="B713" s="22"/>
      <c r="C713" s="30"/>
      <c r="D713" s="30"/>
      <c r="E713" s="30"/>
      <c r="F713" s="32"/>
      <c r="G713" s="32"/>
      <c r="H713" s="42"/>
      <c r="I713" s="34"/>
      <c r="J713" s="35"/>
      <c r="K713" s="35"/>
      <c r="L713" s="34"/>
      <c r="M713" s="35"/>
      <c r="N713" s="36"/>
      <c r="O713" s="322"/>
      <c r="P713" s="38"/>
      <c r="Q713" s="38"/>
      <c r="R713" s="279"/>
      <c r="S713" s="40"/>
      <c r="T713" s="22"/>
      <c r="U713" s="41"/>
      <c r="V713" s="4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>
      <c r="B714" s="22"/>
      <c r="C714" s="30"/>
      <c r="D714" s="30"/>
      <c r="E714" s="30"/>
      <c r="F714" s="32"/>
      <c r="G714" s="32"/>
      <c r="H714" s="42"/>
      <c r="I714" s="34"/>
      <c r="J714" s="35"/>
      <c r="K714" s="35"/>
      <c r="L714" s="34"/>
      <c r="M714" s="35"/>
      <c r="N714" s="36"/>
      <c r="O714" s="322"/>
      <c r="P714" s="38"/>
      <c r="Q714" s="38"/>
      <c r="R714" s="279"/>
      <c r="S714" s="40"/>
      <c r="T714" s="22"/>
      <c r="U714" s="41"/>
      <c r="V714" s="4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>
      <c r="B715" s="22"/>
      <c r="C715" s="30"/>
      <c r="D715" s="30"/>
      <c r="E715" s="30"/>
      <c r="F715" s="32"/>
      <c r="G715" s="32"/>
      <c r="H715" s="42"/>
      <c r="I715" s="34"/>
      <c r="J715" s="35"/>
      <c r="K715" s="35"/>
      <c r="L715" s="34"/>
      <c r="M715" s="35"/>
      <c r="N715" s="36"/>
      <c r="O715" s="322"/>
      <c r="P715" s="38"/>
      <c r="Q715" s="38"/>
      <c r="R715" s="279"/>
      <c r="S715" s="40"/>
      <c r="T715" s="22"/>
      <c r="U715" s="41"/>
      <c r="V715" s="4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>
      <c r="B716" s="22"/>
      <c r="C716" s="30"/>
      <c r="D716" s="30"/>
      <c r="E716" s="30"/>
      <c r="F716" s="32"/>
      <c r="G716" s="32"/>
      <c r="H716" s="42"/>
      <c r="I716" s="34"/>
      <c r="J716" s="35"/>
      <c r="K716" s="35"/>
      <c r="L716" s="34"/>
      <c r="M716" s="35"/>
      <c r="N716" s="36"/>
      <c r="O716" s="322"/>
      <c r="P716" s="38"/>
      <c r="Q716" s="38"/>
      <c r="R716" s="279"/>
      <c r="S716" s="40"/>
      <c r="T716" s="22"/>
      <c r="U716" s="41"/>
      <c r="V716" s="4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>
      <c r="B717" s="22"/>
      <c r="C717" s="30"/>
      <c r="D717" s="30"/>
      <c r="E717" s="30"/>
      <c r="F717" s="32"/>
      <c r="G717" s="32"/>
      <c r="H717" s="42"/>
      <c r="I717" s="34"/>
      <c r="J717" s="35"/>
      <c r="K717" s="35"/>
      <c r="L717" s="34"/>
      <c r="M717" s="35"/>
      <c r="N717" s="36"/>
      <c r="O717" s="322"/>
      <c r="P717" s="38"/>
      <c r="Q717" s="38"/>
      <c r="R717" s="279"/>
      <c r="S717" s="40"/>
      <c r="T717" s="22"/>
      <c r="U717" s="41"/>
      <c r="V717" s="4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>
      <c r="B718" s="22"/>
      <c r="C718" s="30"/>
      <c r="D718" s="30"/>
      <c r="E718" s="30"/>
      <c r="F718" s="32"/>
      <c r="G718" s="32"/>
      <c r="H718" s="42"/>
      <c r="I718" s="34"/>
      <c r="J718" s="35"/>
      <c r="K718" s="35"/>
      <c r="L718" s="34"/>
      <c r="M718" s="35"/>
      <c r="N718" s="36"/>
      <c r="O718" s="322"/>
      <c r="P718" s="38"/>
      <c r="Q718" s="38"/>
      <c r="R718" s="279"/>
      <c r="S718" s="40"/>
      <c r="T718" s="22"/>
      <c r="U718" s="41"/>
      <c r="V718" s="4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>
      <c r="B719" s="22"/>
      <c r="C719" s="30"/>
      <c r="D719" s="30"/>
      <c r="E719" s="30"/>
      <c r="F719" s="32"/>
      <c r="G719" s="32"/>
      <c r="H719" s="42"/>
      <c r="I719" s="34"/>
      <c r="J719" s="35"/>
      <c r="K719" s="35"/>
      <c r="L719" s="34"/>
      <c r="M719" s="35"/>
      <c r="N719" s="36"/>
      <c r="O719" s="322"/>
      <c r="P719" s="38"/>
      <c r="Q719" s="38"/>
      <c r="R719" s="279"/>
      <c r="S719" s="40"/>
      <c r="T719" s="22"/>
      <c r="U719" s="41"/>
      <c r="V719" s="4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>
      <c r="B720" s="22"/>
      <c r="C720" s="30"/>
      <c r="D720" s="30"/>
      <c r="E720" s="30"/>
      <c r="F720" s="32"/>
      <c r="G720" s="32"/>
      <c r="H720" s="42"/>
      <c r="I720" s="34"/>
      <c r="J720" s="35"/>
      <c r="K720" s="35"/>
      <c r="L720" s="34"/>
      <c r="M720" s="35"/>
      <c r="N720" s="36"/>
      <c r="O720" s="322"/>
      <c r="P720" s="38"/>
      <c r="Q720" s="38"/>
      <c r="R720" s="279"/>
      <c r="S720" s="40"/>
      <c r="T720" s="22"/>
      <c r="U720" s="41"/>
      <c r="V720" s="4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>
      <c r="B721" s="22"/>
      <c r="C721" s="30"/>
      <c r="D721" s="30"/>
      <c r="E721" s="30"/>
      <c r="F721" s="32"/>
      <c r="G721" s="32"/>
      <c r="H721" s="42"/>
      <c r="I721" s="34"/>
      <c r="J721" s="35"/>
      <c r="K721" s="35"/>
      <c r="L721" s="34"/>
      <c r="M721" s="35"/>
      <c r="N721" s="36"/>
      <c r="O721" s="322"/>
      <c r="P721" s="38"/>
      <c r="Q721" s="38"/>
      <c r="R721" s="279"/>
      <c r="S721" s="40"/>
      <c r="T721" s="22"/>
      <c r="U721" s="41"/>
      <c r="V721" s="4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>
      <c r="B722" s="22"/>
      <c r="C722" s="30"/>
      <c r="D722" s="30"/>
      <c r="E722" s="30"/>
      <c r="F722" s="32"/>
      <c r="G722" s="32"/>
      <c r="H722" s="42"/>
      <c r="I722" s="34"/>
      <c r="J722" s="35"/>
      <c r="K722" s="35"/>
      <c r="L722" s="34"/>
      <c r="M722" s="35"/>
      <c r="N722" s="36"/>
      <c r="O722" s="322"/>
      <c r="P722" s="38"/>
      <c r="Q722" s="38"/>
      <c r="R722" s="279"/>
      <c r="S722" s="40"/>
      <c r="T722" s="22"/>
      <c r="U722" s="41"/>
      <c r="V722" s="4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>
      <c r="B723" s="22"/>
      <c r="C723" s="30"/>
      <c r="D723" s="30"/>
      <c r="E723" s="30"/>
      <c r="F723" s="32"/>
      <c r="G723" s="32"/>
      <c r="H723" s="42"/>
      <c r="I723" s="34"/>
      <c r="J723" s="35"/>
      <c r="K723" s="35"/>
      <c r="L723" s="34"/>
      <c r="M723" s="35"/>
      <c r="N723" s="36"/>
      <c r="O723" s="322"/>
      <c r="P723" s="38"/>
      <c r="Q723" s="38"/>
      <c r="R723" s="279"/>
      <c r="S723" s="40"/>
      <c r="T723" s="22"/>
      <c r="U723" s="41"/>
      <c r="V723" s="4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>
      <c r="B724" s="22"/>
      <c r="C724" s="30"/>
      <c r="D724" s="30"/>
      <c r="E724" s="30"/>
      <c r="F724" s="32"/>
      <c r="G724" s="32"/>
      <c r="H724" s="42"/>
      <c r="I724" s="34"/>
      <c r="J724" s="35"/>
      <c r="K724" s="35"/>
      <c r="L724" s="34"/>
      <c r="M724" s="35"/>
      <c r="N724" s="36"/>
      <c r="O724" s="322"/>
      <c r="P724" s="38"/>
      <c r="Q724" s="38"/>
      <c r="R724" s="279"/>
      <c r="S724" s="40"/>
      <c r="T724" s="22"/>
      <c r="U724" s="41"/>
      <c r="V724" s="4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>
      <c r="B725" s="22"/>
      <c r="C725" s="30"/>
      <c r="D725" s="30"/>
      <c r="E725" s="30"/>
      <c r="F725" s="32"/>
      <c r="G725" s="32"/>
      <c r="H725" s="42"/>
      <c r="I725" s="34"/>
      <c r="J725" s="35"/>
      <c r="K725" s="35"/>
      <c r="L725" s="34"/>
      <c r="M725" s="35"/>
      <c r="N725" s="36"/>
      <c r="O725" s="322"/>
      <c r="P725" s="38"/>
      <c r="Q725" s="38"/>
      <c r="R725" s="279"/>
      <c r="S725" s="40"/>
      <c r="T725" s="22"/>
      <c r="U725" s="41"/>
      <c r="V725" s="4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>
      <c r="B726" s="22"/>
      <c r="C726" s="30"/>
      <c r="D726" s="30"/>
      <c r="E726" s="30"/>
      <c r="F726" s="32"/>
      <c r="G726" s="32"/>
      <c r="H726" s="42"/>
      <c r="I726" s="34"/>
      <c r="J726" s="35"/>
      <c r="K726" s="35"/>
      <c r="L726" s="34"/>
      <c r="M726" s="35"/>
      <c r="N726" s="36"/>
      <c r="O726" s="322"/>
      <c r="P726" s="38"/>
      <c r="Q726" s="38"/>
      <c r="R726" s="279"/>
      <c r="S726" s="40"/>
      <c r="T726" s="22"/>
      <c r="U726" s="41"/>
      <c r="V726" s="4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>
      <c r="B727" s="22"/>
      <c r="C727" s="30"/>
      <c r="D727" s="30"/>
      <c r="E727" s="30"/>
      <c r="F727" s="32"/>
      <c r="G727" s="32"/>
      <c r="H727" s="42"/>
      <c r="I727" s="34"/>
      <c r="J727" s="35"/>
      <c r="K727" s="35"/>
      <c r="L727" s="34"/>
      <c r="M727" s="35"/>
      <c r="N727" s="36"/>
      <c r="O727" s="322"/>
      <c r="P727" s="38"/>
      <c r="Q727" s="38"/>
      <c r="R727" s="279"/>
      <c r="S727" s="40"/>
      <c r="T727" s="22"/>
      <c r="U727" s="41"/>
      <c r="V727" s="4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>
      <c r="B728" s="22"/>
      <c r="C728" s="30"/>
      <c r="D728" s="30"/>
      <c r="E728" s="30"/>
      <c r="F728" s="32"/>
      <c r="G728" s="32"/>
      <c r="H728" s="42"/>
      <c r="I728" s="34"/>
      <c r="J728" s="35"/>
      <c r="K728" s="35"/>
      <c r="L728" s="34"/>
      <c r="M728" s="35"/>
      <c r="N728" s="36"/>
      <c r="O728" s="322"/>
      <c r="P728" s="38"/>
      <c r="Q728" s="38"/>
      <c r="R728" s="279"/>
      <c r="S728" s="40"/>
      <c r="T728" s="22"/>
      <c r="U728" s="41"/>
      <c r="V728" s="4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>
      <c r="B729" s="22"/>
      <c r="C729" s="30"/>
      <c r="D729" s="30"/>
      <c r="E729" s="30"/>
      <c r="F729" s="32"/>
      <c r="G729" s="32"/>
      <c r="H729" s="42"/>
      <c r="I729" s="34"/>
      <c r="J729" s="35"/>
      <c r="K729" s="35"/>
      <c r="L729" s="34"/>
      <c r="M729" s="35"/>
      <c r="N729" s="36"/>
      <c r="O729" s="322"/>
      <c r="P729" s="38"/>
      <c r="Q729" s="38"/>
      <c r="R729" s="279"/>
      <c r="S729" s="40"/>
      <c r="T729" s="22"/>
      <c r="U729" s="41"/>
      <c r="V729" s="4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>
      <c r="B730" s="22"/>
      <c r="C730" s="30"/>
      <c r="D730" s="30"/>
      <c r="E730" s="30"/>
      <c r="F730" s="32"/>
      <c r="G730" s="32"/>
      <c r="H730" s="42"/>
      <c r="I730" s="34"/>
      <c r="J730" s="35"/>
      <c r="K730" s="35"/>
      <c r="L730" s="34"/>
      <c r="M730" s="35"/>
      <c r="N730" s="36"/>
      <c r="O730" s="322"/>
      <c r="P730" s="38"/>
      <c r="Q730" s="38"/>
      <c r="R730" s="279"/>
      <c r="S730" s="40"/>
      <c r="T730" s="22"/>
      <c r="U730" s="41"/>
      <c r="V730" s="4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>
      <c r="B731" s="22"/>
      <c r="C731" s="30"/>
      <c r="D731" s="30"/>
      <c r="E731" s="30"/>
      <c r="F731" s="32"/>
      <c r="G731" s="32"/>
      <c r="H731" s="42"/>
      <c r="I731" s="34"/>
      <c r="J731" s="35"/>
      <c r="K731" s="35"/>
      <c r="L731" s="34"/>
      <c r="M731" s="35"/>
      <c r="N731" s="36"/>
      <c r="O731" s="322"/>
      <c r="P731" s="38"/>
      <c r="Q731" s="38"/>
      <c r="R731" s="279"/>
      <c r="S731" s="40"/>
      <c r="T731" s="22"/>
      <c r="U731" s="41"/>
      <c r="V731" s="4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>
      <c r="B732" s="22"/>
      <c r="C732" s="30"/>
      <c r="D732" s="30"/>
      <c r="E732" s="30"/>
      <c r="F732" s="32"/>
      <c r="G732" s="32"/>
      <c r="H732" s="42"/>
      <c r="I732" s="34"/>
      <c r="J732" s="35"/>
      <c r="K732" s="35"/>
      <c r="L732" s="34"/>
      <c r="M732" s="35"/>
      <c r="N732" s="36"/>
      <c r="O732" s="322"/>
      <c r="P732" s="38"/>
      <c r="Q732" s="38"/>
      <c r="R732" s="279"/>
      <c r="S732" s="40"/>
      <c r="T732" s="22"/>
      <c r="U732" s="41"/>
      <c r="V732" s="4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>
      <c r="B733" s="22"/>
      <c r="C733" s="30"/>
      <c r="D733" s="30"/>
      <c r="E733" s="30"/>
      <c r="F733" s="32"/>
      <c r="G733" s="32"/>
      <c r="H733" s="42"/>
      <c r="I733" s="34"/>
      <c r="J733" s="35"/>
      <c r="K733" s="35"/>
      <c r="L733" s="34"/>
      <c r="M733" s="35"/>
      <c r="N733" s="36"/>
      <c r="O733" s="322"/>
      <c r="P733" s="38"/>
      <c r="Q733" s="38"/>
      <c r="R733" s="279"/>
      <c r="S733" s="40"/>
      <c r="T733" s="22"/>
      <c r="U733" s="41"/>
      <c r="V733" s="4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>
      <c r="B734" s="22"/>
      <c r="C734" s="30"/>
      <c r="D734" s="30"/>
      <c r="E734" s="30"/>
      <c r="F734" s="32"/>
      <c r="G734" s="32"/>
      <c r="H734" s="42"/>
      <c r="I734" s="34"/>
      <c r="J734" s="35"/>
      <c r="K734" s="35"/>
      <c r="L734" s="34"/>
      <c r="M734" s="35"/>
      <c r="N734" s="36"/>
      <c r="O734" s="322"/>
      <c r="P734" s="38"/>
      <c r="Q734" s="38"/>
      <c r="R734" s="279"/>
      <c r="S734" s="40"/>
      <c r="T734" s="22"/>
      <c r="U734" s="41"/>
      <c r="V734" s="4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>
      <c r="B735" s="22"/>
      <c r="C735" s="30"/>
      <c r="D735" s="30"/>
      <c r="E735" s="30"/>
      <c r="F735" s="32"/>
      <c r="G735" s="32"/>
      <c r="H735" s="42"/>
      <c r="I735" s="34"/>
      <c r="J735" s="35"/>
      <c r="K735" s="35"/>
      <c r="L735" s="34"/>
      <c r="M735" s="35"/>
      <c r="N735" s="36"/>
      <c r="O735" s="322"/>
      <c r="P735" s="38"/>
      <c r="Q735" s="38"/>
      <c r="R735" s="279"/>
      <c r="S735" s="40"/>
      <c r="T735" s="22"/>
      <c r="U735" s="41"/>
      <c r="V735" s="4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>
      <c r="B736" s="22"/>
      <c r="C736" s="30"/>
      <c r="D736" s="30"/>
      <c r="E736" s="30"/>
      <c r="F736" s="32"/>
      <c r="G736" s="32"/>
      <c r="H736" s="42"/>
      <c r="I736" s="34"/>
      <c r="J736" s="35"/>
      <c r="K736" s="35"/>
      <c r="L736" s="34"/>
      <c r="M736" s="35"/>
      <c r="N736" s="36"/>
      <c r="O736" s="322"/>
      <c r="P736" s="38"/>
      <c r="Q736" s="38"/>
      <c r="R736" s="279"/>
      <c r="S736" s="40"/>
      <c r="T736" s="22"/>
      <c r="U736" s="41"/>
      <c r="V736" s="4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>
      <c r="B737" s="22"/>
      <c r="C737" s="30"/>
      <c r="D737" s="30"/>
      <c r="E737" s="30"/>
      <c r="F737" s="32"/>
      <c r="G737" s="32"/>
      <c r="H737" s="42"/>
      <c r="I737" s="34"/>
      <c r="J737" s="35"/>
      <c r="K737" s="35"/>
      <c r="L737" s="34"/>
      <c r="M737" s="35"/>
      <c r="N737" s="36"/>
      <c r="O737" s="322"/>
      <c r="P737" s="38"/>
      <c r="Q737" s="38"/>
      <c r="R737" s="279"/>
      <c r="S737" s="40"/>
      <c r="T737" s="22"/>
      <c r="U737" s="41"/>
      <c r="V737" s="4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>
      <c r="B738" s="22"/>
      <c r="C738" s="30"/>
      <c r="D738" s="30"/>
      <c r="E738" s="30"/>
      <c r="F738" s="32"/>
      <c r="G738" s="32"/>
      <c r="H738" s="42"/>
      <c r="I738" s="34"/>
      <c r="J738" s="35"/>
      <c r="K738" s="35"/>
      <c r="L738" s="34"/>
      <c r="M738" s="35"/>
      <c r="N738" s="36"/>
      <c r="O738" s="322"/>
      <c r="P738" s="38"/>
      <c r="Q738" s="38"/>
      <c r="R738" s="279"/>
      <c r="S738" s="40"/>
      <c r="T738" s="22"/>
      <c r="U738" s="41"/>
      <c r="V738" s="4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>
      <c r="B739" s="22"/>
      <c r="C739" s="30"/>
      <c r="D739" s="30"/>
      <c r="E739" s="30"/>
      <c r="F739" s="32"/>
      <c r="G739" s="32"/>
      <c r="H739" s="42"/>
      <c r="I739" s="34"/>
      <c r="J739" s="35"/>
      <c r="K739" s="35"/>
      <c r="L739" s="34"/>
      <c r="M739" s="35"/>
      <c r="N739" s="36"/>
      <c r="O739" s="322"/>
      <c r="P739" s="38"/>
      <c r="Q739" s="38"/>
      <c r="R739" s="279"/>
      <c r="S739" s="40"/>
      <c r="T739" s="22"/>
      <c r="U739" s="41"/>
      <c r="V739" s="4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>
      <c r="B740" s="22"/>
      <c r="C740" s="30"/>
      <c r="D740" s="30"/>
      <c r="E740" s="30"/>
      <c r="F740" s="32"/>
      <c r="G740" s="32"/>
      <c r="H740" s="42"/>
      <c r="I740" s="34"/>
      <c r="J740" s="35"/>
      <c r="K740" s="35"/>
      <c r="L740" s="34"/>
      <c r="M740" s="35"/>
      <c r="N740" s="36"/>
      <c r="O740" s="322"/>
      <c r="P740" s="38"/>
      <c r="Q740" s="38"/>
      <c r="R740" s="279"/>
      <c r="S740" s="40"/>
      <c r="T740" s="22"/>
      <c r="U740" s="41"/>
      <c r="V740" s="4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>
      <c r="B741" s="22"/>
      <c r="C741" s="30"/>
      <c r="D741" s="30"/>
      <c r="E741" s="30"/>
      <c r="F741" s="32"/>
      <c r="G741" s="32"/>
      <c r="H741" s="42"/>
      <c r="I741" s="34"/>
      <c r="J741" s="35"/>
      <c r="K741" s="35"/>
      <c r="L741" s="34"/>
      <c r="M741" s="35"/>
      <c r="N741" s="36"/>
      <c r="O741" s="322"/>
      <c r="P741" s="38"/>
      <c r="Q741" s="38"/>
      <c r="R741" s="279"/>
      <c r="S741" s="40"/>
      <c r="T741" s="22"/>
      <c r="U741" s="41"/>
      <c r="V741" s="4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>
      <c r="B742" s="22"/>
      <c r="C742" s="30"/>
      <c r="D742" s="30"/>
      <c r="E742" s="30"/>
      <c r="F742" s="32"/>
      <c r="G742" s="32"/>
      <c r="H742" s="42"/>
      <c r="I742" s="34"/>
      <c r="J742" s="35"/>
      <c r="K742" s="35"/>
      <c r="L742" s="34"/>
      <c r="M742" s="35"/>
      <c r="N742" s="36"/>
      <c r="O742" s="322"/>
      <c r="P742" s="38"/>
      <c r="Q742" s="38"/>
      <c r="R742" s="279"/>
      <c r="S742" s="40"/>
      <c r="T742" s="22"/>
      <c r="U742" s="41"/>
      <c r="V742" s="4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>
      <c r="B743" s="22"/>
      <c r="C743" s="30"/>
      <c r="D743" s="30"/>
      <c r="E743" s="30"/>
      <c r="F743" s="32"/>
      <c r="G743" s="32"/>
      <c r="H743" s="42"/>
      <c r="I743" s="34"/>
      <c r="J743" s="35"/>
      <c r="K743" s="35"/>
      <c r="L743" s="34"/>
      <c r="M743" s="35"/>
      <c r="N743" s="36"/>
      <c r="O743" s="322"/>
      <c r="P743" s="38"/>
      <c r="Q743" s="38"/>
      <c r="R743" s="279"/>
      <c r="S743" s="40"/>
      <c r="T743" s="22"/>
      <c r="U743" s="41"/>
      <c r="V743" s="4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>
      <c r="B744" s="22"/>
      <c r="C744" s="30"/>
      <c r="D744" s="30"/>
      <c r="E744" s="30"/>
      <c r="F744" s="32"/>
      <c r="G744" s="32"/>
      <c r="H744" s="42"/>
      <c r="I744" s="34"/>
      <c r="J744" s="35"/>
      <c r="K744" s="35"/>
      <c r="L744" s="34"/>
      <c r="M744" s="35"/>
      <c r="N744" s="36"/>
      <c r="O744" s="322"/>
      <c r="P744" s="38"/>
      <c r="Q744" s="38"/>
      <c r="R744" s="279"/>
      <c r="S744" s="40"/>
      <c r="T744" s="22"/>
      <c r="U744" s="41"/>
      <c r="V744" s="4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>
      <c r="B745" s="22"/>
      <c r="C745" s="30"/>
      <c r="D745" s="30"/>
      <c r="E745" s="30"/>
      <c r="F745" s="32"/>
      <c r="G745" s="32"/>
      <c r="H745" s="42"/>
      <c r="I745" s="34"/>
      <c r="J745" s="35"/>
      <c r="K745" s="35"/>
      <c r="L745" s="34"/>
      <c r="M745" s="35"/>
      <c r="N745" s="36"/>
      <c r="O745" s="322"/>
      <c r="P745" s="38"/>
      <c r="Q745" s="38"/>
      <c r="R745" s="279"/>
      <c r="S745" s="40"/>
      <c r="T745" s="22"/>
      <c r="U745" s="41"/>
      <c r="V745" s="4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>
      <c r="B746" s="22"/>
      <c r="C746" s="30"/>
      <c r="D746" s="30"/>
      <c r="E746" s="30"/>
      <c r="F746" s="32"/>
      <c r="G746" s="32"/>
      <c r="H746" s="42"/>
      <c r="I746" s="34"/>
      <c r="J746" s="35"/>
      <c r="K746" s="35"/>
      <c r="L746" s="34"/>
      <c r="M746" s="35"/>
      <c r="N746" s="36"/>
      <c r="O746" s="322"/>
      <c r="P746" s="38"/>
      <c r="Q746" s="38"/>
      <c r="R746" s="279"/>
      <c r="S746" s="40"/>
      <c r="T746" s="22"/>
      <c r="U746" s="41"/>
      <c r="V746" s="4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>
      <c r="B747" s="22"/>
      <c r="C747" s="30"/>
      <c r="D747" s="30"/>
      <c r="E747" s="30"/>
      <c r="F747" s="32"/>
      <c r="G747" s="32"/>
      <c r="H747" s="42"/>
      <c r="I747" s="34"/>
      <c r="J747" s="35"/>
      <c r="K747" s="35"/>
      <c r="L747" s="34"/>
      <c r="M747" s="35"/>
      <c r="N747" s="36"/>
      <c r="O747" s="322"/>
      <c r="P747" s="38"/>
      <c r="Q747" s="38"/>
      <c r="R747" s="279"/>
      <c r="S747" s="40"/>
      <c r="T747" s="22"/>
      <c r="U747" s="41"/>
      <c r="V747" s="4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>
      <c r="B748" s="22"/>
      <c r="C748" s="30"/>
      <c r="D748" s="30"/>
      <c r="E748" s="30"/>
      <c r="F748" s="32"/>
      <c r="G748" s="32"/>
      <c r="H748" s="42"/>
      <c r="I748" s="34"/>
      <c r="J748" s="35"/>
      <c r="K748" s="35"/>
      <c r="L748" s="34"/>
      <c r="M748" s="35"/>
      <c r="N748" s="36"/>
      <c r="O748" s="322"/>
      <c r="P748" s="38"/>
      <c r="Q748" s="38"/>
      <c r="R748" s="279"/>
      <c r="S748" s="40"/>
      <c r="T748" s="22"/>
      <c r="U748" s="41"/>
      <c r="V748" s="4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>
      <c r="B749" s="22"/>
      <c r="C749" s="30"/>
      <c r="D749" s="30"/>
      <c r="E749" s="30"/>
      <c r="F749" s="32"/>
      <c r="G749" s="32"/>
      <c r="H749" s="42"/>
      <c r="I749" s="34"/>
      <c r="J749" s="35"/>
      <c r="K749" s="35"/>
      <c r="L749" s="34"/>
      <c r="M749" s="35"/>
      <c r="N749" s="36"/>
      <c r="O749" s="322"/>
      <c r="P749" s="38"/>
      <c r="Q749" s="38"/>
      <c r="R749" s="279"/>
      <c r="S749" s="40"/>
      <c r="T749" s="22"/>
      <c r="U749" s="41"/>
      <c r="V749" s="4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>
      <c r="B750" s="22"/>
      <c r="C750" s="30"/>
      <c r="D750" s="30"/>
      <c r="E750" s="30"/>
      <c r="F750" s="32"/>
      <c r="G750" s="32"/>
      <c r="H750" s="42"/>
      <c r="I750" s="34"/>
      <c r="J750" s="35"/>
      <c r="K750" s="35"/>
      <c r="L750" s="34"/>
      <c r="M750" s="35"/>
      <c r="N750" s="36"/>
      <c r="O750" s="322"/>
      <c r="P750" s="38"/>
      <c r="Q750" s="38"/>
      <c r="R750" s="279"/>
      <c r="S750" s="40"/>
      <c r="T750" s="22"/>
      <c r="U750" s="41"/>
      <c r="V750" s="4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>
      <c r="B751" s="22"/>
      <c r="C751" s="30"/>
      <c r="D751" s="30"/>
      <c r="E751" s="30"/>
      <c r="F751" s="32"/>
      <c r="G751" s="32"/>
      <c r="H751" s="42"/>
      <c r="I751" s="34"/>
      <c r="J751" s="35"/>
      <c r="K751" s="35"/>
      <c r="L751" s="34"/>
      <c r="M751" s="35"/>
      <c r="N751" s="36"/>
      <c r="O751" s="322"/>
      <c r="P751" s="38"/>
      <c r="Q751" s="38"/>
      <c r="R751" s="279"/>
      <c r="S751" s="40"/>
      <c r="T751" s="22"/>
      <c r="U751" s="41"/>
      <c r="V751" s="4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>
      <c r="B752" s="22"/>
      <c r="C752" s="30"/>
      <c r="D752" s="30"/>
      <c r="E752" s="30"/>
      <c r="F752" s="32"/>
      <c r="G752" s="32"/>
      <c r="H752" s="42"/>
      <c r="I752" s="34"/>
      <c r="J752" s="35"/>
      <c r="K752" s="35"/>
      <c r="L752" s="34"/>
      <c r="M752" s="35"/>
      <c r="N752" s="36"/>
      <c r="O752" s="322"/>
      <c r="P752" s="38"/>
      <c r="Q752" s="38"/>
      <c r="R752" s="279"/>
      <c r="S752" s="40"/>
      <c r="T752" s="22"/>
      <c r="U752" s="41"/>
      <c r="V752" s="4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>
      <c r="B753" s="22"/>
      <c r="C753" s="30"/>
      <c r="D753" s="30"/>
      <c r="E753" s="30"/>
      <c r="F753" s="32"/>
      <c r="G753" s="32"/>
      <c r="H753" s="42"/>
      <c r="I753" s="34"/>
      <c r="J753" s="35"/>
      <c r="K753" s="35"/>
      <c r="L753" s="34"/>
      <c r="M753" s="35"/>
      <c r="N753" s="36"/>
      <c r="O753" s="322"/>
      <c r="P753" s="38"/>
      <c r="Q753" s="38"/>
      <c r="R753" s="279"/>
      <c r="S753" s="40"/>
      <c r="T753" s="22"/>
      <c r="U753" s="41"/>
      <c r="V753" s="4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>
      <c r="B754" s="22"/>
      <c r="C754" s="30"/>
      <c r="D754" s="30"/>
      <c r="E754" s="30"/>
      <c r="F754" s="32"/>
      <c r="G754" s="32"/>
      <c r="H754" s="42"/>
      <c r="I754" s="34"/>
      <c r="J754" s="35"/>
      <c r="K754" s="35"/>
      <c r="L754" s="34"/>
      <c r="M754" s="35"/>
      <c r="N754" s="36"/>
      <c r="O754" s="322"/>
      <c r="P754" s="38"/>
      <c r="Q754" s="38"/>
      <c r="R754" s="279"/>
      <c r="S754" s="40"/>
      <c r="T754" s="22"/>
      <c r="U754" s="41"/>
      <c r="V754" s="4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>
      <c r="B755" s="22"/>
      <c r="C755" s="30"/>
      <c r="D755" s="30"/>
      <c r="E755" s="30"/>
      <c r="F755" s="32"/>
      <c r="G755" s="32"/>
      <c r="H755" s="42"/>
      <c r="I755" s="34"/>
      <c r="J755" s="35"/>
      <c r="K755" s="35"/>
      <c r="L755" s="34"/>
      <c r="M755" s="35"/>
      <c r="N755" s="36"/>
      <c r="O755" s="322"/>
      <c r="P755" s="38"/>
      <c r="Q755" s="38"/>
      <c r="R755" s="279"/>
      <c r="S755" s="40"/>
      <c r="T755" s="22"/>
      <c r="U755" s="41"/>
      <c r="V755" s="4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>
      <c r="B756" s="22"/>
      <c r="C756" s="30"/>
      <c r="D756" s="30"/>
      <c r="E756" s="30"/>
      <c r="F756" s="32"/>
      <c r="G756" s="32"/>
      <c r="H756" s="42"/>
      <c r="I756" s="34"/>
      <c r="J756" s="35"/>
      <c r="K756" s="35"/>
      <c r="L756" s="34"/>
      <c r="M756" s="35"/>
      <c r="N756" s="36"/>
      <c r="O756" s="322"/>
      <c r="P756" s="38"/>
      <c r="Q756" s="38"/>
      <c r="R756" s="279"/>
      <c r="S756" s="40"/>
      <c r="T756" s="22"/>
      <c r="U756" s="41"/>
      <c r="V756" s="4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>
      <c r="B757" s="22"/>
      <c r="C757" s="30"/>
      <c r="D757" s="30"/>
      <c r="E757" s="30"/>
      <c r="F757" s="32"/>
      <c r="G757" s="32"/>
      <c r="H757" s="42"/>
      <c r="I757" s="34"/>
      <c r="J757" s="35"/>
      <c r="K757" s="35"/>
      <c r="L757" s="34"/>
      <c r="M757" s="35"/>
      <c r="N757" s="36"/>
      <c r="O757" s="322"/>
      <c r="P757" s="38"/>
      <c r="Q757" s="38"/>
      <c r="R757" s="279"/>
      <c r="S757" s="40"/>
      <c r="T757" s="22"/>
      <c r="U757" s="41"/>
      <c r="V757" s="4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>
      <c r="B758" s="22"/>
      <c r="C758" s="30"/>
      <c r="D758" s="30"/>
      <c r="E758" s="30"/>
      <c r="F758" s="32"/>
      <c r="G758" s="32"/>
      <c r="H758" s="42"/>
      <c r="I758" s="34"/>
      <c r="J758" s="35"/>
      <c r="K758" s="35"/>
      <c r="L758" s="34"/>
      <c r="M758" s="35"/>
      <c r="N758" s="36"/>
      <c r="O758" s="322"/>
      <c r="P758" s="38"/>
      <c r="Q758" s="38"/>
      <c r="R758" s="279"/>
      <c r="S758" s="40"/>
      <c r="T758" s="22"/>
      <c r="U758" s="41"/>
      <c r="V758" s="4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>
      <c r="B759" s="22"/>
      <c r="C759" s="30"/>
      <c r="D759" s="30"/>
      <c r="E759" s="30"/>
      <c r="F759" s="32"/>
      <c r="G759" s="32"/>
      <c r="H759" s="42"/>
      <c r="I759" s="34"/>
      <c r="J759" s="35"/>
      <c r="K759" s="35"/>
      <c r="L759" s="34"/>
      <c r="M759" s="35"/>
      <c r="N759" s="36"/>
      <c r="O759" s="322"/>
      <c r="P759" s="38"/>
      <c r="Q759" s="38"/>
      <c r="R759" s="279"/>
      <c r="S759" s="40"/>
      <c r="T759" s="22"/>
      <c r="U759" s="41"/>
      <c r="V759" s="4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>
      <c r="B760" s="22"/>
      <c r="C760" s="30"/>
      <c r="D760" s="30"/>
      <c r="E760" s="30"/>
      <c r="F760" s="32"/>
      <c r="G760" s="32"/>
      <c r="H760" s="42"/>
      <c r="I760" s="34"/>
      <c r="J760" s="35"/>
      <c r="K760" s="35"/>
      <c r="L760" s="34"/>
      <c r="M760" s="35"/>
      <c r="N760" s="36"/>
      <c r="O760" s="322"/>
      <c r="P760" s="38"/>
      <c r="Q760" s="38"/>
      <c r="R760" s="279"/>
      <c r="S760" s="40"/>
      <c r="T760" s="22"/>
      <c r="U760" s="41"/>
      <c r="V760" s="4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>
      <c r="B761" s="22"/>
      <c r="C761" s="30"/>
      <c r="D761" s="30"/>
      <c r="E761" s="30"/>
      <c r="F761" s="32"/>
      <c r="G761" s="32"/>
      <c r="H761" s="42"/>
      <c r="I761" s="34"/>
      <c r="J761" s="35"/>
      <c r="K761" s="35"/>
      <c r="L761" s="34"/>
      <c r="M761" s="35"/>
      <c r="N761" s="36"/>
      <c r="O761" s="322"/>
      <c r="P761" s="38"/>
      <c r="Q761" s="38"/>
      <c r="R761" s="279"/>
      <c r="S761" s="40"/>
      <c r="T761" s="22"/>
      <c r="U761" s="41"/>
      <c r="V761" s="4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>
      <c r="B762" s="22"/>
      <c r="C762" s="30"/>
      <c r="D762" s="30"/>
      <c r="E762" s="30"/>
      <c r="F762" s="32"/>
      <c r="G762" s="32"/>
      <c r="H762" s="42"/>
      <c r="I762" s="34"/>
      <c r="J762" s="35"/>
      <c r="K762" s="35"/>
      <c r="L762" s="34"/>
      <c r="M762" s="35"/>
      <c r="N762" s="36"/>
      <c r="O762" s="322"/>
      <c r="P762" s="38"/>
      <c r="Q762" s="38"/>
      <c r="R762" s="279"/>
      <c r="S762" s="40"/>
      <c r="T762" s="22"/>
      <c r="U762" s="41"/>
      <c r="V762" s="4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>
      <c r="B763" s="22"/>
      <c r="C763" s="30"/>
      <c r="D763" s="30"/>
      <c r="E763" s="30"/>
      <c r="F763" s="32"/>
      <c r="G763" s="32"/>
      <c r="H763" s="42"/>
      <c r="I763" s="34"/>
      <c r="J763" s="35"/>
      <c r="K763" s="35"/>
      <c r="L763" s="34"/>
      <c r="M763" s="35"/>
      <c r="N763" s="36"/>
      <c r="O763" s="322"/>
      <c r="P763" s="38"/>
      <c r="Q763" s="38"/>
      <c r="R763" s="279"/>
      <c r="S763" s="40"/>
      <c r="T763" s="22"/>
      <c r="U763" s="41"/>
      <c r="V763" s="4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>
      <c r="B764" s="22"/>
      <c r="C764" s="30"/>
      <c r="D764" s="30"/>
      <c r="E764" s="30"/>
      <c r="F764" s="32"/>
      <c r="G764" s="32"/>
      <c r="H764" s="42"/>
      <c r="I764" s="34"/>
      <c r="J764" s="35"/>
      <c r="K764" s="35"/>
      <c r="L764" s="34"/>
      <c r="M764" s="35"/>
      <c r="N764" s="36"/>
      <c r="O764" s="322"/>
      <c r="P764" s="38"/>
      <c r="Q764" s="38"/>
      <c r="R764" s="279"/>
      <c r="S764" s="40"/>
      <c r="T764" s="22"/>
      <c r="U764" s="41"/>
      <c r="V764" s="4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>
      <c r="B765" s="22"/>
      <c r="C765" s="30"/>
      <c r="D765" s="30"/>
      <c r="E765" s="30"/>
      <c r="F765" s="32"/>
      <c r="G765" s="32"/>
      <c r="H765" s="42"/>
      <c r="I765" s="34"/>
      <c r="J765" s="35"/>
      <c r="K765" s="35"/>
      <c r="L765" s="34"/>
      <c r="M765" s="35"/>
      <c r="N765" s="36"/>
      <c r="O765" s="322"/>
      <c r="P765" s="38"/>
      <c r="Q765" s="38"/>
      <c r="R765" s="279"/>
      <c r="S765" s="40"/>
      <c r="T765" s="22"/>
      <c r="U765" s="41"/>
      <c r="V765" s="4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>
      <c r="B766" s="22"/>
      <c r="C766" s="30"/>
      <c r="D766" s="30"/>
      <c r="E766" s="30"/>
      <c r="F766" s="32"/>
      <c r="G766" s="32"/>
      <c r="H766" s="42"/>
      <c r="I766" s="34"/>
      <c r="J766" s="35"/>
      <c r="K766" s="35"/>
      <c r="L766" s="34"/>
      <c r="M766" s="35"/>
      <c r="N766" s="36"/>
      <c r="O766" s="322"/>
      <c r="P766" s="38"/>
      <c r="Q766" s="38"/>
      <c r="R766" s="279"/>
      <c r="S766" s="40"/>
      <c r="T766" s="22"/>
      <c r="U766" s="41"/>
      <c r="V766" s="4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>
      <c r="B767" s="22"/>
      <c r="C767" s="30"/>
      <c r="D767" s="30"/>
      <c r="E767" s="30"/>
      <c r="F767" s="32"/>
      <c r="G767" s="32"/>
      <c r="H767" s="42"/>
      <c r="I767" s="34"/>
      <c r="J767" s="35"/>
      <c r="K767" s="35"/>
      <c r="L767" s="34"/>
      <c r="M767" s="35"/>
      <c r="N767" s="36"/>
      <c r="O767" s="322"/>
      <c r="P767" s="38"/>
      <c r="Q767" s="38"/>
      <c r="R767" s="279"/>
      <c r="S767" s="40"/>
      <c r="T767" s="22"/>
      <c r="U767" s="41"/>
      <c r="V767" s="4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>
      <c r="B768" s="22"/>
      <c r="C768" s="30"/>
      <c r="D768" s="30"/>
      <c r="E768" s="30"/>
      <c r="F768" s="32"/>
      <c r="G768" s="32"/>
      <c r="H768" s="42"/>
      <c r="I768" s="34"/>
      <c r="J768" s="35"/>
      <c r="K768" s="35"/>
      <c r="L768" s="34"/>
      <c r="M768" s="35"/>
      <c r="N768" s="36"/>
      <c r="O768" s="322"/>
      <c r="P768" s="38"/>
      <c r="Q768" s="38"/>
      <c r="R768" s="279"/>
      <c r="S768" s="40"/>
      <c r="T768" s="22"/>
      <c r="U768" s="41"/>
      <c r="V768" s="4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>
      <c r="B769" s="22"/>
      <c r="C769" s="30"/>
      <c r="D769" s="30"/>
      <c r="E769" s="30"/>
      <c r="F769" s="32"/>
      <c r="G769" s="32"/>
      <c r="H769" s="42"/>
      <c r="I769" s="34"/>
      <c r="J769" s="35"/>
      <c r="K769" s="35"/>
      <c r="L769" s="34"/>
      <c r="M769" s="35"/>
      <c r="N769" s="36"/>
      <c r="O769" s="322"/>
      <c r="P769" s="38"/>
      <c r="Q769" s="38"/>
      <c r="R769" s="279"/>
      <c r="S769" s="40"/>
      <c r="T769" s="22"/>
      <c r="U769" s="41"/>
      <c r="V769" s="4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>
      <c r="B770" s="22"/>
      <c r="C770" s="30"/>
      <c r="D770" s="30"/>
      <c r="E770" s="30"/>
      <c r="F770" s="32"/>
      <c r="G770" s="32"/>
      <c r="H770" s="42"/>
      <c r="I770" s="34"/>
      <c r="J770" s="35"/>
      <c r="K770" s="35"/>
      <c r="L770" s="34"/>
      <c r="M770" s="35"/>
      <c r="N770" s="36"/>
      <c r="O770" s="322"/>
      <c r="P770" s="38"/>
      <c r="Q770" s="38"/>
      <c r="R770" s="279"/>
      <c r="S770" s="40"/>
      <c r="T770" s="22"/>
      <c r="U770" s="41"/>
      <c r="V770" s="4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>
      <c r="B771" s="22"/>
      <c r="C771" s="30"/>
      <c r="D771" s="30"/>
      <c r="E771" s="30"/>
      <c r="F771" s="32"/>
      <c r="G771" s="32"/>
      <c r="H771" s="42"/>
      <c r="I771" s="34"/>
      <c r="J771" s="35"/>
      <c r="K771" s="35"/>
      <c r="L771" s="34"/>
      <c r="M771" s="35"/>
      <c r="N771" s="36"/>
      <c r="O771" s="322"/>
      <c r="P771" s="38"/>
      <c r="Q771" s="38"/>
      <c r="R771" s="279"/>
      <c r="S771" s="40"/>
      <c r="T771" s="22"/>
      <c r="U771" s="41"/>
      <c r="V771" s="4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>
      <c r="B772" s="22"/>
      <c r="C772" s="30"/>
      <c r="D772" s="30"/>
      <c r="E772" s="30"/>
      <c r="F772" s="32"/>
      <c r="G772" s="32"/>
      <c r="H772" s="42"/>
      <c r="I772" s="34"/>
      <c r="J772" s="35"/>
      <c r="K772" s="35"/>
      <c r="L772" s="34"/>
      <c r="M772" s="35"/>
      <c r="N772" s="36"/>
      <c r="O772" s="322"/>
      <c r="P772" s="38"/>
      <c r="Q772" s="38"/>
      <c r="R772" s="279"/>
      <c r="S772" s="40"/>
      <c r="T772" s="22"/>
      <c r="U772" s="41"/>
      <c r="V772" s="4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>
      <c r="B773" s="22"/>
      <c r="C773" s="30"/>
      <c r="D773" s="30"/>
      <c r="E773" s="30"/>
      <c r="F773" s="32"/>
      <c r="G773" s="32"/>
      <c r="H773" s="42"/>
      <c r="I773" s="34"/>
      <c r="J773" s="35"/>
      <c r="K773" s="35"/>
      <c r="L773" s="34"/>
      <c r="M773" s="35"/>
      <c r="N773" s="36"/>
      <c r="O773" s="322"/>
      <c r="P773" s="38"/>
      <c r="Q773" s="38"/>
      <c r="R773" s="279"/>
      <c r="S773" s="40"/>
      <c r="T773" s="22"/>
      <c r="U773" s="41"/>
      <c r="V773" s="4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>
      <c r="B774" s="22"/>
      <c r="C774" s="30"/>
      <c r="D774" s="30"/>
      <c r="E774" s="30"/>
      <c r="F774" s="32"/>
      <c r="G774" s="32"/>
      <c r="H774" s="42"/>
      <c r="I774" s="34"/>
      <c r="J774" s="35"/>
      <c r="K774" s="35"/>
      <c r="L774" s="34"/>
      <c r="M774" s="35"/>
      <c r="N774" s="36"/>
      <c r="O774" s="322"/>
      <c r="P774" s="38"/>
      <c r="Q774" s="38"/>
      <c r="R774" s="279"/>
      <c r="S774" s="40"/>
      <c r="T774" s="22"/>
      <c r="U774" s="41"/>
      <c r="V774" s="4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>
      <c r="B775" s="22"/>
      <c r="C775" s="30"/>
      <c r="D775" s="30"/>
      <c r="E775" s="30"/>
      <c r="F775" s="32"/>
      <c r="G775" s="32"/>
      <c r="H775" s="42"/>
      <c r="I775" s="34"/>
      <c r="J775" s="35"/>
      <c r="K775" s="35"/>
      <c r="L775" s="34"/>
      <c r="M775" s="35"/>
      <c r="N775" s="36"/>
      <c r="O775" s="322"/>
      <c r="P775" s="38"/>
      <c r="Q775" s="38"/>
      <c r="R775" s="279"/>
      <c r="S775" s="40"/>
      <c r="T775" s="22"/>
      <c r="U775" s="41"/>
      <c r="V775" s="4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>
      <c r="B776" s="22"/>
      <c r="C776" s="30"/>
      <c r="D776" s="30"/>
      <c r="E776" s="30"/>
      <c r="F776" s="32"/>
      <c r="G776" s="32"/>
      <c r="H776" s="42"/>
      <c r="I776" s="34"/>
      <c r="J776" s="35"/>
      <c r="K776" s="35"/>
      <c r="L776" s="34"/>
      <c r="M776" s="35"/>
      <c r="N776" s="36"/>
      <c r="O776" s="322"/>
      <c r="P776" s="38"/>
      <c r="Q776" s="38"/>
      <c r="R776" s="279"/>
      <c r="S776" s="40"/>
      <c r="T776" s="22"/>
      <c r="U776" s="41"/>
      <c r="V776" s="4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>
      <c r="B777" s="22"/>
      <c r="C777" s="30"/>
      <c r="D777" s="30"/>
      <c r="E777" s="30"/>
      <c r="F777" s="32"/>
      <c r="G777" s="32"/>
      <c r="H777" s="42"/>
      <c r="I777" s="34"/>
      <c r="J777" s="35"/>
      <c r="K777" s="35"/>
      <c r="L777" s="34"/>
      <c r="M777" s="35"/>
      <c r="N777" s="36"/>
      <c r="O777" s="322"/>
      <c r="P777" s="38"/>
      <c r="Q777" s="38"/>
      <c r="R777" s="279"/>
      <c r="S777" s="40"/>
      <c r="T777" s="22"/>
      <c r="U777" s="41"/>
      <c r="V777" s="4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>
      <c r="B778" s="22"/>
      <c r="C778" s="30"/>
      <c r="D778" s="30"/>
      <c r="E778" s="30"/>
      <c r="F778" s="32"/>
      <c r="G778" s="32"/>
      <c r="H778" s="42"/>
      <c r="I778" s="34"/>
      <c r="J778" s="35"/>
      <c r="K778" s="35"/>
      <c r="L778" s="34"/>
      <c r="M778" s="35"/>
      <c r="N778" s="36"/>
      <c r="O778" s="322"/>
      <c r="P778" s="38"/>
      <c r="Q778" s="38"/>
      <c r="R778" s="279"/>
      <c r="S778" s="40"/>
      <c r="T778" s="22"/>
      <c r="U778" s="41"/>
      <c r="V778" s="4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>
      <c r="B779" s="22"/>
      <c r="C779" s="30"/>
      <c r="D779" s="30"/>
      <c r="E779" s="30"/>
      <c r="F779" s="32"/>
      <c r="G779" s="32"/>
      <c r="H779" s="42"/>
      <c r="I779" s="34"/>
      <c r="J779" s="35"/>
      <c r="K779" s="35"/>
      <c r="L779" s="34"/>
      <c r="M779" s="35"/>
      <c r="N779" s="36"/>
      <c r="O779" s="322"/>
      <c r="P779" s="38"/>
      <c r="Q779" s="38"/>
      <c r="R779" s="279"/>
      <c r="S779" s="40"/>
      <c r="T779" s="22"/>
      <c r="U779" s="41"/>
      <c r="V779" s="4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>
      <c r="B780" s="22"/>
      <c r="C780" s="30"/>
      <c r="D780" s="30"/>
      <c r="E780" s="30"/>
      <c r="F780" s="32"/>
      <c r="G780" s="32"/>
      <c r="H780" s="42"/>
      <c r="I780" s="34"/>
      <c r="J780" s="35"/>
      <c r="K780" s="35"/>
      <c r="L780" s="34"/>
      <c r="M780" s="35"/>
      <c r="N780" s="36"/>
      <c r="O780" s="322"/>
      <c r="P780" s="38"/>
      <c r="Q780" s="38"/>
      <c r="R780" s="279"/>
      <c r="S780" s="40"/>
      <c r="T780" s="22"/>
      <c r="U780" s="41"/>
      <c r="V780" s="4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>
      <c r="B781" s="22"/>
      <c r="C781" s="30"/>
      <c r="D781" s="30"/>
      <c r="E781" s="30"/>
      <c r="F781" s="32"/>
      <c r="G781" s="32"/>
      <c r="H781" s="42"/>
      <c r="I781" s="34"/>
      <c r="J781" s="35"/>
      <c r="K781" s="35"/>
      <c r="L781" s="34"/>
      <c r="M781" s="35"/>
      <c r="N781" s="36"/>
      <c r="O781" s="322"/>
      <c r="P781" s="38"/>
      <c r="Q781" s="38"/>
      <c r="R781" s="279"/>
      <c r="S781" s="40"/>
      <c r="T781" s="22"/>
      <c r="U781" s="41"/>
      <c r="V781" s="4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>
      <c r="B782" s="22"/>
      <c r="C782" s="30"/>
      <c r="D782" s="30"/>
      <c r="E782" s="30"/>
      <c r="F782" s="32"/>
      <c r="G782" s="32"/>
      <c r="H782" s="42"/>
      <c r="I782" s="34"/>
      <c r="J782" s="35"/>
      <c r="K782" s="35"/>
      <c r="L782" s="34"/>
      <c r="M782" s="35"/>
      <c r="N782" s="36"/>
      <c r="O782" s="322"/>
      <c r="P782" s="38"/>
      <c r="Q782" s="38"/>
      <c r="R782" s="279"/>
      <c r="S782" s="40"/>
      <c r="T782" s="22"/>
      <c r="U782" s="41"/>
      <c r="V782" s="4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>
      <c r="B783" s="22"/>
      <c r="C783" s="30"/>
      <c r="D783" s="30"/>
      <c r="E783" s="30"/>
      <c r="F783" s="32"/>
      <c r="G783" s="32"/>
      <c r="H783" s="42"/>
      <c r="I783" s="34"/>
      <c r="J783" s="35"/>
      <c r="K783" s="35"/>
      <c r="L783" s="34"/>
      <c r="M783" s="35"/>
      <c r="N783" s="36"/>
      <c r="O783" s="322"/>
      <c r="P783" s="38"/>
      <c r="Q783" s="38"/>
      <c r="R783" s="279"/>
      <c r="S783" s="40"/>
      <c r="T783" s="22"/>
      <c r="U783" s="41"/>
      <c r="V783" s="4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>
      <c r="B784" s="22"/>
      <c r="C784" s="30"/>
      <c r="D784" s="30"/>
      <c r="E784" s="30"/>
      <c r="F784" s="32"/>
      <c r="G784" s="32"/>
      <c r="H784" s="42"/>
      <c r="I784" s="34"/>
      <c r="J784" s="35"/>
      <c r="K784" s="35"/>
      <c r="L784" s="34"/>
      <c r="M784" s="35"/>
      <c r="N784" s="36"/>
      <c r="O784" s="322"/>
      <c r="P784" s="38"/>
      <c r="Q784" s="38"/>
      <c r="R784" s="279"/>
      <c r="S784" s="40"/>
      <c r="T784" s="22"/>
      <c r="U784" s="41"/>
      <c r="V784" s="4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>
      <c r="B785" s="22"/>
      <c r="C785" s="30"/>
      <c r="D785" s="30"/>
      <c r="E785" s="30"/>
      <c r="F785" s="32"/>
      <c r="G785" s="32"/>
      <c r="H785" s="42"/>
      <c r="I785" s="34"/>
      <c r="J785" s="35"/>
      <c r="K785" s="35"/>
      <c r="L785" s="34"/>
      <c r="M785" s="35"/>
      <c r="N785" s="36"/>
      <c r="O785" s="322"/>
      <c r="P785" s="38"/>
      <c r="Q785" s="38"/>
      <c r="R785" s="279"/>
      <c r="S785" s="40"/>
      <c r="T785" s="22"/>
      <c r="U785" s="41"/>
      <c r="V785" s="4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>
      <c r="B786" s="22"/>
      <c r="C786" s="30"/>
      <c r="D786" s="30"/>
      <c r="E786" s="30"/>
      <c r="F786" s="32"/>
      <c r="G786" s="32"/>
      <c r="H786" s="42"/>
      <c r="I786" s="34"/>
      <c r="J786" s="35"/>
      <c r="K786" s="35"/>
      <c r="L786" s="34"/>
      <c r="M786" s="35"/>
      <c r="N786" s="36"/>
      <c r="O786" s="322"/>
      <c r="P786" s="38"/>
      <c r="Q786" s="38"/>
      <c r="R786" s="279"/>
      <c r="S786" s="40"/>
      <c r="T786" s="22"/>
      <c r="U786" s="41"/>
      <c r="V786" s="4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>
      <c r="B787" s="22"/>
      <c r="C787" s="30"/>
      <c r="D787" s="30"/>
      <c r="E787" s="30"/>
      <c r="F787" s="32"/>
      <c r="G787" s="32"/>
      <c r="H787" s="42"/>
      <c r="I787" s="34"/>
      <c r="J787" s="35"/>
      <c r="K787" s="35"/>
      <c r="L787" s="34"/>
      <c r="M787" s="35"/>
      <c r="N787" s="36"/>
      <c r="O787" s="322"/>
      <c r="P787" s="38"/>
      <c r="Q787" s="38"/>
      <c r="R787" s="279"/>
      <c r="S787" s="40"/>
      <c r="T787" s="22"/>
      <c r="U787" s="41"/>
      <c r="V787" s="4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>
      <c r="B788" s="22"/>
      <c r="C788" s="30"/>
      <c r="D788" s="30"/>
      <c r="E788" s="30"/>
      <c r="F788" s="32"/>
      <c r="G788" s="32"/>
      <c r="H788" s="42"/>
      <c r="I788" s="34"/>
      <c r="J788" s="35"/>
      <c r="K788" s="35"/>
      <c r="L788" s="34"/>
      <c r="M788" s="35"/>
      <c r="N788" s="36"/>
      <c r="O788" s="322"/>
      <c r="P788" s="38"/>
      <c r="Q788" s="38"/>
      <c r="R788" s="279"/>
      <c r="S788" s="40"/>
      <c r="T788" s="22"/>
      <c r="U788" s="41"/>
      <c r="V788" s="4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>
      <c r="B789" s="22"/>
      <c r="C789" s="30"/>
      <c r="D789" s="30"/>
      <c r="E789" s="30"/>
      <c r="F789" s="32"/>
      <c r="G789" s="32"/>
      <c r="H789" s="42"/>
      <c r="I789" s="34"/>
      <c r="J789" s="35"/>
      <c r="K789" s="35"/>
      <c r="L789" s="34"/>
      <c r="M789" s="35"/>
      <c r="N789" s="36"/>
      <c r="O789" s="322"/>
      <c r="P789" s="38"/>
      <c r="Q789" s="38"/>
      <c r="R789" s="279"/>
      <c r="S789" s="40"/>
      <c r="T789" s="22"/>
      <c r="U789" s="41"/>
      <c r="V789" s="4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>
      <c r="B790" s="22"/>
      <c r="C790" s="30"/>
      <c r="D790" s="30"/>
      <c r="E790" s="30"/>
      <c r="F790" s="32"/>
      <c r="G790" s="32"/>
      <c r="H790" s="42"/>
      <c r="I790" s="34"/>
      <c r="J790" s="35"/>
      <c r="K790" s="35"/>
      <c r="L790" s="34"/>
      <c r="M790" s="35"/>
      <c r="N790" s="36"/>
      <c r="O790" s="322"/>
      <c r="P790" s="38"/>
      <c r="Q790" s="38"/>
      <c r="R790" s="279"/>
      <c r="S790" s="40"/>
      <c r="T790" s="22"/>
      <c r="U790" s="41"/>
      <c r="V790" s="4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>
      <c r="B791" s="22"/>
      <c r="C791" s="30"/>
      <c r="D791" s="30"/>
      <c r="E791" s="30"/>
      <c r="F791" s="32"/>
      <c r="G791" s="32"/>
      <c r="H791" s="42"/>
      <c r="I791" s="34"/>
      <c r="J791" s="35"/>
      <c r="K791" s="35"/>
      <c r="L791" s="34"/>
      <c r="M791" s="35"/>
      <c r="N791" s="36"/>
      <c r="O791" s="322"/>
      <c r="P791" s="38"/>
      <c r="Q791" s="38"/>
      <c r="R791" s="279"/>
      <c r="S791" s="40"/>
      <c r="T791" s="22"/>
      <c r="U791" s="41"/>
      <c r="V791" s="4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>
      <c r="B792" s="22"/>
      <c r="C792" s="30"/>
      <c r="D792" s="30"/>
      <c r="E792" s="30"/>
      <c r="F792" s="32"/>
      <c r="G792" s="32"/>
      <c r="H792" s="42"/>
      <c r="I792" s="34"/>
      <c r="J792" s="35"/>
      <c r="K792" s="35"/>
      <c r="L792" s="34"/>
      <c r="M792" s="35"/>
      <c r="N792" s="36"/>
      <c r="O792" s="322"/>
      <c r="P792" s="38"/>
      <c r="Q792" s="38"/>
      <c r="R792" s="279"/>
      <c r="S792" s="40"/>
      <c r="T792" s="22"/>
      <c r="U792" s="41"/>
      <c r="V792" s="4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>
      <c r="B793" s="22"/>
      <c r="C793" s="30"/>
      <c r="D793" s="30"/>
      <c r="E793" s="30"/>
      <c r="F793" s="32"/>
      <c r="G793" s="32"/>
      <c r="H793" s="42"/>
      <c r="I793" s="34"/>
      <c r="J793" s="35"/>
      <c r="K793" s="35"/>
      <c r="L793" s="34"/>
      <c r="M793" s="35"/>
      <c r="N793" s="36"/>
      <c r="O793" s="322"/>
      <c r="P793" s="38"/>
      <c r="Q793" s="38"/>
      <c r="R793" s="279"/>
      <c r="S793" s="40"/>
      <c r="T793" s="22"/>
      <c r="U793" s="41"/>
      <c r="V793" s="4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>
      <c r="B794" s="22"/>
      <c r="C794" s="30"/>
      <c r="D794" s="30"/>
      <c r="E794" s="30"/>
      <c r="F794" s="32"/>
      <c r="G794" s="32"/>
      <c r="H794" s="42"/>
      <c r="I794" s="34"/>
      <c r="J794" s="35"/>
      <c r="K794" s="35"/>
      <c r="L794" s="34"/>
      <c r="M794" s="35"/>
      <c r="N794" s="36"/>
      <c r="O794" s="322"/>
      <c r="P794" s="38"/>
      <c r="Q794" s="38"/>
      <c r="R794" s="279"/>
      <c r="S794" s="40"/>
      <c r="T794" s="22"/>
      <c r="U794" s="41"/>
      <c r="V794" s="4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>
      <c r="B795" s="22"/>
      <c r="C795" s="30"/>
      <c r="D795" s="30"/>
      <c r="E795" s="30"/>
      <c r="F795" s="32"/>
      <c r="G795" s="32"/>
      <c r="H795" s="42"/>
      <c r="I795" s="34"/>
      <c r="J795" s="35"/>
      <c r="K795" s="35"/>
      <c r="L795" s="34"/>
      <c r="M795" s="35"/>
      <c r="N795" s="36"/>
      <c r="O795" s="322"/>
      <c r="P795" s="38"/>
      <c r="Q795" s="38"/>
      <c r="R795" s="279"/>
      <c r="S795" s="40"/>
      <c r="T795" s="22"/>
      <c r="U795" s="41"/>
      <c r="V795" s="4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>
      <c r="B796" s="22"/>
      <c r="C796" s="30"/>
      <c r="D796" s="30"/>
      <c r="E796" s="30"/>
      <c r="F796" s="32"/>
      <c r="G796" s="32"/>
      <c r="H796" s="42"/>
      <c r="I796" s="34"/>
      <c r="J796" s="35"/>
      <c r="K796" s="35"/>
      <c r="L796" s="34"/>
      <c r="M796" s="35"/>
      <c r="N796" s="36"/>
      <c r="O796" s="322"/>
      <c r="P796" s="38"/>
      <c r="Q796" s="38"/>
      <c r="R796" s="279"/>
      <c r="S796" s="40"/>
      <c r="T796" s="22"/>
      <c r="U796" s="41"/>
      <c r="V796" s="4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>
      <c r="B797" s="22"/>
      <c r="C797" s="30"/>
      <c r="D797" s="30"/>
      <c r="E797" s="30"/>
      <c r="F797" s="32"/>
      <c r="G797" s="32"/>
      <c r="H797" s="42"/>
      <c r="I797" s="34"/>
      <c r="J797" s="35"/>
      <c r="K797" s="35"/>
      <c r="L797" s="34"/>
      <c r="M797" s="35"/>
      <c r="N797" s="36"/>
      <c r="O797" s="322"/>
      <c r="P797" s="38"/>
      <c r="Q797" s="38"/>
      <c r="R797" s="279"/>
      <c r="S797" s="40"/>
      <c r="T797" s="22"/>
      <c r="U797" s="41"/>
      <c r="V797" s="4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>
      <c r="B798" s="22"/>
      <c r="C798" s="30"/>
      <c r="D798" s="30"/>
      <c r="E798" s="30"/>
      <c r="F798" s="32"/>
      <c r="G798" s="32"/>
      <c r="H798" s="42"/>
      <c r="I798" s="34"/>
      <c r="J798" s="35"/>
      <c r="K798" s="35"/>
      <c r="L798" s="34"/>
      <c r="M798" s="35"/>
      <c r="N798" s="36"/>
      <c r="O798" s="322"/>
      <c r="P798" s="38"/>
      <c r="Q798" s="38"/>
      <c r="R798" s="279"/>
      <c r="S798" s="40"/>
      <c r="T798" s="22"/>
      <c r="U798" s="41"/>
      <c r="V798" s="4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>
      <c r="B799" s="22"/>
      <c r="C799" s="30"/>
      <c r="D799" s="30"/>
      <c r="E799" s="30"/>
      <c r="F799" s="32"/>
      <c r="G799" s="32"/>
      <c r="H799" s="42"/>
      <c r="I799" s="34"/>
      <c r="J799" s="35"/>
      <c r="K799" s="35"/>
      <c r="L799" s="34"/>
      <c r="M799" s="35"/>
      <c r="N799" s="36"/>
      <c r="O799" s="322"/>
      <c r="P799" s="38"/>
      <c r="Q799" s="38"/>
      <c r="R799" s="279"/>
      <c r="S799" s="40"/>
      <c r="T799" s="22"/>
      <c r="U799" s="41"/>
      <c r="V799" s="4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>
      <c r="B800" s="22"/>
      <c r="C800" s="30"/>
      <c r="D800" s="30"/>
      <c r="E800" s="30"/>
      <c r="F800" s="32"/>
      <c r="G800" s="32"/>
      <c r="H800" s="42"/>
      <c r="I800" s="34"/>
      <c r="J800" s="35"/>
      <c r="K800" s="35"/>
      <c r="L800" s="34"/>
      <c r="M800" s="35"/>
      <c r="N800" s="36"/>
      <c r="O800" s="322"/>
      <c r="P800" s="38"/>
      <c r="Q800" s="38"/>
      <c r="R800" s="279"/>
      <c r="S800" s="40"/>
      <c r="T800" s="22"/>
      <c r="U800" s="41"/>
      <c r="V800" s="4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>
      <c r="B801" s="22"/>
      <c r="C801" s="30"/>
      <c r="D801" s="30"/>
      <c r="E801" s="30"/>
      <c r="F801" s="32"/>
      <c r="G801" s="32"/>
      <c r="H801" s="42"/>
      <c r="I801" s="34"/>
      <c r="J801" s="35"/>
      <c r="K801" s="35"/>
      <c r="L801" s="34"/>
      <c r="M801" s="35"/>
      <c r="N801" s="36"/>
      <c r="O801" s="322"/>
      <c r="P801" s="38"/>
      <c r="Q801" s="38"/>
      <c r="R801" s="279"/>
      <c r="S801" s="40"/>
      <c r="T801" s="22"/>
      <c r="U801" s="41"/>
      <c r="V801" s="4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>
      <c r="B802" s="22"/>
      <c r="C802" s="30"/>
      <c r="D802" s="30"/>
      <c r="E802" s="30"/>
      <c r="F802" s="32"/>
      <c r="G802" s="32"/>
      <c r="H802" s="42"/>
      <c r="I802" s="34"/>
      <c r="J802" s="35"/>
      <c r="K802" s="35"/>
      <c r="L802" s="34"/>
      <c r="M802" s="35"/>
      <c r="N802" s="36"/>
      <c r="O802" s="322"/>
      <c r="P802" s="38"/>
      <c r="Q802" s="38"/>
      <c r="R802" s="279"/>
      <c r="S802" s="40"/>
      <c r="T802" s="22"/>
      <c r="U802" s="41"/>
      <c r="V802" s="4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>
      <c r="B803" s="22"/>
      <c r="C803" s="30"/>
      <c r="D803" s="30"/>
      <c r="E803" s="30"/>
      <c r="F803" s="32"/>
      <c r="G803" s="32"/>
      <c r="H803" s="42"/>
      <c r="I803" s="34"/>
      <c r="J803" s="35"/>
      <c r="K803" s="35"/>
      <c r="L803" s="34"/>
      <c r="M803" s="35"/>
      <c r="N803" s="36"/>
      <c r="O803" s="322"/>
      <c r="P803" s="38"/>
      <c r="Q803" s="38"/>
      <c r="R803" s="279"/>
      <c r="S803" s="40"/>
      <c r="T803" s="22"/>
      <c r="U803" s="41"/>
      <c r="V803" s="4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>
      <c r="B804" s="22"/>
      <c r="C804" s="30"/>
      <c r="D804" s="30"/>
      <c r="E804" s="30"/>
      <c r="F804" s="32"/>
      <c r="G804" s="32"/>
      <c r="H804" s="42"/>
      <c r="I804" s="34"/>
      <c r="J804" s="35"/>
      <c r="K804" s="35"/>
      <c r="L804" s="34"/>
      <c r="M804" s="35"/>
      <c r="N804" s="36"/>
      <c r="O804" s="322"/>
      <c r="P804" s="38"/>
      <c r="Q804" s="38"/>
      <c r="R804" s="279"/>
      <c r="S804" s="40"/>
      <c r="T804" s="22"/>
      <c r="U804" s="41"/>
      <c r="V804" s="4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>
      <c r="B805" s="22"/>
      <c r="C805" s="30"/>
      <c r="D805" s="30"/>
      <c r="E805" s="30"/>
      <c r="F805" s="32"/>
      <c r="G805" s="32"/>
      <c r="H805" s="42"/>
      <c r="I805" s="34"/>
      <c r="J805" s="35"/>
      <c r="K805" s="35"/>
      <c r="L805" s="34"/>
      <c r="M805" s="35"/>
      <c r="N805" s="36"/>
      <c r="O805" s="322"/>
      <c r="P805" s="38"/>
      <c r="Q805" s="38"/>
      <c r="R805" s="279"/>
      <c r="S805" s="40"/>
      <c r="T805" s="22"/>
      <c r="U805" s="41"/>
      <c r="V805" s="4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>
      <c r="B806" s="22"/>
      <c r="C806" s="30"/>
      <c r="D806" s="30"/>
      <c r="E806" s="30"/>
      <c r="F806" s="32"/>
      <c r="G806" s="32"/>
      <c r="H806" s="42"/>
      <c r="I806" s="34"/>
      <c r="J806" s="35"/>
      <c r="K806" s="35"/>
      <c r="L806" s="34"/>
      <c r="M806" s="35"/>
      <c r="N806" s="36"/>
      <c r="O806" s="322"/>
      <c r="P806" s="38"/>
      <c r="Q806" s="38"/>
      <c r="R806" s="279"/>
      <c r="S806" s="40"/>
      <c r="T806" s="22"/>
      <c r="U806" s="41"/>
      <c r="V806" s="4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>
      <c r="B807" s="22"/>
      <c r="C807" s="30"/>
      <c r="D807" s="30"/>
      <c r="E807" s="30"/>
      <c r="F807" s="32"/>
      <c r="G807" s="32"/>
      <c r="H807" s="42"/>
      <c r="I807" s="34"/>
      <c r="J807" s="35"/>
      <c r="K807" s="35"/>
      <c r="L807" s="34"/>
      <c r="M807" s="35"/>
      <c r="N807" s="36"/>
      <c r="O807" s="322"/>
      <c r="P807" s="38"/>
      <c r="Q807" s="38"/>
      <c r="R807" s="279"/>
      <c r="S807" s="40"/>
      <c r="T807" s="22"/>
      <c r="U807" s="41"/>
      <c r="V807" s="4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>
      <c r="B808" s="22"/>
      <c r="C808" s="30"/>
      <c r="D808" s="30"/>
      <c r="E808" s="30"/>
      <c r="F808" s="32"/>
      <c r="G808" s="32"/>
      <c r="H808" s="42"/>
      <c r="I808" s="34"/>
      <c r="J808" s="35"/>
      <c r="K808" s="35"/>
      <c r="L808" s="34"/>
      <c r="M808" s="35"/>
      <c r="N808" s="36"/>
      <c r="O808" s="322"/>
      <c r="P808" s="38"/>
      <c r="Q808" s="38"/>
      <c r="R808" s="279"/>
      <c r="S808" s="40"/>
      <c r="T808" s="22"/>
      <c r="U808" s="41"/>
      <c r="V808" s="4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>
      <c r="B809" s="22"/>
      <c r="C809" s="30"/>
      <c r="D809" s="30"/>
      <c r="E809" s="30"/>
      <c r="F809" s="32"/>
      <c r="G809" s="32"/>
      <c r="H809" s="42"/>
      <c r="I809" s="34"/>
      <c r="J809" s="35"/>
      <c r="K809" s="35"/>
      <c r="L809" s="34"/>
      <c r="M809" s="35"/>
      <c r="N809" s="36"/>
      <c r="O809" s="322"/>
      <c r="P809" s="38"/>
      <c r="Q809" s="38"/>
      <c r="R809" s="279"/>
      <c r="S809" s="40"/>
      <c r="T809" s="22"/>
      <c r="U809" s="41"/>
      <c r="V809" s="4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>
      <c r="B810" s="22"/>
      <c r="C810" s="30"/>
      <c r="D810" s="30"/>
      <c r="E810" s="30"/>
      <c r="F810" s="32"/>
      <c r="G810" s="32"/>
      <c r="H810" s="42"/>
      <c r="I810" s="34"/>
      <c r="J810" s="35"/>
      <c r="K810" s="35"/>
      <c r="L810" s="34"/>
      <c r="M810" s="35"/>
      <c r="N810" s="36"/>
      <c r="O810" s="322"/>
      <c r="P810" s="38"/>
      <c r="Q810" s="38"/>
      <c r="R810" s="279"/>
      <c r="S810" s="40"/>
      <c r="T810" s="22"/>
      <c r="U810" s="41"/>
      <c r="V810" s="4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>
      <c r="B811" s="22"/>
      <c r="C811" s="30"/>
      <c r="D811" s="30"/>
      <c r="E811" s="30"/>
      <c r="F811" s="32"/>
      <c r="G811" s="32"/>
      <c r="H811" s="42"/>
      <c r="I811" s="34"/>
      <c r="J811" s="35"/>
      <c r="K811" s="35"/>
      <c r="L811" s="34"/>
      <c r="M811" s="35"/>
      <c r="N811" s="36"/>
      <c r="O811" s="322"/>
      <c r="P811" s="38"/>
      <c r="Q811" s="38"/>
      <c r="R811" s="279"/>
      <c r="S811" s="40"/>
      <c r="T811" s="22"/>
      <c r="U811" s="41"/>
      <c r="V811" s="4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>
      <c r="B812" s="22"/>
      <c r="C812" s="30"/>
      <c r="D812" s="30"/>
      <c r="E812" s="30"/>
      <c r="F812" s="32"/>
      <c r="G812" s="32"/>
      <c r="H812" s="42"/>
      <c r="I812" s="34"/>
      <c r="J812" s="35"/>
      <c r="K812" s="35"/>
      <c r="L812" s="34"/>
      <c r="M812" s="35"/>
      <c r="N812" s="36"/>
      <c r="O812" s="322"/>
      <c r="P812" s="38"/>
      <c r="Q812" s="38"/>
      <c r="R812" s="279"/>
      <c r="S812" s="40"/>
      <c r="T812" s="22"/>
      <c r="U812" s="41"/>
      <c r="V812" s="4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>
      <c r="B813" s="22"/>
      <c r="C813" s="30"/>
      <c r="D813" s="30"/>
      <c r="E813" s="30"/>
      <c r="F813" s="32"/>
      <c r="G813" s="32"/>
      <c r="H813" s="42"/>
      <c r="I813" s="34"/>
      <c r="J813" s="35"/>
      <c r="K813" s="35"/>
      <c r="L813" s="34"/>
      <c r="M813" s="35"/>
      <c r="N813" s="36"/>
      <c r="O813" s="322"/>
      <c r="P813" s="38"/>
      <c r="Q813" s="38"/>
      <c r="R813" s="279"/>
      <c r="S813" s="40"/>
      <c r="T813" s="22"/>
      <c r="U813" s="41"/>
      <c r="V813" s="4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>
      <c r="B814" s="22"/>
      <c r="C814" s="30"/>
      <c r="D814" s="30"/>
      <c r="E814" s="30"/>
      <c r="F814" s="32"/>
      <c r="G814" s="32"/>
      <c r="H814" s="42"/>
      <c r="I814" s="34"/>
      <c r="J814" s="35"/>
      <c r="K814" s="35"/>
      <c r="L814" s="34"/>
      <c r="M814" s="35"/>
      <c r="N814" s="36"/>
      <c r="O814" s="322"/>
      <c r="P814" s="38"/>
      <c r="Q814" s="38"/>
      <c r="R814" s="279"/>
      <c r="S814" s="40"/>
      <c r="T814" s="22"/>
      <c r="U814" s="41"/>
      <c r="V814" s="4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>
      <c r="B815" s="22"/>
      <c r="C815" s="30"/>
      <c r="D815" s="30"/>
      <c r="E815" s="30"/>
      <c r="F815" s="32"/>
      <c r="G815" s="32"/>
      <c r="H815" s="42"/>
      <c r="I815" s="34"/>
      <c r="J815" s="35"/>
      <c r="K815" s="35"/>
      <c r="L815" s="34"/>
      <c r="M815" s="35"/>
      <c r="N815" s="36"/>
      <c r="O815" s="322"/>
      <c r="P815" s="38"/>
      <c r="Q815" s="38"/>
      <c r="R815" s="279"/>
      <c r="S815" s="40"/>
      <c r="T815" s="22"/>
      <c r="U815" s="41"/>
      <c r="V815" s="4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>
      <c r="B816" s="22"/>
      <c r="C816" s="30"/>
      <c r="D816" s="30"/>
      <c r="E816" s="30"/>
      <c r="F816" s="32"/>
      <c r="G816" s="32"/>
      <c r="H816" s="42"/>
      <c r="I816" s="34"/>
      <c r="J816" s="35"/>
      <c r="K816" s="35"/>
      <c r="L816" s="34"/>
      <c r="M816" s="35"/>
      <c r="N816" s="36"/>
      <c r="O816" s="322"/>
      <c r="P816" s="38"/>
      <c r="Q816" s="38"/>
      <c r="R816" s="279"/>
      <c r="S816" s="40"/>
      <c r="T816" s="22"/>
      <c r="U816" s="41"/>
      <c r="V816" s="4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>
      <c r="B817" s="22"/>
      <c r="C817" s="30"/>
      <c r="D817" s="30"/>
      <c r="E817" s="30"/>
      <c r="F817" s="32"/>
      <c r="G817" s="32"/>
      <c r="H817" s="42"/>
      <c r="I817" s="34"/>
      <c r="J817" s="35"/>
      <c r="K817" s="35"/>
      <c r="L817" s="34"/>
      <c r="M817" s="35"/>
      <c r="N817" s="36"/>
      <c r="O817" s="322"/>
      <c r="P817" s="38"/>
      <c r="Q817" s="38"/>
      <c r="R817" s="279"/>
      <c r="S817" s="40"/>
      <c r="T817" s="22"/>
      <c r="U817" s="41"/>
      <c r="V817" s="4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>
      <c r="B818" s="22"/>
      <c r="C818" s="30"/>
      <c r="D818" s="30"/>
      <c r="E818" s="30"/>
      <c r="F818" s="32"/>
      <c r="G818" s="32"/>
      <c r="H818" s="42"/>
      <c r="I818" s="34"/>
      <c r="J818" s="35"/>
      <c r="K818" s="35"/>
      <c r="L818" s="34"/>
      <c r="M818" s="35"/>
      <c r="N818" s="36"/>
      <c r="O818" s="322"/>
      <c r="P818" s="38"/>
      <c r="Q818" s="38"/>
      <c r="R818" s="279"/>
      <c r="S818" s="40"/>
      <c r="T818" s="22"/>
      <c r="U818" s="41"/>
      <c r="V818" s="4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>
      <c r="B819" s="22"/>
      <c r="C819" s="30"/>
      <c r="D819" s="30"/>
      <c r="E819" s="30"/>
      <c r="F819" s="32"/>
      <c r="G819" s="32"/>
      <c r="H819" s="42"/>
      <c r="I819" s="34"/>
      <c r="J819" s="35"/>
      <c r="K819" s="35"/>
      <c r="L819" s="34"/>
      <c r="M819" s="35"/>
      <c r="N819" s="36"/>
      <c r="O819" s="322"/>
      <c r="P819" s="38"/>
      <c r="Q819" s="38"/>
      <c r="R819" s="279"/>
      <c r="S819" s="40"/>
      <c r="T819" s="22"/>
      <c r="U819" s="41"/>
      <c r="V819" s="4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>
      <c r="B820" s="22"/>
      <c r="C820" s="30"/>
      <c r="D820" s="30"/>
      <c r="E820" s="30"/>
      <c r="F820" s="32"/>
      <c r="G820" s="32"/>
      <c r="H820" s="42"/>
      <c r="I820" s="34"/>
      <c r="J820" s="35"/>
      <c r="K820" s="35"/>
      <c r="L820" s="34"/>
      <c r="M820" s="35"/>
      <c r="N820" s="36"/>
      <c r="O820" s="322"/>
      <c r="P820" s="38"/>
      <c r="Q820" s="38"/>
      <c r="R820" s="279"/>
      <c r="S820" s="40"/>
      <c r="T820" s="22"/>
      <c r="U820" s="41"/>
      <c r="V820" s="4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>
      <c r="B821" s="22"/>
      <c r="C821" s="30"/>
      <c r="D821" s="30"/>
      <c r="E821" s="30"/>
      <c r="F821" s="32"/>
      <c r="G821" s="32"/>
      <c r="H821" s="42"/>
      <c r="I821" s="34"/>
      <c r="J821" s="35"/>
      <c r="K821" s="35"/>
      <c r="L821" s="34"/>
      <c r="M821" s="35"/>
      <c r="N821" s="36"/>
      <c r="O821" s="322"/>
      <c r="P821" s="38"/>
      <c r="Q821" s="38"/>
      <c r="R821" s="279"/>
      <c r="S821" s="40"/>
      <c r="T821" s="22"/>
      <c r="U821" s="41"/>
      <c r="V821" s="4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>
      <c r="B822" s="22"/>
      <c r="C822" s="30"/>
      <c r="D822" s="30"/>
      <c r="E822" s="30"/>
      <c r="F822" s="32"/>
      <c r="G822" s="32"/>
      <c r="H822" s="42"/>
      <c r="I822" s="34"/>
      <c r="J822" s="35"/>
      <c r="K822" s="35"/>
      <c r="L822" s="34"/>
      <c r="M822" s="35"/>
      <c r="N822" s="36"/>
      <c r="O822" s="322"/>
      <c r="P822" s="38"/>
      <c r="Q822" s="38"/>
      <c r="R822" s="279"/>
      <c r="S822" s="40"/>
      <c r="T822" s="22"/>
      <c r="U822" s="41"/>
      <c r="V822" s="4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>
      <c r="B823" s="22"/>
      <c r="C823" s="30"/>
      <c r="D823" s="30"/>
      <c r="E823" s="30"/>
      <c r="F823" s="32"/>
      <c r="G823" s="32"/>
      <c r="H823" s="42"/>
      <c r="I823" s="34"/>
      <c r="J823" s="35"/>
      <c r="K823" s="35"/>
      <c r="L823" s="34"/>
      <c r="M823" s="35"/>
      <c r="N823" s="36"/>
      <c r="O823" s="322"/>
      <c r="P823" s="38"/>
      <c r="Q823" s="38"/>
      <c r="R823" s="279"/>
      <c r="S823" s="40"/>
      <c r="T823" s="22"/>
      <c r="U823" s="41"/>
      <c r="V823" s="4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>
      <c r="B824" s="22"/>
      <c r="C824" s="30"/>
      <c r="D824" s="30"/>
      <c r="E824" s="30"/>
      <c r="F824" s="32"/>
      <c r="G824" s="32"/>
      <c r="H824" s="42"/>
      <c r="I824" s="34"/>
      <c r="J824" s="35"/>
      <c r="K824" s="35"/>
      <c r="L824" s="34"/>
      <c r="M824" s="35"/>
      <c r="N824" s="36"/>
      <c r="O824" s="322"/>
      <c r="P824" s="38"/>
      <c r="Q824" s="38"/>
      <c r="R824" s="279"/>
      <c r="S824" s="40"/>
      <c r="T824" s="22"/>
      <c r="U824" s="41"/>
      <c r="V824" s="4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>
      <c r="B825" s="22"/>
      <c r="C825" s="30"/>
      <c r="D825" s="30"/>
      <c r="E825" s="30"/>
      <c r="F825" s="32"/>
      <c r="G825" s="32"/>
      <c r="H825" s="42"/>
      <c r="I825" s="34"/>
      <c r="J825" s="35"/>
      <c r="K825" s="35"/>
      <c r="L825" s="34"/>
      <c r="M825" s="35"/>
      <c r="N825" s="36"/>
      <c r="O825" s="322"/>
      <c r="P825" s="38"/>
      <c r="Q825" s="38"/>
      <c r="R825" s="279"/>
      <c r="S825" s="40"/>
      <c r="T825" s="22"/>
      <c r="U825" s="41"/>
      <c r="V825" s="4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>
      <c r="B826" s="22"/>
      <c r="C826" s="30"/>
      <c r="D826" s="30"/>
      <c r="E826" s="30"/>
      <c r="F826" s="32"/>
      <c r="G826" s="32"/>
      <c r="H826" s="42"/>
      <c r="I826" s="34"/>
      <c r="J826" s="35"/>
      <c r="K826" s="35"/>
      <c r="L826" s="34"/>
      <c r="M826" s="35"/>
      <c r="N826" s="36"/>
      <c r="O826" s="322"/>
      <c r="P826" s="38"/>
      <c r="Q826" s="38"/>
      <c r="R826" s="279"/>
      <c r="S826" s="40"/>
      <c r="T826" s="22"/>
      <c r="U826" s="41"/>
      <c r="V826" s="4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>
      <c r="B827" s="22"/>
      <c r="C827" s="30"/>
      <c r="D827" s="30"/>
      <c r="E827" s="30"/>
      <c r="F827" s="32"/>
      <c r="G827" s="32"/>
      <c r="H827" s="42"/>
      <c r="I827" s="34"/>
      <c r="J827" s="35"/>
      <c r="K827" s="35"/>
      <c r="L827" s="34"/>
      <c r="M827" s="35"/>
      <c r="N827" s="36"/>
      <c r="O827" s="322"/>
      <c r="P827" s="38"/>
      <c r="Q827" s="38"/>
      <c r="R827" s="279"/>
      <c r="S827" s="40"/>
      <c r="T827" s="22"/>
      <c r="U827" s="41"/>
      <c r="V827" s="4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>
      <c r="B828" s="22"/>
      <c r="C828" s="30"/>
      <c r="D828" s="30"/>
      <c r="E828" s="30"/>
      <c r="F828" s="32"/>
      <c r="G828" s="32"/>
      <c r="H828" s="42"/>
      <c r="I828" s="34"/>
      <c r="J828" s="35"/>
      <c r="K828" s="35"/>
      <c r="L828" s="34"/>
      <c r="M828" s="35"/>
      <c r="N828" s="36"/>
      <c r="O828" s="322"/>
      <c r="P828" s="38"/>
      <c r="Q828" s="38"/>
      <c r="R828" s="279"/>
      <c r="S828" s="40"/>
      <c r="T828" s="22"/>
      <c r="U828" s="41"/>
      <c r="V828" s="4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>
      <c r="B829" s="22"/>
      <c r="C829" s="30"/>
      <c r="D829" s="30"/>
      <c r="E829" s="30"/>
      <c r="F829" s="32"/>
      <c r="G829" s="32"/>
      <c r="H829" s="42"/>
      <c r="I829" s="34"/>
      <c r="J829" s="35"/>
      <c r="K829" s="35"/>
      <c r="L829" s="34"/>
      <c r="M829" s="35"/>
      <c r="N829" s="36"/>
      <c r="O829" s="322"/>
      <c r="P829" s="38"/>
      <c r="Q829" s="38"/>
      <c r="R829" s="279"/>
      <c r="S829" s="40"/>
      <c r="T829" s="22"/>
      <c r="U829" s="41"/>
      <c r="V829" s="4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>
      <c r="B830" s="22"/>
      <c r="C830" s="30"/>
      <c r="D830" s="30"/>
      <c r="E830" s="30"/>
      <c r="F830" s="32"/>
      <c r="G830" s="32"/>
      <c r="H830" s="42"/>
      <c r="I830" s="34"/>
      <c r="J830" s="35"/>
      <c r="K830" s="35"/>
      <c r="L830" s="34"/>
      <c r="M830" s="35"/>
      <c r="N830" s="36"/>
      <c r="O830" s="322"/>
      <c r="P830" s="38"/>
      <c r="Q830" s="38"/>
      <c r="R830" s="279"/>
      <c r="S830" s="40"/>
      <c r="T830" s="22"/>
      <c r="U830" s="41"/>
      <c r="V830" s="4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>
      <c r="B831" s="22"/>
      <c r="C831" s="30"/>
      <c r="D831" s="30"/>
      <c r="E831" s="30"/>
      <c r="F831" s="32"/>
      <c r="G831" s="32"/>
      <c r="H831" s="42"/>
      <c r="I831" s="34"/>
      <c r="J831" s="35"/>
      <c r="K831" s="35"/>
      <c r="L831" s="34"/>
      <c r="M831" s="35"/>
      <c r="N831" s="36"/>
      <c r="O831" s="322"/>
      <c r="P831" s="38"/>
      <c r="Q831" s="38"/>
      <c r="R831" s="279"/>
      <c r="S831" s="40"/>
      <c r="T831" s="22"/>
      <c r="U831" s="41"/>
      <c r="V831" s="4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>
      <c r="B832" s="22"/>
      <c r="C832" s="30"/>
      <c r="D832" s="30"/>
      <c r="E832" s="30"/>
      <c r="F832" s="32"/>
      <c r="G832" s="32"/>
      <c r="H832" s="42"/>
      <c r="I832" s="34"/>
      <c r="J832" s="35"/>
      <c r="K832" s="35"/>
      <c r="L832" s="34"/>
      <c r="M832" s="35"/>
      <c r="N832" s="36"/>
      <c r="O832" s="322"/>
      <c r="P832" s="38"/>
      <c r="Q832" s="38"/>
      <c r="R832" s="279"/>
      <c r="S832" s="40"/>
      <c r="T832" s="22"/>
      <c r="U832" s="41"/>
      <c r="V832" s="4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>
      <c r="B833" s="22"/>
      <c r="C833" s="30"/>
      <c r="D833" s="30"/>
      <c r="E833" s="30"/>
      <c r="F833" s="32"/>
      <c r="G833" s="32"/>
      <c r="H833" s="42"/>
      <c r="I833" s="34"/>
      <c r="J833" s="35"/>
      <c r="K833" s="35"/>
      <c r="L833" s="34"/>
      <c r="M833" s="35"/>
      <c r="N833" s="36"/>
      <c r="O833" s="322"/>
      <c r="P833" s="38"/>
      <c r="Q833" s="38"/>
      <c r="R833" s="279"/>
      <c r="S833" s="40"/>
      <c r="T833" s="22"/>
      <c r="U833" s="41"/>
      <c r="V833" s="4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>
      <c r="B834" s="22"/>
      <c r="C834" s="30"/>
      <c r="D834" s="30"/>
      <c r="E834" s="30"/>
      <c r="F834" s="32"/>
      <c r="G834" s="32"/>
      <c r="H834" s="42"/>
      <c r="I834" s="34"/>
      <c r="J834" s="35"/>
      <c r="K834" s="35"/>
      <c r="L834" s="34"/>
      <c r="M834" s="35"/>
      <c r="N834" s="36"/>
      <c r="O834" s="322"/>
      <c r="P834" s="38"/>
      <c r="Q834" s="38"/>
      <c r="R834" s="279"/>
      <c r="S834" s="40"/>
      <c r="T834" s="22"/>
      <c r="U834" s="41"/>
      <c r="V834" s="4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>
      <c r="B835" s="22"/>
      <c r="C835" s="30"/>
      <c r="D835" s="30"/>
      <c r="E835" s="30"/>
      <c r="F835" s="32"/>
      <c r="G835" s="32"/>
      <c r="H835" s="42"/>
      <c r="I835" s="34"/>
      <c r="J835" s="35"/>
      <c r="K835" s="35"/>
      <c r="L835" s="34"/>
      <c r="M835" s="35"/>
      <c r="N835" s="36"/>
      <c r="O835" s="322"/>
      <c r="P835" s="38"/>
      <c r="Q835" s="38"/>
      <c r="R835" s="279"/>
      <c r="S835" s="40"/>
      <c r="T835" s="22"/>
      <c r="U835" s="41"/>
      <c r="V835" s="4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>
      <c r="B836" s="22"/>
      <c r="C836" s="30"/>
      <c r="D836" s="30"/>
      <c r="E836" s="30"/>
      <c r="F836" s="32"/>
      <c r="G836" s="32"/>
      <c r="H836" s="42"/>
      <c r="I836" s="34"/>
      <c r="J836" s="35"/>
      <c r="K836" s="35"/>
      <c r="L836" s="34"/>
      <c r="M836" s="35"/>
      <c r="N836" s="36"/>
      <c r="O836" s="322"/>
      <c r="P836" s="38"/>
      <c r="Q836" s="38"/>
      <c r="R836" s="279"/>
      <c r="S836" s="40"/>
      <c r="T836" s="22"/>
      <c r="U836" s="41"/>
      <c r="V836" s="4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>
      <c r="B837" s="22"/>
      <c r="C837" s="30"/>
      <c r="D837" s="30"/>
      <c r="E837" s="30"/>
      <c r="F837" s="32"/>
      <c r="G837" s="32"/>
      <c r="H837" s="42"/>
      <c r="I837" s="34"/>
      <c r="J837" s="35"/>
      <c r="K837" s="35"/>
      <c r="L837" s="34"/>
      <c r="M837" s="35"/>
      <c r="N837" s="36"/>
      <c r="O837" s="322"/>
      <c r="P837" s="38"/>
      <c r="Q837" s="38"/>
      <c r="R837" s="279"/>
      <c r="S837" s="40"/>
      <c r="T837" s="22"/>
      <c r="U837" s="41"/>
      <c r="V837" s="4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>
      <c r="B838" s="22"/>
      <c r="C838" s="30"/>
      <c r="D838" s="30"/>
      <c r="E838" s="30"/>
      <c r="F838" s="32"/>
      <c r="G838" s="32"/>
      <c r="H838" s="42"/>
      <c r="I838" s="34"/>
      <c r="J838" s="35"/>
      <c r="K838" s="35"/>
      <c r="L838" s="34"/>
      <c r="M838" s="35"/>
      <c r="N838" s="36"/>
      <c r="O838" s="322"/>
      <c r="P838" s="38"/>
      <c r="Q838" s="38"/>
      <c r="R838" s="279"/>
      <c r="S838" s="40"/>
      <c r="T838" s="22"/>
      <c r="U838" s="41"/>
      <c r="V838" s="4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>
      <c r="B839" s="22"/>
      <c r="C839" s="30"/>
      <c r="D839" s="30"/>
      <c r="E839" s="30"/>
      <c r="F839" s="32"/>
      <c r="G839" s="32"/>
      <c r="H839" s="42"/>
      <c r="I839" s="34"/>
      <c r="J839" s="35"/>
      <c r="K839" s="35"/>
      <c r="L839" s="34"/>
      <c r="M839" s="35"/>
      <c r="N839" s="36"/>
      <c r="O839" s="322"/>
      <c r="P839" s="38"/>
      <c r="Q839" s="38"/>
      <c r="R839" s="279"/>
      <c r="S839" s="40"/>
      <c r="T839" s="22"/>
      <c r="U839" s="41"/>
      <c r="V839" s="4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>
      <c r="B840" s="22"/>
      <c r="C840" s="30"/>
      <c r="D840" s="30"/>
      <c r="E840" s="30"/>
      <c r="F840" s="32"/>
      <c r="G840" s="32"/>
      <c r="H840" s="42"/>
      <c r="I840" s="34"/>
      <c r="J840" s="35"/>
      <c r="K840" s="35"/>
      <c r="L840" s="34"/>
      <c r="M840" s="35"/>
      <c r="N840" s="36"/>
      <c r="O840" s="322"/>
      <c r="P840" s="38"/>
      <c r="Q840" s="38"/>
      <c r="R840" s="279"/>
      <c r="S840" s="40"/>
      <c r="T840" s="22"/>
      <c r="U840" s="41"/>
      <c r="V840" s="4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>
      <c r="B841" s="22"/>
      <c r="C841" s="30"/>
      <c r="D841" s="30"/>
      <c r="E841" s="30"/>
      <c r="F841" s="32"/>
      <c r="G841" s="32"/>
      <c r="H841" s="42"/>
      <c r="I841" s="34"/>
      <c r="J841" s="35"/>
      <c r="K841" s="35"/>
      <c r="L841" s="34"/>
      <c r="M841" s="35"/>
      <c r="N841" s="36"/>
      <c r="O841" s="322"/>
      <c r="P841" s="38"/>
      <c r="Q841" s="38"/>
      <c r="R841" s="279"/>
      <c r="S841" s="40"/>
      <c r="T841" s="22"/>
      <c r="U841" s="41"/>
      <c r="V841" s="4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>
      <c r="B842" s="22"/>
      <c r="C842" s="30"/>
      <c r="D842" s="30"/>
      <c r="E842" s="30"/>
      <c r="F842" s="32"/>
      <c r="G842" s="32"/>
      <c r="H842" s="42"/>
      <c r="I842" s="34"/>
      <c r="J842" s="35"/>
      <c r="K842" s="35"/>
      <c r="L842" s="34"/>
      <c r="M842" s="35"/>
      <c r="N842" s="36"/>
      <c r="O842" s="322"/>
      <c r="P842" s="38"/>
      <c r="Q842" s="38"/>
      <c r="R842" s="279"/>
      <c r="S842" s="40"/>
      <c r="T842" s="22"/>
      <c r="U842" s="41"/>
      <c r="V842" s="4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>
      <c r="B843" s="22"/>
      <c r="C843" s="30"/>
      <c r="D843" s="30"/>
      <c r="E843" s="30"/>
      <c r="F843" s="32"/>
      <c r="G843" s="32"/>
      <c r="H843" s="42"/>
      <c r="I843" s="34"/>
      <c r="J843" s="35"/>
      <c r="K843" s="35"/>
      <c r="L843" s="34"/>
      <c r="M843" s="35"/>
      <c r="N843" s="36"/>
      <c r="O843" s="322"/>
      <c r="P843" s="38"/>
      <c r="Q843" s="38"/>
      <c r="R843" s="279"/>
      <c r="S843" s="40"/>
      <c r="T843" s="22"/>
      <c r="U843" s="41"/>
      <c r="V843" s="4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>
      <c r="B844" s="22"/>
      <c r="C844" s="30"/>
      <c r="D844" s="30"/>
      <c r="E844" s="30"/>
      <c r="F844" s="32"/>
      <c r="G844" s="32"/>
      <c r="H844" s="42"/>
      <c r="I844" s="34"/>
      <c r="J844" s="35"/>
      <c r="K844" s="35"/>
      <c r="L844" s="34"/>
      <c r="M844" s="35"/>
      <c r="N844" s="36"/>
      <c r="O844" s="322"/>
      <c r="P844" s="38"/>
      <c r="Q844" s="38"/>
      <c r="R844" s="279"/>
      <c r="S844" s="40"/>
      <c r="T844" s="22"/>
      <c r="U844" s="41"/>
      <c r="V844" s="4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>
      <c r="B845" s="22"/>
      <c r="C845" s="30"/>
      <c r="D845" s="30"/>
      <c r="E845" s="30"/>
      <c r="F845" s="32"/>
      <c r="G845" s="32"/>
      <c r="H845" s="42"/>
      <c r="I845" s="34"/>
      <c r="J845" s="35"/>
      <c r="K845" s="35"/>
      <c r="L845" s="34"/>
      <c r="M845" s="35"/>
      <c r="N845" s="36"/>
      <c r="O845" s="322"/>
      <c r="P845" s="38"/>
      <c r="Q845" s="38"/>
      <c r="R845" s="279"/>
      <c r="S845" s="40"/>
      <c r="T845" s="22"/>
      <c r="U845" s="41"/>
      <c r="V845" s="4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>
      <c r="B846" s="22"/>
      <c r="C846" s="30"/>
      <c r="D846" s="30"/>
      <c r="E846" s="30"/>
      <c r="F846" s="32"/>
      <c r="G846" s="32"/>
      <c r="H846" s="42"/>
      <c r="I846" s="34"/>
      <c r="J846" s="35"/>
      <c r="K846" s="35"/>
      <c r="L846" s="34"/>
      <c r="M846" s="35"/>
      <c r="N846" s="36"/>
      <c r="O846" s="322"/>
      <c r="P846" s="38"/>
      <c r="Q846" s="38"/>
      <c r="R846" s="279"/>
      <c r="S846" s="40"/>
      <c r="T846" s="22"/>
      <c r="U846" s="41"/>
      <c r="V846" s="4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>
      <c r="B847" s="22"/>
      <c r="C847" s="30"/>
      <c r="D847" s="30"/>
      <c r="E847" s="30"/>
      <c r="F847" s="32"/>
      <c r="G847" s="32"/>
      <c r="H847" s="42"/>
      <c r="I847" s="34"/>
      <c r="J847" s="35"/>
      <c r="K847" s="35"/>
      <c r="L847" s="34"/>
      <c r="M847" s="35"/>
      <c r="N847" s="36"/>
      <c r="O847" s="322"/>
      <c r="P847" s="38"/>
      <c r="Q847" s="38"/>
      <c r="R847" s="279"/>
      <c r="S847" s="40"/>
      <c r="T847" s="22"/>
      <c r="U847" s="41"/>
      <c r="V847" s="4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>
      <c r="B848" s="22"/>
      <c r="C848" s="30"/>
      <c r="D848" s="30"/>
      <c r="E848" s="30"/>
      <c r="F848" s="32"/>
      <c r="G848" s="32"/>
      <c r="H848" s="42"/>
      <c r="I848" s="34"/>
      <c r="J848" s="35"/>
      <c r="K848" s="35"/>
      <c r="L848" s="34"/>
      <c r="M848" s="35"/>
      <c r="N848" s="36"/>
      <c r="O848" s="322"/>
      <c r="P848" s="38"/>
      <c r="Q848" s="38"/>
      <c r="R848" s="279"/>
      <c r="S848" s="40"/>
      <c r="T848" s="22"/>
      <c r="U848" s="41"/>
      <c r="V848" s="4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>
      <c r="B849" s="22"/>
      <c r="C849" s="30"/>
      <c r="D849" s="30"/>
      <c r="E849" s="30"/>
      <c r="F849" s="32"/>
      <c r="G849" s="32"/>
      <c r="H849" s="42"/>
      <c r="I849" s="34"/>
      <c r="J849" s="35"/>
      <c r="K849" s="35"/>
      <c r="L849" s="34"/>
      <c r="M849" s="35"/>
      <c r="N849" s="36"/>
      <c r="O849" s="322"/>
      <c r="P849" s="38"/>
      <c r="Q849" s="38"/>
      <c r="R849" s="279"/>
      <c r="S849" s="40"/>
      <c r="T849" s="22"/>
      <c r="U849" s="41"/>
      <c r="V849" s="4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>
      <c r="B850" s="22"/>
      <c r="C850" s="30"/>
      <c r="D850" s="30"/>
      <c r="E850" s="30"/>
      <c r="F850" s="32"/>
      <c r="G850" s="32"/>
      <c r="H850" s="42"/>
      <c r="I850" s="34"/>
      <c r="J850" s="35"/>
      <c r="K850" s="35"/>
      <c r="L850" s="34"/>
      <c r="M850" s="35"/>
      <c r="N850" s="36"/>
      <c r="O850" s="322"/>
      <c r="P850" s="38"/>
      <c r="Q850" s="38"/>
      <c r="R850" s="279"/>
      <c r="S850" s="40"/>
      <c r="T850" s="22"/>
      <c r="U850" s="41"/>
      <c r="V850" s="4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>
      <c r="B851" s="22"/>
      <c r="C851" s="30"/>
      <c r="D851" s="30"/>
      <c r="E851" s="30"/>
      <c r="F851" s="32"/>
      <c r="G851" s="32"/>
      <c r="H851" s="42"/>
      <c r="I851" s="34"/>
      <c r="J851" s="35"/>
      <c r="K851" s="35"/>
      <c r="L851" s="34"/>
      <c r="M851" s="35"/>
      <c r="N851" s="36"/>
      <c r="O851" s="322"/>
      <c r="P851" s="38"/>
      <c r="Q851" s="38"/>
      <c r="R851" s="279"/>
      <c r="S851" s="40"/>
      <c r="T851" s="22"/>
      <c r="U851" s="41"/>
      <c r="V851" s="4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>
      <c r="B852" s="22"/>
      <c r="C852" s="30"/>
      <c r="D852" s="30"/>
      <c r="E852" s="30"/>
      <c r="F852" s="32"/>
      <c r="G852" s="32"/>
      <c r="H852" s="42"/>
      <c r="I852" s="34"/>
      <c r="J852" s="35"/>
      <c r="K852" s="35"/>
      <c r="L852" s="34"/>
      <c r="M852" s="35"/>
      <c r="N852" s="36"/>
      <c r="O852" s="322"/>
      <c r="P852" s="38"/>
      <c r="Q852" s="38"/>
      <c r="R852" s="279"/>
      <c r="S852" s="40"/>
      <c r="T852" s="22"/>
      <c r="U852" s="41"/>
      <c r="V852" s="4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>
      <c r="B853" s="22"/>
      <c r="C853" s="30"/>
      <c r="D853" s="30"/>
      <c r="E853" s="30"/>
      <c r="F853" s="32"/>
      <c r="G853" s="32"/>
      <c r="H853" s="42"/>
      <c r="I853" s="34"/>
      <c r="J853" s="35"/>
      <c r="K853" s="35"/>
      <c r="L853" s="34"/>
      <c r="M853" s="35"/>
      <c r="N853" s="36"/>
      <c r="O853" s="322"/>
      <c r="P853" s="38"/>
      <c r="Q853" s="38"/>
      <c r="R853" s="279"/>
      <c r="S853" s="40"/>
      <c r="T853" s="22"/>
      <c r="U853" s="41"/>
      <c r="V853" s="4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>
      <c r="B854" s="22"/>
      <c r="C854" s="30"/>
      <c r="D854" s="30"/>
      <c r="E854" s="30"/>
      <c r="F854" s="32"/>
      <c r="G854" s="32"/>
      <c r="H854" s="42"/>
      <c r="I854" s="34"/>
      <c r="J854" s="35"/>
      <c r="K854" s="35"/>
      <c r="L854" s="34"/>
      <c r="M854" s="35"/>
      <c r="N854" s="36"/>
      <c r="O854" s="322"/>
      <c r="P854" s="38"/>
      <c r="Q854" s="38"/>
      <c r="R854" s="279"/>
      <c r="S854" s="40"/>
      <c r="T854" s="22"/>
      <c r="U854" s="41"/>
      <c r="V854" s="4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>
      <c r="B855" s="22"/>
      <c r="C855" s="30"/>
      <c r="D855" s="30"/>
      <c r="E855" s="30"/>
      <c r="F855" s="32"/>
      <c r="G855" s="32"/>
      <c r="H855" s="42"/>
      <c r="I855" s="34"/>
      <c r="J855" s="35"/>
      <c r="K855" s="35"/>
      <c r="L855" s="34"/>
      <c r="M855" s="35"/>
      <c r="N855" s="36"/>
      <c r="O855" s="322"/>
      <c r="P855" s="38"/>
      <c r="Q855" s="38"/>
      <c r="R855" s="279"/>
      <c r="S855" s="40"/>
      <c r="T855" s="22"/>
      <c r="U855" s="41"/>
      <c r="V855" s="4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>
      <c r="B856" s="22"/>
      <c r="C856" s="30"/>
      <c r="D856" s="30"/>
      <c r="E856" s="30"/>
      <c r="F856" s="32"/>
      <c r="G856" s="32"/>
      <c r="H856" s="42"/>
      <c r="I856" s="34"/>
      <c r="J856" s="35"/>
      <c r="K856" s="35"/>
      <c r="L856" s="34"/>
      <c r="M856" s="35"/>
      <c r="N856" s="36"/>
      <c r="O856" s="322"/>
      <c r="P856" s="38"/>
      <c r="Q856" s="38"/>
      <c r="R856" s="279"/>
      <c r="S856" s="40"/>
      <c r="T856" s="22"/>
      <c r="U856" s="41"/>
      <c r="V856" s="4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>
      <c r="B857" s="22"/>
      <c r="C857" s="30"/>
      <c r="D857" s="30"/>
      <c r="E857" s="30"/>
      <c r="F857" s="32"/>
      <c r="G857" s="32"/>
      <c r="H857" s="42"/>
      <c r="I857" s="34"/>
      <c r="J857" s="35"/>
      <c r="K857" s="35"/>
      <c r="L857" s="34"/>
      <c r="M857" s="35"/>
      <c r="N857" s="36"/>
      <c r="O857" s="322"/>
      <c r="P857" s="38"/>
      <c r="Q857" s="38"/>
      <c r="R857" s="279"/>
      <c r="S857" s="40"/>
      <c r="T857" s="22"/>
      <c r="U857" s="41"/>
      <c r="V857" s="4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>
      <c r="B858" s="22"/>
      <c r="C858" s="30"/>
      <c r="D858" s="30"/>
      <c r="E858" s="30"/>
      <c r="F858" s="32"/>
      <c r="G858" s="32"/>
      <c r="H858" s="42"/>
      <c r="I858" s="34"/>
      <c r="J858" s="35"/>
      <c r="K858" s="35"/>
      <c r="L858" s="34"/>
      <c r="M858" s="35"/>
      <c r="N858" s="36"/>
      <c r="O858" s="322"/>
      <c r="P858" s="38"/>
      <c r="Q858" s="38"/>
      <c r="R858" s="279"/>
      <c r="S858" s="40"/>
      <c r="T858" s="22"/>
      <c r="U858" s="41"/>
      <c r="V858" s="4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>
      <c r="B859" s="22"/>
      <c r="C859" s="30"/>
      <c r="D859" s="30"/>
      <c r="E859" s="30"/>
      <c r="F859" s="32"/>
      <c r="G859" s="32"/>
      <c r="H859" s="42"/>
      <c r="I859" s="34"/>
      <c r="J859" s="35"/>
      <c r="K859" s="35"/>
      <c r="L859" s="34"/>
      <c r="M859" s="35"/>
      <c r="N859" s="36"/>
      <c r="O859" s="322"/>
      <c r="P859" s="38"/>
      <c r="Q859" s="38"/>
      <c r="R859" s="279"/>
      <c r="S859" s="40"/>
      <c r="T859" s="22"/>
      <c r="U859" s="41"/>
      <c r="V859" s="4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>
      <c r="B860" s="22"/>
      <c r="C860" s="30"/>
      <c r="D860" s="30"/>
      <c r="E860" s="30"/>
      <c r="F860" s="32"/>
      <c r="G860" s="32"/>
      <c r="H860" s="42"/>
      <c r="I860" s="34"/>
      <c r="J860" s="35"/>
      <c r="K860" s="35"/>
      <c r="L860" s="34"/>
      <c r="M860" s="35"/>
      <c r="N860" s="36"/>
      <c r="O860" s="322"/>
      <c r="P860" s="38"/>
      <c r="Q860" s="38"/>
      <c r="R860" s="279"/>
      <c r="S860" s="40"/>
      <c r="T860" s="22"/>
      <c r="U860" s="41"/>
      <c r="V860" s="4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>
      <c r="B861" s="22"/>
      <c r="C861" s="30"/>
      <c r="D861" s="30"/>
      <c r="E861" s="30"/>
      <c r="F861" s="32"/>
      <c r="G861" s="32"/>
      <c r="H861" s="42"/>
      <c r="I861" s="34"/>
      <c r="J861" s="35"/>
      <c r="K861" s="35"/>
      <c r="L861" s="34"/>
      <c r="M861" s="35"/>
      <c r="N861" s="36"/>
      <c r="O861" s="322"/>
      <c r="P861" s="38"/>
      <c r="Q861" s="38"/>
      <c r="R861" s="279"/>
      <c r="S861" s="40"/>
      <c r="T861" s="22"/>
      <c r="U861" s="41"/>
      <c r="V861" s="4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>
      <c r="B862" s="22"/>
      <c r="C862" s="30"/>
      <c r="D862" s="30"/>
      <c r="E862" s="30"/>
      <c r="F862" s="32"/>
      <c r="G862" s="32"/>
      <c r="H862" s="42"/>
      <c r="I862" s="34"/>
      <c r="J862" s="35"/>
      <c r="K862" s="35"/>
      <c r="L862" s="34"/>
      <c r="M862" s="35"/>
      <c r="N862" s="36"/>
      <c r="O862" s="322"/>
      <c r="P862" s="38"/>
      <c r="Q862" s="38"/>
      <c r="R862" s="279"/>
      <c r="S862" s="40"/>
      <c r="T862" s="22"/>
      <c r="U862" s="41"/>
      <c r="V862" s="4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>
      <c r="B863" s="22"/>
      <c r="C863" s="30"/>
      <c r="D863" s="30"/>
      <c r="E863" s="30"/>
      <c r="F863" s="32"/>
      <c r="G863" s="32"/>
      <c r="H863" s="42"/>
      <c r="I863" s="34"/>
      <c r="J863" s="35"/>
      <c r="K863" s="35"/>
      <c r="L863" s="34"/>
      <c r="M863" s="35"/>
      <c r="N863" s="36"/>
      <c r="O863" s="322"/>
      <c r="P863" s="38"/>
      <c r="Q863" s="38"/>
      <c r="R863" s="279"/>
      <c r="S863" s="40"/>
      <c r="T863" s="22"/>
      <c r="U863" s="41"/>
      <c r="V863" s="4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>
      <c r="B864" s="22"/>
      <c r="C864" s="30"/>
      <c r="D864" s="30"/>
      <c r="E864" s="30"/>
      <c r="F864" s="32"/>
      <c r="G864" s="32"/>
      <c r="H864" s="42"/>
      <c r="I864" s="34"/>
      <c r="J864" s="35"/>
      <c r="K864" s="35"/>
      <c r="L864" s="34"/>
      <c r="M864" s="35"/>
      <c r="N864" s="36"/>
      <c r="O864" s="322"/>
      <c r="P864" s="38"/>
      <c r="Q864" s="38"/>
      <c r="R864" s="279"/>
      <c r="S864" s="40"/>
      <c r="T864" s="22"/>
      <c r="U864" s="41"/>
      <c r="V864" s="4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>
      <c r="B865" s="22"/>
      <c r="C865" s="30"/>
      <c r="D865" s="30"/>
      <c r="E865" s="30"/>
      <c r="F865" s="32"/>
      <c r="G865" s="32"/>
      <c r="H865" s="42"/>
      <c r="I865" s="34"/>
      <c r="J865" s="35"/>
      <c r="K865" s="35"/>
      <c r="L865" s="34"/>
      <c r="M865" s="35"/>
      <c r="N865" s="36"/>
      <c r="O865" s="322"/>
      <c r="P865" s="38"/>
      <c r="Q865" s="38"/>
      <c r="R865" s="279"/>
      <c r="S865" s="40"/>
      <c r="T865" s="22"/>
      <c r="U865" s="41"/>
      <c r="V865" s="4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>
      <c r="B866" s="22"/>
      <c r="C866" s="30"/>
      <c r="D866" s="30"/>
      <c r="E866" s="30"/>
      <c r="F866" s="32"/>
      <c r="G866" s="32"/>
      <c r="H866" s="42"/>
      <c r="I866" s="34"/>
      <c r="J866" s="35"/>
      <c r="K866" s="35"/>
      <c r="L866" s="34"/>
      <c r="M866" s="35"/>
      <c r="N866" s="36"/>
      <c r="O866" s="322"/>
      <c r="P866" s="38"/>
      <c r="Q866" s="38"/>
      <c r="R866" s="279"/>
      <c r="S866" s="40"/>
      <c r="T866" s="22"/>
      <c r="U866" s="41"/>
      <c r="V866" s="4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>
      <c r="B867" s="22"/>
      <c r="C867" s="30"/>
      <c r="D867" s="30"/>
      <c r="E867" s="30"/>
      <c r="F867" s="32"/>
      <c r="G867" s="32"/>
      <c r="H867" s="42"/>
      <c r="I867" s="34"/>
      <c r="J867" s="35"/>
      <c r="K867" s="35"/>
      <c r="L867" s="34"/>
      <c r="M867" s="35"/>
      <c r="N867" s="36"/>
      <c r="O867" s="322"/>
      <c r="P867" s="38"/>
      <c r="Q867" s="38"/>
      <c r="R867" s="279"/>
      <c r="S867" s="40"/>
      <c r="T867" s="22"/>
      <c r="U867" s="41"/>
      <c r="V867" s="4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>
      <c r="B868" s="22"/>
      <c r="C868" s="30"/>
      <c r="D868" s="30"/>
      <c r="E868" s="30"/>
      <c r="F868" s="32"/>
      <c r="G868" s="32"/>
      <c r="H868" s="42"/>
      <c r="I868" s="34"/>
      <c r="J868" s="35"/>
      <c r="K868" s="35"/>
      <c r="L868" s="34"/>
      <c r="M868" s="35"/>
      <c r="N868" s="36"/>
      <c r="O868" s="322"/>
      <c r="P868" s="38"/>
      <c r="Q868" s="38"/>
      <c r="R868" s="279"/>
      <c r="S868" s="40"/>
      <c r="T868" s="22"/>
      <c r="U868" s="41"/>
      <c r="V868" s="4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>
      <c r="B869" s="22"/>
      <c r="C869" s="30"/>
      <c r="D869" s="30"/>
      <c r="E869" s="30"/>
      <c r="F869" s="32"/>
      <c r="G869" s="32"/>
      <c r="H869" s="42"/>
      <c r="I869" s="34"/>
      <c r="J869" s="35"/>
      <c r="K869" s="35"/>
      <c r="L869" s="34"/>
      <c r="M869" s="35"/>
      <c r="N869" s="36"/>
      <c r="O869" s="322"/>
      <c r="P869" s="38"/>
      <c r="Q869" s="38"/>
      <c r="R869" s="279"/>
      <c r="S869" s="40"/>
      <c r="T869" s="22"/>
      <c r="U869" s="41"/>
      <c r="V869" s="4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>
      <c r="B870" s="22"/>
      <c r="C870" s="30"/>
      <c r="D870" s="30"/>
      <c r="E870" s="30"/>
      <c r="F870" s="32"/>
      <c r="G870" s="32"/>
      <c r="H870" s="42"/>
      <c r="I870" s="34"/>
      <c r="J870" s="35"/>
      <c r="K870" s="35"/>
      <c r="L870" s="34"/>
      <c r="M870" s="35"/>
      <c r="N870" s="36"/>
      <c r="O870" s="322"/>
      <c r="P870" s="38"/>
      <c r="Q870" s="38"/>
      <c r="R870" s="279"/>
      <c r="S870" s="40"/>
      <c r="T870" s="22"/>
      <c r="U870" s="41"/>
      <c r="V870" s="4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>
      <c r="B871" s="22"/>
      <c r="C871" s="30"/>
      <c r="D871" s="30"/>
      <c r="E871" s="30"/>
      <c r="F871" s="32"/>
      <c r="G871" s="32"/>
      <c r="H871" s="42"/>
      <c r="I871" s="34"/>
      <c r="J871" s="35"/>
      <c r="K871" s="35"/>
      <c r="L871" s="34"/>
      <c r="M871" s="35"/>
      <c r="N871" s="36"/>
      <c r="O871" s="322"/>
      <c r="P871" s="38"/>
      <c r="Q871" s="38"/>
      <c r="R871" s="279"/>
      <c r="S871" s="40"/>
      <c r="T871" s="22"/>
      <c r="U871" s="41"/>
      <c r="V871" s="4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>
      <c r="B872" s="22"/>
      <c r="C872" s="30"/>
      <c r="D872" s="30"/>
      <c r="E872" s="30"/>
      <c r="F872" s="32"/>
      <c r="G872" s="32"/>
      <c r="H872" s="42"/>
      <c r="I872" s="34"/>
      <c r="J872" s="35"/>
      <c r="K872" s="35"/>
      <c r="L872" s="34"/>
      <c r="M872" s="35"/>
      <c r="N872" s="36"/>
      <c r="O872" s="322"/>
      <c r="P872" s="38"/>
      <c r="Q872" s="38"/>
      <c r="R872" s="279"/>
      <c r="S872" s="40"/>
      <c r="T872" s="22"/>
      <c r="U872" s="41"/>
      <c r="V872" s="4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>
      <c r="B873" s="22"/>
      <c r="C873" s="30"/>
      <c r="D873" s="30"/>
      <c r="E873" s="30"/>
      <c r="F873" s="32"/>
      <c r="G873" s="32"/>
      <c r="H873" s="42"/>
      <c r="I873" s="34"/>
      <c r="J873" s="35"/>
      <c r="K873" s="35"/>
      <c r="L873" s="34"/>
      <c r="M873" s="35"/>
      <c r="N873" s="36"/>
      <c r="O873" s="322"/>
      <c r="P873" s="38"/>
      <c r="Q873" s="38"/>
      <c r="R873" s="279"/>
      <c r="S873" s="40"/>
      <c r="T873" s="22"/>
      <c r="U873" s="41"/>
      <c r="V873" s="4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>
      <c r="B874" s="22"/>
      <c r="C874" s="30"/>
      <c r="D874" s="30"/>
      <c r="E874" s="30"/>
      <c r="F874" s="32"/>
      <c r="G874" s="32"/>
      <c r="H874" s="42"/>
      <c r="I874" s="34"/>
      <c r="J874" s="35"/>
      <c r="K874" s="35"/>
      <c r="L874" s="34"/>
      <c r="M874" s="35"/>
      <c r="N874" s="36"/>
      <c r="O874" s="322"/>
      <c r="P874" s="38"/>
      <c r="Q874" s="38"/>
      <c r="R874" s="279"/>
      <c r="S874" s="40"/>
      <c r="T874" s="22"/>
      <c r="U874" s="41"/>
      <c r="V874" s="4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>
      <c r="B875" s="22"/>
      <c r="C875" s="30"/>
      <c r="D875" s="30"/>
      <c r="E875" s="30"/>
      <c r="F875" s="32"/>
      <c r="G875" s="32"/>
      <c r="H875" s="42"/>
      <c r="I875" s="34"/>
      <c r="J875" s="35"/>
      <c r="K875" s="35"/>
      <c r="L875" s="34"/>
      <c r="M875" s="35"/>
      <c r="N875" s="36"/>
      <c r="O875" s="322"/>
      <c r="P875" s="38"/>
      <c r="Q875" s="38"/>
      <c r="R875" s="279"/>
      <c r="S875" s="40"/>
      <c r="T875" s="22"/>
      <c r="U875" s="41"/>
      <c r="V875" s="4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>
      <c r="B876" s="22"/>
      <c r="C876" s="30"/>
      <c r="D876" s="30"/>
      <c r="E876" s="30"/>
      <c r="F876" s="32"/>
      <c r="G876" s="32"/>
      <c r="H876" s="42"/>
      <c r="I876" s="34"/>
      <c r="J876" s="35"/>
      <c r="K876" s="35"/>
      <c r="L876" s="34"/>
      <c r="M876" s="35"/>
      <c r="N876" s="36"/>
      <c r="O876" s="322"/>
      <c r="P876" s="38"/>
      <c r="Q876" s="38"/>
      <c r="R876" s="279"/>
      <c r="S876" s="40"/>
      <c r="T876" s="22"/>
      <c r="U876" s="41"/>
      <c r="V876" s="4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>
      <c r="B877" s="22"/>
      <c r="C877" s="30"/>
      <c r="D877" s="30"/>
      <c r="E877" s="30"/>
      <c r="F877" s="32"/>
      <c r="G877" s="32"/>
      <c r="H877" s="42"/>
      <c r="I877" s="34"/>
      <c r="J877" s="35"/>
      <c r="K877" s="35"/>
      <c r="L877" s="34"/>
      <c r="M877" s="35"/>
      <c r="N877" s="36"/>
      <c r="O877" s="322"/>
      <c r="P877" s="38"/>
      <c r="Q877" s="38"/>
      <c r="R877" s="279"/>
      <c r="S877" s="40"/>
      <c r="T877" s="22"/>
      <c r="U877" s="41"/>
      <c r="V877" s="4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>
      <c r="B878" s="22"/>
      <c r="C878" s="30"/>
      <c r="D878" s="30"/>
      <c r="E878" s="30"/>
      <c r="F878" s="32"/>
      <c r="G878" s="32"/>
      <c r="H878" s="42"/>
      <c r="I878" s="34"/>
      <c r="J878" s="35"/>
      <c r="K878" s="35"/>
      <c r="L878" s="34"/>
      <c r="M878" s="35"/>
      <c r="N878" s="36"/>
      <c r="O878" s="322"/>
      <c r="P878" s="38"/>
      <c r="Q878" s="38"/>
      <c r="R878" s="279"/>
      <c r="S878" s="40"/>
      <c r="T878" s="22"/>
      <c r="U878" s="41"/>
      <c r="V878" s="4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>
      <c r="B879" s="22"/>
      <c r="C879" s="30"/>
      <c r="D879" s="30"/>
      <c r="E879" s="30"/>
      <c r="F879" s="32"/>
      <c r="G879" s="32"/>
      <c r="H879" s="42"/>
      <c r="I879" s="34"/>
      <c r="J879" s="35"/>
      <c r="K879" s="35"/>
      <c r="L879" s="34"/>
      <c r="M879" s="35"/>
      <c r="N879" s="36"/>
      <c r="O879" s="322"/>
      <c r="P879" s="38"/>
      <c r="Q879" s="38"/>
      <c r="R879" s="279"/>
      <c r="S879" s="40"/>
      <c r="T879" s="22"/>
      <c r="U879" s="41"/>
      <c r="V879" s="4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>
      <c r="B880" s="22"/>
      <c r="C880" s="30"/>
      <c r="D880" s="30"/>
      <c r="E880" s="30"/>
      <c r="F880" s="32"/>
      <c r="G880" s="32"/>
      <c r="H880" s="42"/>
      <c r="I880" s="34"/>
      <c r="J880" s="35"/>
      <c r="K880" s="35"/>
      <c r="L880" s="34"/>
      <c r="M880" s="35"/>
      <c r="N880" s="36"/>
      <c r="O880" s="322"/>
      <c r="P880" s="38"/>
      <c r="Q880" s="38"/>
      <c r="R880" s="279"/>
      <c r="S880" s="40"/>
      <c r="T880" s="22"/>
      <c r="U880" s="41"/>
      <c r="V880" s="4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>
      <c r="B881" s="22"/>
      <c r="C881" s="30"/>
      <c r="D881" s="30"/>
      <c r="E881" s="30"/>
      <c r="F881" s="32"/>
      <c r="G881" s="32"/>
      <c r="H881" s="42"/>
      <c r="I881" s="34"/>
      <c r="J881" s="35"/>
      <c r="K881" s="35"/>
      <c r="L881" s="34"/>
      <c r="M881" s="35"/>
      <c r="N881" s="36"/>
      <c r="O881" s="322"/>
      <c r="P881" s="38"/>
      <c r="Q881" s="38"/>
      <c r="R881" s="279"/>
      <c r="S881" s="40"/>
      <c r="T881" s="22"/>
      <c r="U881" s="41"/>
      <c r="V881" s="4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>
      <c r="B882" s="22"/>
      <c r="C882" s="30"/>
      <c r="D882" s="30"/>
      <c r="E882" s="30"/>
      <c r="F882" s="32"/>
      <c r="G882" s="32"/>
      <c r="H882" s="42"/>
      <c r="I882" s="34"/>
      <c r="J882" s="35"/>
      <c r="K882" s="35"/>
      <c r="L882" s="34"/>
      <c r="M882" s="35"/>
      <c r="N882" s="36"/>
      <c r="O882" s="322"/>
      <c r="P882" s="38"/>
      <c r="Q882" s="38"/>
      <c r="R882" s="279"/>
      <c r="S882" s="40"/>
      <c r="T882" s="22"/>
      <c r="U882" s="41"/>
      <c r="V882" s="4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>
      <c r="B883" s="22"/>
      <c r="C883" s="30"/>
      <c r="D883" s="30"/>
      <c r="E883" s="30"/>
      <c r="F883" s="32"/>
      <c r="G883" s="32"/>
      <c r="H883" s="42"/>
      <c r="I883" s="34"/>
      <c r="J883" s="35"/>
      <c r="K883" s="35"/>
      <c r="L883" s="34"/>
      <c r="M883" s="35"/>
      <c r="N883" s="36"/>
      <c r="O883" s="322"/>
      <c r="P883" s="38"/>
      <c r="Q883" s="38"/>
      <c r="R883" s="279"/>
      <c r="S883" s="40"/>
      <c r="T883" s="22"/>
      <c r="U883" s="41"/>
      <c r="V883" s="4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>
      <c r="B884" s="22"/>
      <c r="C884" s="30"/>
      <c r="D884" s="30"/>
      <c r="E884" s="30"/>
      <c r="F884" s="32"/>
      <c r="G884" s="32"/>
      <c r="H884" s="42"/>
      <c r="I884" s="34"/>
      <c r="J884" s="35"/>
      <c r="K884" s="35"/>
      <c r="L884" s="34"/>
      <c r="M884" s="35"/>
      <c r="N884" s="36"/>
      <c r="O884" s="322"/>
      <c r="P884" s="38"/>
      <c r="Q884" s="38"/>
      <c r="R884" s="279"/>
      <c r="S884" s="40"/>
      <c r="T884" s="22"/>
      <c r="U884" s="41"/>
      <c r="V884" s="4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>
      <c r="B885" s="22"/>
      <c r="C885" s="30"/>
      <c r="D885" s="30"/>
      <c r="E885" s="30"/>
      <c r="F885" s="32"/>
      <c r="G885" s="32"/>
      <c r="H885" s="42"/>
      <c r="I885" s="34"/>
      <c r="J885" s="35"/>
      <c r="K885" s="35"/>
      <c r="L885" s="34"/>
      <c r="M885" s="35"/>
      <c r="N885" s="36"/>
      <c r="O885" s="322"/>
      <c r="P885" s="38"/>
      <c r="Q885" s="38"/>
      <c r="R885" s="279"/>
      <c r="S885" s="40"/>
      <c r="T885" s="22"/>
      <c r="U885" s="41"/>
      <c r="V885" s="4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>
      <c r="B886" s="22"/>
      <c r="C886" s="30"/>
      <c r="D886" s="30"/>
      <c r="E886" s="30"/>
      <c r="F886" s="32"/>
      <c r="G886" s="32"/>
      <c r="H886" s="42"/>
      <c r="I886" s="34"/>
      <c r="J886" s="35"/>
      <c r="K886" s="35"/>
      <c r="L886" s="34"/>
      <c r="M886" s="35"/>
      <c r="N886" s="36"/>
      <c r="O886" s="322"/>
      <c r="P886" s="38"/>
      <c r="Q886" s="38"/>
      <c r="R886" s="279"/>
      <c r="S886" s="40"/>
      <c r="T886" s="22"/>
      <c r="U886" s="41"/>
      <c r="V886" s="4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>
      <c r="B887" s="22"/>
      <c r="C887" s="30"/>
      <c r="D887" s="30"/>
      <c r="E887" s="30"/>
      <c r="F887" s="32"/>
      <c r="G887" s="32"/>
      <c r="H887" s="42"/>
      <c r="I887" s="34"/>
      <c r="J887" s="35"/>
      <c r="K887" s="35"/>
      <c r="L887" s="34"/>
      <c r="M887" s="35"/>
      <c r="N887" s="36"/>
      <c r="O887" s="322"/>
      <c r="P887" s="38"/>
      <c r="Q887" s="38"/>
      <c r="R887" s="279"/>
      <c r="S887" s="40"/>
      <c r="T887" s="22"/>
      <c r="U887" s="41"/>
      <c r="V887" s="4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>
      <c r="B888" s="22"/>
      <c r="C888" s="30"/>
      <c r="D888" s="30"/>
      <c r="E888" s="30"/>
      <c r="F888" s="32"/>
      <c r="G888" s="32"/>
      <c r="H888" s="42"/>
      <c r="I888" s="34"/>
      <c r="J888" s="35"/>
      <c r="K888" s="35"/>
      <c r="L888" s="34"/>
      <c r="M888" s="35"/>
      <c r="N888" s="36"/>
      <c r="O888" s="322"/>
      <c r="P888" s="38"/>
      <c r="Q888" s="38"/>
      <c r="R888" s="279"/>
      <c r="S888" s="40"/>
      <c r="T888" s="22"/>
      <c r="U888" s="41"/>
      <c r="V888" s="4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>
      <c r="B889" s="22"/>
      <c r="C889" s="30"/>
      <c r="D889" s="30"/>
      <c r="E889" s="30"/>
      <c r="F889" s="32"/>
      <c r="G889" s="32"/>
      <c r="H889" s="42"/>
      <c r="I889" s="34"/>
      <c r="J889" s="35"/>
      <c r="K889" s="35"/>
      <c r="L889" s="34"/>
      <c r="M889" s="35"/>
      <c r="N889" s="36"/>
      <c r="O889" s="322"/>
      <c r="P889" s="38"/>
      <c r="Q889" s="38"/>
      <c r="R889" s="279"/>
      <c r="S889" s="40"/>
      <c r="T889" s="22"/>
      <c r="U889" s="41"/>
      <c r="V889" s="4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>
      <c r="B890" s="22"/>
      <c r="C890" s="30"/>
      <c r="D890" s="30"/>
      <c r="E890" s="30"/>
      <c r="F890" s="32"/>
      <c r="G890" s="32"/>
      <c r="H890" s="42"/>
      <c r="I890" s="34"/>
      <c r="J890" s="35"/>
      <c r="K890" s="35"/>
      <c r="L890" s="34"/>
      <c r="M890" s="35"/>
      <c r="N890" s="36"/>
      <c r="O890" s="322"/>
      <c r="P890" s="38"/>
      <c r="Q890" s="38"/>
      <c r="R890" s="279"/>
      <c r="S890" s="40"/>
      <c r="T890" s="22"/>
      <c r="U890" s="41"/>
      <c r="V890" s="4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>
      <c r="B891" s="22"/>
      <c r="C891" s="30"/>
      <c r="D891" s="30"/>
      <c r="E891" s="30"/>
      <c r="F891" s="32"/>
      <c r="G891" s="32"/>
      <c r="H891" s="42"/>
      <c r="I891" s="34"/>
      <c r="J891" s="35"/>
      <c r="K891" s="35"/>
      <c r="L891" s="34"/>
      <c r="M891" s="35"/>
      <c r="N891" s="36"/>
      <c r="O891" s="322"/>
      <c r="P891" s="38"/>
      <c r="Q891" s="38"/>
      <c r="R891" s="279"/>
      <c r="S891" s="40"/>
      <c r="T891" s="22"/>
      <c r="U891" s="41"/>
      <c r="V891" s="4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>
      <c r="B892" s="22"/>
      <c r="C892" s="30"/>
      <c r="D892" s="30"/>
      <c r="E892" s="30"/>
      <c r="F892" s="32"/>
      <c r="G892" s="32"/>
      <c r="H892" s="42"/>
      <c r="I892" s="34"/>
      <c r="J892" s="35"/>
      <c r="K892" s="35"/>
      <c r="L892" s="34"/>
      <c r="M892" s="35"/>
      <c r="N892" s="36"/>
      <c r="O892" s="322"/>
      <c r="P892" s="38"/>
      <c r="Q892" s="38"/>
      <c r="R892" s="279"/>
      <c r="S892" s="40"/>
      <c r="T892" s="22"/>
      <c r="U892" s="41"/>
      <c r="V892" s="4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>
      <c r="B893" s="22"/>
      <c r="C893" s="30"/>
      <c r="D893" s="30"/>
      <c r="E893" s="30"/>
      <c r="F893" s="32"/>
      <c r="G893" s="32"/>
      <c r="H893" s="42"/>
      <c r="I893" s="34"/>
      <c r="J893" s="35"/>
      <c r="K893" s="35"/>
      <c r="L893" s="34"/>
      <c r="M893" s="35"/>
      <c r="N893" s="36"/>
      <c r="O893" s="322"/>
      <c r="P893" s="38"/>
      <c r="Q893" s="38"/>
      <c r="R893" s="279"/>
      <c r="S893" s="40"/>
      <c r="T893" s="22"/>
      <c r="U893" s="41"/>
      <c r="V893" s="4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>
      <c r="B894" s="22"/>
      <c r="C894" s="30"/>
      <c r="D894" s="30"/>
      <c r="E894" s="30"/>
      <c r="F894" s="32"/>
      <c r="G894" s="32"/>
      <c r="H894" s="42"/>
      <c r="I894" s="34"/>
      <c r="J894" s="35"/>
      <c r="K894" s="35"/>
      <c r="L894" s="34"/>
      <c r="M894" s="35"/>
      <c r="N894" s="36"/>
      <c r="O894" s="322"/>
      <c r="P894" s="38"/>
      <c r="Q894" s="38"/>
      <c r="R894" s="279"/>
      <c r="S894" s="40"/>
      <c r="T894" s="22"/>
      <c r="U894" s="41"/>
      <c r="V894" s="4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>
      <c r="B895" s="22"/>
      <c r="C895" s="30"/>
      <c r="D895" s="30"/>
      <c r="E895" s="30"/>
      <c r="F895" s="32"/>
      <c r="G895" s="32"/>
      <c r="H895" s="42"/>
      <c r="I895" s="34"/>
      <c r="J895" s="35"/>
      <c r="K895" s="35"/>
      <c r="L895" s="34"/>
      <c r="M895" s="35"/>
      <c r="N895" s="36"/>
      <c r="O895" s="322"/>
      <c r="P895" s="38"/>
      <c r="Q895" s="38"/>
      <c r="R895" s="279"/>
      <c r="S895" s="40"/>
      <c r="T895" s="22"/>
      <c r="U895" s="41"/>
      <c r="V895" s="4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>
      <c r="B896" s="22"/>
      <c r="C896" s="30"/>
      <c r="D896" s="30"/>
      <c r="E896" s="30"/>
      <c r="F896" s="32"/>
      <c r="G896" s="32"/>
      <c r="H896" s="42"/>
      <c r="I896" s="34"/>
      <c r="J896" s="35"/>
      <c r="K896" s="35"/>
      <c r="L896" s="34"/>
      <c r="M896" s="35"/>
      <c r="N896" s="36"/>
      <c r="O896" s="322"/>
      <c r="P896" s="38"/>
      <c r="Q896" s="38"/>
      <c r="R896" s="279"/>
      <c r="S896" s="40"/>
      <c r="T896" s="22"/>
      <c r="U896" s="41"/>
      <c r="V896" s="4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>
      <c r="B897" s="22"/>
      <c r="C897" s="30"/>
      <c r="D897" s="30"/>
      <c r="E897" s="30"/>
      <c r="F897" s="32"/>
      <c r="G897" s="32"/>
      <c r="H897" s="42"/>
      <c r="I897" s="34"/>
      <c r="J897" s="35"/>
      <c r="K897" s="35"/>
      <c r="L897" s="34"/>
      <c r="M897" s="35"/>
      <c r="N897" s="36"/>
      <c r="O897" s="322"/>
      <c r="P897" s="38"/>
      <c r="Q897" s="38"/>
      <c r="R897" s="279"/>
      <c r="S897" s="40"/>
      <c r="T897" s="22"/>
      <c r="U897" s="41"/>
      <c r="V897" s="4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>
      <c r="B898" s="22"/>
      <c r="C898" s="30"/>
      <c r="D898" s="30"/>
      <c r="E898" s="30"/>
      <c r="F898" s="32"/>
      <c r="G898" s="32"/>
      <c r="H898" s="42"/>
      <c r="I898" s="34"/>
      <c r="J898" s="35"/>
      <c r="K898" s="35"/>
      <c r="L898" s="34"/>
      <c r="M898" s="35"/>
      <c r="N898" s="36"/>
      <c r="O898" s="322"/>
      <c r="P898" s="38"/>
      <c r="Q898" s="38"/>
      <c r="R898" s="279"/>
      <c r="S898" s="40"/>
      <c r="T898" s="22"/>
      <c r="U898" s="41"/>
      <c r="V898" s="4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>
      <c r="B899" s="22"/>
      <c r="C899" s="30"/>
      <c r="D899" s="30"/>
      <c r="E899" s="30"/>
      <c r="F899" s="32"/>
      <c r="G899" s="32"/>
      <c r="H899" s="42"/>
      <c r="I899" s="34"/>
      <c r="J899" s="35"/>
      <c r="K899" s="35"/>
      <c r="L899" s="34"/>
      <c r="M899" s="35"/>
      <c r="N899" s="36"/>
      <c r="O899" s="322"/>
      <c r="P899" s="38"/>
      <c r="Q899" s="38"/>
      <c r="R899" s="279"/>
      <c r="S899" s="40"/>
      <c r="T899" s="22"/>
      <c r="U899" s="41"/>
      <c r="V899" s="4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>
      <c r="B900" s="22"/>
      <c r="C900" s="30"/>
      <c r="D900" s="30"/>
      <c r="E900" s="30"/>
      <c r="F900" s="32"/>
      <c r="G900" s="32"/>
      <c r="H900" s="42"/>
      <c r="I900" s="34"/>
      <c r="J900" s="35"/>
      <c r="K900" s="35"/>
      <c r="L900" s="34"/>
      <c r="M900" s="35"/>
      <c r="N900" s="36"/>
      <c r="O900" s="322"/>
      <c r="P900" s="38"/>
      <c r="Q900" s="38"/>
      <c r="R900" s="279"/>
      <c r="S900" s="40"/>
      <c r="T900" s="22"/>
      <c r="U900" s="41"/>
      <c r="V900" s="4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>
      <c r="B901" s="22"/>
      <c r="C901" s="30"/>
      <c r="D901" s="30"/>
      <c r="E901" s="30"/>
      <c r="F901" s="32"/>
      <c r="G901" s="32"/>
      <c r="H901" s="42"/>
      <c r="I901" s="34"/>
      <c r="J901" s="35"/>
      <c r="K901" s="35"/>
      <c r="L901" s="34"/>
      <c r="M901" s="35"/>
      <c r="N901" s="36"/>
      <c r="O901" s="322"/>
      <c r="P901" s="38"/>
      <c r="Q901" s="38"/>
      <c r="R901" s="279"/>
      <c r="S901" s="40"/>
      <c r="T901" s="22"/>
      <c r="U901" s="41"/>
      <c r="V901" s="4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>
      <c r="B902" s="22"/>
      <c r="C902" s="30"/>
      <c r="D902" s="30"/>
      <c r="E902" s="30"/>
      <c r="F902" s="32"/>
      <c r="G902" s="32"/>
      <c r="H902" s="42"/>
      <c r="I902" s="34"/>
      <c r="J902" s="35"/>
      <c r="K902" s="35"/>
      <c r="L902" s="34"/>
      <c r="M902" s="35"/>
      <c r="N902" s="36"/>
      <c r="O902" s="322"/>
      <c r="P902" s="38"/>
      <c r="Q902" s="38"/>
      <c r="R902" s="279"/>
      <c r="S902" s="40"/>
      <c r="T902" s="22"/>
      <c r="U902" s="41"/>
      <c r="V902" s="4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>
      <c r="B903" s="22"/>
      <c r="C903" s="30"/>
      <c r="D903" s="30"/>
      <c r="E903" s="30"/>
      <c r="F903" s="32"/>
      <c r="G903" s="32"/>
      <c r="H903" s="42"/>
      <c r="I903" s="34"/>
      <c r="J903" s="35"/>
      <c r="K903" s="35"/>
      <c r="L903" s="34"/>
      <c r="M903" s="35"/>
      <c r="N903" s="36"/>
      <c r="O903" s="322"/>
      <c r="P903" s="38"/>
      <c r="Q903" s="38"/>
      <c r="R903" s="279"/>
      <c r="S903" s="40"/>
      <c r="T903" s="22"/>
      <c r="U903" s="41"/>
      <c r="V903" s="4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>
      <c r="B904" s="22"/>
      <c r="C904" s="30"/>
      <c r="D904" s="30"/>
      <c r="E904" s="30"/>
      <c r="F904" s="32"/>
      <c r="G904" s="32"/>
      <c r="H904" s="42"/>
      <c r="I904" s="34"/>
      <c r="J904" s="35"/>
      <c r="K904" s="35"/>
      <c r="L904" s="34"/>
      <c r="M904" s="35"/>
      <c r="N904" s="36"/>
      <c r="O904" s="322"/>
      <c r="P904" s="38"/>
      <c r="Q904" s="38"/>
      <c r="R904" s="279"/>
      <c r="S904" s="40"/>
      <c r="T904" s="22"/>
      <c r="U904" s="41"/>
      <c r="V904" s="4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>
      <c r="B905" s="22"/>
      <c r="C905" s="30"/>
      <c r="D905" s="30"/>
      <c r="E905" s="30"/>
      <c r="F905" s="32"/>
      <c r="G905" s="32"/>
      <c r="H905" s="42"/>
      <c r="I905" s="34"/>
      <c r="J905" s="35"/>
      <c r="K905" s="35"/>
      <c r="L905" s="34"/>
      <c r="M905" s="35"/>
      <c r="N905" s="36"/>
      <c r="O905" s="322"/>
      <c r="P905" s="38"/>
      <c r="Q905" s="38"/>
      <c r="R905" s="279"/>
      <c r="S905" s="40"/>
      <c r="T905" s="22"/>
      <c r="U905" s="41"/>
      <c r="V905" s="4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>
      <c r="B906" s="22"/>
      <c r="C906" s="30"/>
      <c r="D906" s="30"/>
      <c r="E906" s="30"/>
      <c r="F906" s="32"/>
      <c r="G906" s="32"/>
      <c r="H906" s="42"/>
      <c r="I906" s="34"/>
      <c r="J906" s="35"/>
      <c r="K906" s="35"/>
      <c r="L906" s="34"/>
      <c r="M906" s="35"/>
      <c r="N906" s="36"/>
      <c r="O906" s="322"/>
      <c r="P906" s="38"/>
      <c r="Q906" s="38"/>
      <c r="R906" s="279"/>
      <c r="S906" s="40"/>
      <c r="T906" s="22"/>
      <c r="U906" s="41"/>
      <c r="V906" s="4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>
      <c r="B907" s="22"/>
      <c r="C907" s="30"/>
      <c r="D907" s="30"/>
      <c r="E907" s="30"/>
      <c r="F907" s="32"/>
      <c r="G907" s="32"/>
      <c r="H907" s="42"/>
      <c r="I907" s="34"/>
      <c r="J907" s="35"/>
      <c r="K907" s="35"/>
      <c r="L907" s="34"/>
      <c r="M907" s="35"/>
      <c r="N907" s="36"/>
      <c r="O907" s="322"/>
      <c r="P907" s="38"/>
      <c r="Q907" s="38"/>
      <c r="R907" s="279"/>
      <c r="S907" s="40"/>
      <c r="T907" s="22"/>
      <c r="U907" s="41"/>
      <c r="V907" s="4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>
      <c r="B908" s="22"/>
      <c r="C908" s="30"/>
      <c r="D908" s="30"/>
      <c r="E908" s="30"/>
      <c r="F908" s="32"/>
      <c r="G908" s="32"/>
      <c r="H908" s="42"/>
      <c r="I908" s="34"/>
      <c r="J908" s="35"/>
      <c r="K908" s="35"/>
      <c r="L908" s="34"/>
      <c r="M908" s="35"/>
      <c r="N908" s="36"/>
      <c r="O908" s="322"/>
      <c r="P908" s="38"/>
      <c r="Q908" s="38"/>
      <c r="R908" s="279"/>
      <c r="S908" s="40"/>
      <c r="T908" s="22"/>
      <c r="U908" s="41"/>
      <c r="V908" s="4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>
      <c r="B909" s="22"/>
      <c r="C909" s="30"/>
      <c r="D909" s="30"/>
      <c r="E909" s="30"/>
      <c r="F909" s="32"/>
      <c r="G909" s="32"/>
      <c r="H909" s="42"/>
      <c r="I909" s="34"/>
      <c r="J909" s="35"/>
      <c r="K909" s="35"/>
      <c r="L909" s="34"/>
      <c r="M909" s="35"/>
      <c r="N909" s="36"/>
      <c r="O909" s="322"/>
      <c r="P909" s="38"/>
      <c r="Q909" s="38"/>
      <c r="R909" s="279"/>
      <c r="S909" s="40"/>
      <c r="T909" s="22"/>
      <c r="U909" s="41"/>
      <c r="V909" s="4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>
      <c r="B910" s="22"/>
      <c r="C910" s="30"/>
      <c r="D910" s="30"/>
      <c r="E910" s="30"/>
      <c r="F910" s="32"/>
      <c r="G910" s="32"/>
      <c r="H910" s="42"/>
      <c r="I910" s="34"/>
      <c r="J910" s="35"/>
      <c r="K910" s="35"/>
      <c r="L910" s="34"/>
      <c r="M910" s="35"/>
      <c r="N910" s="36"/>
      <c r="O910" s="322"/>
      <c r="P910" s="38"/>
      <c r="Q910" s="38"/>
      <c r="R910" s="279"/>
      <c r="S910" s="40"/>
      <c r="T910" s="22"/>
      <c r="U910" s="41"/>
      <c r="V910" s="4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>
      <c r="B911" s="22"/>
      <c r="C911" s="30"/>
      <c r="D911" s="30"/>
      <c r="E911" s="30"/>
      <c r="F911" s="32"/>
      <c r="G911" s="32"/>
      <c r="H911" s="42"/>
      <c r="I911" s="34"/>
      <c r="J911" s="35"/>
      <c r="K911" s="35"/>
      <c r="L911" s="34"/>
      <c r="M911" s="35"/>
      <c r="N911" s="36"/>
      <c r="O911" s="322"/>
      <c r="P911" s="38"/>
      <c r="Q911" s="38"/>
      <c r="R911" s="279"/>
      <c r="S911" s="40"/>
      <c r="T911" s="22"/>
      <c r="U911" s="41"/>
      <c r="V911" s="4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>
      <c r="B912" s="22"/>
      <c r="C912" s="30"/>
      <c r="D912" s="30"/>
      <c r="E912" s="30"/>
      <c r="F912" s="32"/>
      <c r="G912" s="32"/>
      <c r="H912" s="42"/>
      <c r="I912" s="34"/>
      <c r="J912" s="35"/>
      <c r="K912" s="35"/>
      <c r="L912" s="34"/>
      <c r="M912" s="35"/>
      <c r="N912" s="36"/>
      <c r="O912" s="322"/>
      <c r="P912" s="38"/>
      <c r="Q912" s="38"/>
      <c r="R912" s="279"/>
      <c r="S912" s="40"/>
      <c r="T912" s="22"/>
      <c r="U912" s="41"/>
      <c r="V912" s="4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>
      <c r="B913" s="22"/>
      <c r="C913" s="30"/>
      <c r="D913" s="30"/>
      <c r="E913" s="30"/>
      <c r="F913" s="32"/>
      <c r="G913" s="32"/>
      <c r="H913" s="42"/>
      <c r="I913" s="34"/>
      <c r="J913" s="35"/>
      <c r="K913" s="35"/>
      <c r="L913" s="34"/>
      <c r="M913" s="35"/>
      <c r="N913" s="36"/>
      <c r="O913" s="322"/>
      <c r="P913" s="38"/>
      <c r="Q913" s="38"/>
      <c r="R913" s="279"/>
      <c r="S913" s="40"/>
      <c r="T913" s="22"/>
      <c r="U913" s="41"/>
      <c r="V913" s="4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>
      <c r="B914" s="22"/>
      <c r="C914" s="30"/>
      <c r="D914" s="30"/>
      <c r="E914" s="30"/>
      <c r="F914" s="32"/>
      <c r="G914" s="32"/>
      <c r="H914" s="42"/>
      <c r="I914" s="34"/>
      <c r="J914" s="35"/>
      <c r="K914" s="35"/>
      <c r="L914" s="34"/>
      <c r="M914" s="35"/>
      <c r="N914" s="36"/>
      <c r="O914" s="322"/>
      <c r="P914" s="38"/>
      <c r="Q914" s="38"/>
      <c r="R914" s="279"/>
      <c r="S914" s="40"/>
      <c r="T914" s="22"/>
      <c r="U914" s="41"/>
      <c r="V914" s="4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>
      <c r="B915" s="22"/>
      <c r="C915" s="30"/>
      <c r="D915" s="30"/>
      <c r="E915" s="30"/>
      <c r="F915" s="32"/>
      <c r="G915" s="32"/>
      <c r="H915" s="42"/>
      <c r="I915" s="34"/>
      <c r="J915" s="35"/>
      <c r="K915" s="35"/>
      <c r="L915" s="34"/>
      <c r="M915" s="35"/>
      <c r="N915" s="36"/>
      <c r="O915" s="322"/>
      <c r="P915" s="38"/>
      <c r="Q915" s="38"/>
      <c r="R915" s="279"/>
      <c r="S915" s="40"/>
      <c r="T915" s="22"/>
      <c r="U915" s="41"/>
      <c r="V915" s="4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>
      <c r="B916" s="22"/>
      <c r="C916" s="30"/>
      <c r="D916" s="30"/>
      <c r="E916" s="30"/>
      <c r="F916" s="32"/>
      <c r="G916" s="32"/>
      <c r="H916" s="42"/>
      <c r="I916" s="34"/>
      <c r="J916" s="35"/>
      <c r="K916" s="35"/>
      <c r="L916" s="34"/>
      <c r="M916" s="35"/>
      <c r="N916" s="36"/>
      <c r="O916" s="322"/>
      <c r="P916" s="38"/>
      <c r="Q916" s="38"/>
      <c r="R916" s="279"/>
      <c r="S916" s="40"/>
      <c r="T916" s="22"/>
      <c r="U916" s="41"/>
      <c r="V916" s="4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>
      <c r="B917" s="22"/>
      <c r="C917" s="30"/>
      <c r="D917" s="30"/>
      <c r="E917" s="30"/>
      <c r="F917" s="32"/>
      <c r="G917" s="32"/>
      <c r="H917" s="42"/>
      <c r="I917" s="34"/>
      <c r="J917" s="35"/>
      <c r="K917" s="35"/>
      <c r="L917" s="34"/>
      <c r="M917" s="35"/>
      <c r="N917" s="36"/>
      <c r="O917" s="322"/>
      <c r="P917" s="38"/>
      <c r="Q917" s="38"/>
      <c r="R917" s="279"/>
      <c r="S917" s="40"/>
      <c r="T917" s="22"/>
      <c r="U917" s="41"/>
      <c r="V917" s="4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>
      <c r="B918" s="22"/>
      <c r="C918" s="30"/>
      <c r="D918" s="30"/>
      <c r="E918" s="30"/>
      <c r="F918" s="32"/>
      <c r="G918" s="32"/>
      <c r="H918" s="42"/>
      <c r="I918" s="34"/>
      <c r="J918" s="35"/>
      <c r="K918" s="35"/>
      <c r="L918" s="34"/>
      <c r="M918" s="35"/>
      <c r="N918" s="36"/>
      <c r="O918" s="322"/>
      <c r="P918" s="38"/>
      <c r="Q918" s="38"/>
      <c r="R918" s="279"/>
      <c r="S918" s="40"/>
      <c r="T918" s="22"/>
      <c r="U918" s="41"/>
      <c r="V918" s="4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>
      <c r="B919" s="22"/>
      <c r="C919" s="30"/>
      <c r="D919" s="30"/>
      <c r="E919" s="30"/>
      <c r="F919" s="32"/>
      <c r="G919" s="32"/>
      <c r="H919" s="42"/>
      <c r="I919" s="34"/>
      <c r="J919" s="35"/>
      <c r="K919" s="35"/>
      <c r="L919" s="34"/>
      <c r="M919" s="35"/>
      <c r="N919" s="36"/>
      <c r="O919" s="322"/>
      <c r="P919" s="38"/>
      <c r="Q919" s="38"/>
      <c r="R919" s="279"/>
      <c r="S919" s="40"/>
      <c r="T919" s="22"/>
      <c r="U919" s="41"/>
      <c r="V919" s="4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>
      <c r="B920" s="22"/>
      <c r="C920" s="30"/>
      <c r="D920" s="30"/>
      <c r="E920" s="30"/>
      <c r="F920" s="32"/>
      <c r="G920" s="32"/>
      <c r="H920" s="42"/>
      <c r="I920" s="34"/>
      <c r="J920" s="35"/>
      <c r="K920" s="35"/>
      <c r="L920" s="34"/>
      <c r="M920" s="35"/>
      <c r="N920" s="36"/>
      <c r="O920" s="322"/>
      <c r="P920" s="38"/>
      <c r="Q920" s="38"/>
      <c r="R920" s="279"/>
      <c r="S920" s="40"/>
      <c r="T920" s="22"/>
      <c r="U920" s="41"/>
      <c r="V920" s="4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>
      <c r="B921" s="22"/>
      <c r="C921" s="30"/>
      <c r="D921" s="30"/>
      <c r="E921" s="30"/>
      <c r="F921" s="32"/>
      <c r="G921" s="32"/>
      <c r="H921" s="42"/>
      <c r="I921" s="34"/>
      <c r="J921" s="35"/>
      <c r="K921" s="35"/>
      <c r="L921" s="34"/>
      <c r="M921" s="35"/>
      <c r="N921" s="36"/>
      <c r="O921" s="322"/>
      <c r="P921" s="38"/>
      <c r="Q921" s="38"/>
      <c r="R921" s="279"/>
      <c r="S921" s="40"/>
      <c r="T921" s="22"/>
      <c r="U921" s="41"/>
      <c r="V921" s="4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>
      <c r="B922" s="22"/>
      <c r="C922" s="30"/>
      <c r="D922" s="30"/>
      <c r="E922" s="30"/>
      <c r="F922" s="32"/>
      <c r="G922" s="32"/>
      <c r="H922" s="42"/>
      <c r="I922" s="34"/>
      <c r="J922" s="35"/>
      <c r="K922" s="35"/>
      <c r="L922" s="34"/>
      <c r="M922" s="35"/>
      <c r="N922" s="36"/>
      <c r="O922" s="322"/>
      <c r="P922" s="38"/>
      <c r="Q922" s="38"/>
      <c r="R922" s="279"/>
      <c r="S922" s="40"/>
      <c r="T922" s="22"/>
      <c r="U922" s="41"/>
      <c r="V922" s="4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>
      <c r="B923" s="22"/>
      <c r="C923" s="30"/>
      <c r="D923" s="30"/>
      <c r="E923" s="30"/>
      <c r="F923" s="32"/>
      <c r="G923" s="32"/>
      <c r="H923" s="42"/>
      <c r="I923" s="34"/>
      <c r="J923" s="35"/>
      <c r="K923" s="35"/>
      <c r="L923" s="34"/>
      <c r="M923" s="35"/>
      <c r="N923" s="36"/>
      <c r="O923" s="322"/>
      <c r="P923" s="38"/>
      <c r="Q923" s="38"/>
      <c r="R923" s="279"/>
      <c r="S923" s="40"/>
      <c r="T923" s="22"/>
      <c r="U923" s="41"/>
      <c r="V923" s="4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>
      <c r="B924" s="22"/>
      <c r="C924" s="30"/>
      <c r="D924" s="30"/>
      <c r="E924" s="30"/>
      <c r="F924" s="32"/>
      <c r="G924" s="32"/>
      <c r="H924" s="42"/>
      <c r="I924" s="34"/>
      <c r="J924" s="35"/>
      <c r="K924" s="35"/>
      <c r="L924" s="34"/>
      <c r="M924" s="35"/>
      <c r="N924" s="36"/>
      <c r="O924" s="322"/>
      <c r="P924" s="38"/>
      <c r="Q924" s="38"/>
      <c r="R924" s="279"/>
      <c r="S924" s="40"/>
      <c r="T924" s="22"/>
      <c r="U924" s="41"/>
      <c r="V924" s="4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>
      <c r="B925" s="22"/>
      <c r="C925" s="30"/>
      <c r="D925" s="30"/>
      <c r="E925" s="30"/>
      <c r="F925" s="32"/>
      <c r="G925" s="32"/>
      <c r="H925" s="42"/>
      <c r="I925" s="34"/>
      <c r="J925" s="35"/>
      <c r="K925" s="35"/>
      <c r="L925" s="34"/>
      <c r="M925" s="35"/>
      <c r="N925" s="36"/>
      <c r="O925" s="322"/>
      <c r="P925" s="38"/>
      <c r="Q925" s="38"/>
      <c r="R925" s="279"/>
      <c r="S925" s="40"/>
      <c r="T925" s="22"/>
      <c r="U925" s="41"/>
      <c r="V925" s="4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>
      <c r="B926" s="22"/>
      <c r="C926" s="30"/>
      <c r="D926" s="30"/>
      <c r="E926" s="30"/>
      <c r="F926" s="32"/>
      <c r="G926" s="32"/>
      <c r="H926" s="42"/>
      <c r="I926" s="34"/>
      <c r="J926" s="35"/>
      <c r="K926" s="35"/>
      <c r="L926" s="34"/>
      <c r="M926" s="35"/>
      <c r="N926" s="36"/>
      <c r="O926" s="322"/>
      <c r="P926" s="38"/>
      <c r="Q926" s="38"/>
      <c r="R926" s="279"/>
      <c r="S926" s="40"/>
      <c r="T926" s="22"/>
      <c r="U926" s="41"/>
      <c r="V926" s="4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>
      <c r="B927" s="22"/>
      <c r="C927" s="30"/>
      <c r="D927" s="30"/>
      <c r="E927" s="30"/>
      <c r="F927" s="32"/>
      <c r="G927" s="32"/>
      <c r="H927" s="42"/>
      <c r="I927" s="34"/>
      <c r="J927" s="35"/>
      <c r="K927" s="35"/>
      <c r="L927" s="34"/>
      <c r="M927" s="35"/>
      <c r="N927" s="36"/>
      <c r="O927" s="322"/>
      <c r="P927" s="38"/>
      <c r="Q927" s="38"/>
      <c r="R927" s="279"/>
      <c r="S927" s="40"/>
      <c r="T927" s="22"/>
      <c r="U927" s="41"/>
      <c r="V927" s="4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>
      <c r="B928" s="22"/>
      <c r="C928" s="30"/>
      <c r="D928" s="30"/>
      <c r="E928" s="30"/>
      <c r="F928" s="32"/>
      <c r="G928" s="32"/>
      <c r="H928" s="42"/>
      <c r="I928" s="34"/>
      <c r="J928" s="35"/>
      <c r="K928" s="35"/>
      <c r="L928" s="34"/>
      <c r="M928" s="35"/>
      <c r="N928" s="36"/>
      <c r="O928" s="322"/>
      <c r="P928" s="38"/>
      <c r="Q928" s="38"/>
      <c r="R928" s="279"/>
      <c r="S928" s="40"/>
      <c r="T928" s="22"/>
      <c r="U928" s="41"/>
      <c r="V928" s="4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>
      <c r="B929" s="22"/>
      <c r="C929" s="30"/>
      <c r="D929" s="30"/>
      <c r="E929" s="30"/>
      <c r="F929" s="32"/>
      <c r="G929" s="32"/>
      <c r="H929" s="42"/>
      <c r="I929" s="34"/>
      <c r="J929" s="35"/>
      <c r="K929" s="35"/>
      <c r="L929" s="34"/>
      <c r="M929" s="35"/>
      <c r="N929" s="36"/>
      <c r="O929" s="322"/>
      <c r="P929" s="38"/>
      <c r="Q929" s="38"/>
      <c r="R929" s="279"/>
      <c r="S929" s="40"/>
      <c r="T929" s="22"/>
      <c r="U929" s="41"/>
      <c r="V929" s="4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>
      <c r="B930" s="22"/>
      <c r="C930" s="30"/>
      <c r="D930" s="30"/>
      <c r="E930" s="30"/>
      <c r="F930" s="32"/>
      <c r="G930" s="32"/>
      <c r="H930" s="42"/>
      <c r="I930" s="34"/>
      <c r="J930" s="35"/>
      <c r="K930" s="35"/>
      <c r="L930" s="34"/>
      <c r="M930" s="35"/>
      <c r="N930" s="36"/>
      <c r="O930" s="322"/>
      <c r="P930" s="38"/>
      <c r="Q930" s="38"/>
      <c r="R930" s="279"/>
      <c r="S930" s="40"/>
      <c r="T930" s="22"/>
      <c r="U930" s="41"/>
      <c r="V930" s="4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>
      <c r="B931" s="22"/>
      <c r="C931" s="30"/>
      <c r="D931" s="30"/>
      <c r="E931" s="30"/>
      <c r="F931" s="32"/>
      <c r="G931" s="32"/>
      <c r="H931" s="42"/>
      <c r="I931" s="34"/>
      <c r="J931" s="35"/>
      <c r="K931" s="35"/>
      <c r="L931" s="34"/>
      <c r="M931" s="35"/>
      <c r="N931" s="36"/>
      <c r="O931" s="322"/>
      <c r="P931" s="38"/>
      <c r="Q931" s="38"/>
      <c r="R931" s="279"/>
      <c r="S931" s="40"/>
      <c r="T931" s="22"/>
      <c r="U931" s="41"/>
      <c r="V931" s="4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>
      <c r="B932" s="22"/>
      <c r="C932" s="30"/>
      <c r="D932" s="30"/>
      <c r="E932" s="30"/>
      <c r="F932" s="32"/>
      <c r="G932" s="32"/>
      <c r="H932" s="42"/>
      <c r="I932" s="34"/>
      <c r="J932" s="35"/>
      <c r="K932" s="35"/>
      <c r="L932" s="34"/>
      <c r="M932" s="35"/>
      <c r="N932" s="36"/>
      <c r="O932" s="322"/>
      <c r="P932" s="38"/>
      <c r="Q932" s="38"/>
      <c r="R932" s="279"/>
      <c r="S932" s="40"/>
      <c r="T932" s="22"/>
      <c r="U932" s="41"/>
      <c r="V932" s="4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>
      <c r="B933" s="22"/>
      <c r="C933" s="30"/>
      <c r="D933" s="30"/>
      <c r="E933" s="30"/>
      <c r="F933" s="32"/>
      <c r="G933" s="32"/>
      <c r="H933" s="42"/>
      <c r="I933" s="34"/>
      <c r="J933" s="35"/>
      <c r="K933" s="35"/>
      <c r="L933" s="34"/>
      <c r="M933" s="35"/>
      <c r="N933" s="36"/>
      <c r="O933" s="322"/>
      <c r="P933" s="38"/>
      <c r="Q933" s="38"/>
      <c r="R933" s="279"/>
      <c r="S933" s="40"/>
      <c r="T933" s="22"/>
      <c r="U933" s="41"/>
      <c r="V933" s="4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>
      <c r="B934" s="22"/>
      <c r="C934" s="30"/>
      <c r="D934" s="30"/>
      <c r="E934" s="30"/>
      <c r="F934" s="32"/>
      <c r="G934" s="32"/>
      <c r="H934" s="42"/>
      <c r="I934" s="34"/>
      <c r="J934" s="35"/>
      <c r="K934" s="35"/>
      <c r="L934" s="34"/>
      <c r="M934" s="35"/>
      <c r="N934" s="36"/>
      <c r="O934" s="322"/>
      <c r="P934" s="38"/>
      <c r="Q934" s="38"/>
      <c r="R934" s="279"/>
      <c r="S934" s="40"/>
      <c r="T934" s="22"/>
      <c r="U934" s="41"/>
      <c r="V934" s="4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>
      <c r="B935" s="22"/>
      <c r="C935" s="30"/>
      <c r="D935" s="30"/>
      <c r="E935" s="30"/>
      <c r="F935" s="32"/>
      <c r="G935" s="32"/>
      <c r="H935" s="42"/>
      <c r="I935" s="34"/>
      <c r="J935" s="35"/>
      <c r="K935" s="35"/>
      <c r="L935" s="34"/>
      <c r="M935" s="35"/>
      <c r="N935" s="36"/>
      <c r="O935" s="322"/>
      <c r="P935" s="38"/>
      <c r="Q935" s="38"/>
      <c r="R935" s="279"/>
      <c r="S935" s="40"/>
      <c r="T935" s="22"/>
      <c r="U935" s="41"/>
      <c r="V935" s="4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>
      <c r="B936" s="22"/>
      <c r="C936" s="30"/>
      <c r="D936" s="30"/>
      <c r="E936" s="30"/>
      <c r="F936" s="32"/>
      <c r="G936" s="32"/>
      <c r="H936" s="42"/>
      <c r="I936" s="34"/>
      <c r="J936" s="35"/>
      <c r="K936" s="35"/>
      <c r="L936" s="34"/>
      <c r="M936" s="35"/>
      <c r="N936" s="36"/>
      <c r="O936" s="322"/>
      <c r="P936" s="38"/>
      <c r="Q936" s="38"/>
      <c r="R936" s="279"/>
      <c r="S936" s="40"/>
      <c r="T936" s="22"/>
      <c r="U936" s="41"/>
      <c r="V936" s="4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>
      <c r="B937" s="22"/>
      <c r="C937" s="30"/>
      <c r="D937" s="30"/>
      <c r="E937" s="30"/>
      <c r="F937" s="32"/>
      <c r="G937" s="32"/>
      <c r="H937" s="42"/>
      <c r="I937" s="34"/>
      <c r="J937" s="35"/>
      <c r="K937" s="35"/>
      <c r="L937" s="34"/>
      <c r="M937" s="35"/>
      <c r="N937" s="36"/>
      <c r="O937" s="322"/>
      <c r="P937" s="38"/>
      <c r="Q937" s="38"/>
      <c r="R937" s="279"/>
      <c r="S937" s="40"/>
      <c r="T937" s="22"/>
      <c r="U937" s="41"/>
      <c r="V937" s="4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>
      <c r="B938" s="22"/>
      <c r="C938" s="30"/>
      <c r="D938" s="30"/>
      <c r="E938" s="30"/>
      <c r="F938" s="32"/>
      <c r="G938" s="32"/>
      <c r="H938" s="42"/>
      <c r="I938" s="34"/>
      <c r="J938" s="35"/>
      <c r="K938" s="35"/>
      <c r="L938" s="34"/>
      <c r="M938" s="35"/>
      <c r="N938" s="36"/>
      <c r="O938" s="322"/>
      <c r="P938" s="38"/>
      <c r="Q938" s="38"/>
      <c r="R938" s="279"/>
      <c r="S938" s="40"/>
      <c r="T938" s="22"/>
      <c r="U938" s="41"/>
      <c r="V938" s="4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>
      <c r="B939" s="22"/>
      <c r="C939" s="30"/>
      <c r="D939" s="30"/>
      <c r="E939" s="30"/>
      <c r="F939" s="32"/>
      <c r="G939" s="32"/>
      <c r="H939" s="42"/>
      <c r="I939" s="34"/>
      <c r="J939" s="35"/>
      <c r="K939" s="35"/>
      <c r="L939" s="34"/>
      <c r="M939" s="35"/>
      <c r="N939" s="36"/>
      <c r="O939" s="322"/>
      <c r="P939" s="38"/>
      <c r="Q939" s="38"/>
      <c r="R939" s="279"/>
      <c r="S939" s="40"/>
      <c r="T939" s="22"/>
      <c r="U939" s="41"/>
      <c r="V939" s="4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>
      <c r="B940" s="22"/>
      <c r="C940" s="30"/>
      <c r="D940" s="30"/>
      <c r="E940" s="30"/>
      <c r="F940" s="32"/>
      <c r="G940" s="32"/>
      <c r="H940" s="42"/>
      <c r="I940" s="34"/>
      <c r="J940" s="35"/>
      <c r="K940" s="35"/>
      <c r="L940" s="34"/>
      <c r="M940" s="35"/>
      <c r="N940" s="36"/>
      <c r="O940" s="322"/>
      <c r="P940" s="38"/>
      <c r="Q940" s="38"/>
      <c r="R940" s="279"/>
      <c r="S940" s="40"/>
      <c r="T940" s="22"/>
      <c r="U940" s="41"/>
      <c r="V940" s="4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>
      <c r="B941" s="22"/>
      <c r="C941" s="30"/>
      <c r="D941" s="30"/>
      <c r="E941" s="30"/>
      <c r="F941" s="32"/>
      <c r="G941" s="32"/>
      <c r="H941" s="42"/>
      <c r="I941" s="34"/>
      <c r="J941" s="35"/>
      <c r="K941" s="35"/>
      <c r="L941" s="34"/>
      <c r="M941" s="35"/>
      <c r="N941" s="36"/>
      <c r="O941" s="322"/>
      <c r="P941" s="38"/>
      <c r="Q941" s="38"/>
      <c r="R941" s="279"/>
      <c r="S941" s="40"/>
      <c r="T941" s="22"/>
      <c r="U941" s="41"/>
      <c r="V941" s="4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>
      <c r="B942" s="22"/>
      <c r="C942" s="30"/>
      <c r="D942" s="30"/>
      <c r="E942" s="30"/>
      <c r="F942" s="32"/>
      <c r="G942" s="32"/>
      <c r="H942" s="42"/>
      <c r="I942" s="34"/>
      <c r="J942" s="35"/>
      <c r="K942" s="35"/>
      <c r="L942" s="34"/>
      <c r="M942" s="35"/>
      <c r="N942" s="36"/>
      <c r="O942" s="322"/>
      <c r="P942" s="38"/>
      <c r="Q942" s="38"/>
      <c r="R942" s="279"/>
      <c r="S942" s="40"/>
      <c r="T942" s="22"/>
      <c r="U942" s="41"/>
      <c r="V942" s="4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>
      <c r="B943" s="22"/>
      <c r="C943" s="30"/>
      <c r="D943" s="30"/>
      <c r="E943" s="30"/>
      <c r="F943" s="32"/>
      <c r="G943" s="32"/>
      <c r="H943" s="42"/>
      <c r="I943" s="34"/>
      <c r="J943" s="35"/>
      <c r="K943" s="35"/>
      <c r="L943" s="34"/>
      <c r="M943" s="35"/>
      <c r="N943" s="36"/>
      <c r="O943" s="322"/>
      <c r="P943" s="38"/>
      <c r="Q943" s="38"/>
      <c r="R943" s="279"/>
      <c r="S943" s="40"/>
      <c r="T943" s="22"/>
      <c r="U943" s="41"/>
      <c r="V943" s="4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>
      <c r="B944" s="22"/>
      <c r="C944" s="30"/>
      <c r="D944" s="30"/>
      <c r="E944" s="30"/>
      <c r="F944" s="32"/>
      <c r="G944" s="32"/>
      <c r="H944" s="42"/>
      <c r="I944" s="34"/>
      <c r="J944" s="35"/>
      <c r="K944" s="35"/>
      <c r="L944" s="34"/>
      <c r="M944" s="35"/>
      <c r="N944" s="36"/>
      <c r="O944" s="322"/>
      <c r="P944" s="38"/>
      <c r="Q944" s="38"/>
      <c r="R944" s="279"/>
      <c r="S944" s="40"/>
      <c r="T944" s="22"/>
      <c r="U944" s="41"/>
      <c r="V944" s="4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>
      <c r="B945" s="22"/>
      <c r="C945" s="30"/>
      <c r="D945" s="30"/>
      <c r="E945" s="30"/>
      <c r="F945" s="32"/>
      <c r="G945" s="32"/>
      <c r="H945" s="42"/>
      <c r="I945" s="34"/>
      <c r="J945" s="35"/>
      <c r="K945" s="35"/>
      <c r="L945" s="34"/>
      <c r="M945" s="35"/>
      <c r="N945" s="36"/>
      <c r="O945" s="322"/>
      <c r="P945" s="38"/>
      <c r="Q945" s="38"/>
      <c r="R945" s="279"/>
      <c r="S945" s="40"/>
      <c r="T945" s="22"/>
      <c r="U945" s="41"/>
      <c r="V945" s="4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>
      <c r="B946" s="22"/>
      <c r="C946" s="30"/>
      <c r="D946" s="30"/>
      <c r="E946" s="30"/>
      <c r="F946" s="32"/>
      <c r="G946" s="32"/>
      <c r="H946" s="42"/>
      <c r="I946" s="34"/>
      <c r="J946" s="35"/>
      <c r="K946" s="35"/>
      <c r="L946" s="34"/>
      <c r="M946" s="35"/>
      <c r="N946" s="36"/>
      <c r="O946" s="322"/>
      <c r="P946" s="38"/>
      <c r="Q946" s="38"/>
      <c r="R946" s="279"/>
      <c r="S946" s="40"/>
      <c r="T946" s="22"/>
      <c r="U946" s="41"/>
      <c r="V946" s="4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>
      <c r="B947" s="22"/>
      <c r="C947" s="30"/>
      <c r="D947" s="30"/>
      <c r="E947" s="30"/>
      <c r="F947" s="32"/>
      <c r="G947" s="32"/>
      <c r="H947" s="42"/>
      <c r="I947" s="34"/>
      <c r="J947" s="35"/>
      <c r="K947" s="35"/>
      <c r="L947" s="34"/>
      <c r="M947" s="35"/>
      <c r="N947" s="36"/>
      <c r="O947" s="322"/>
      <c r="P947" s="38"/>
      <c r="Q947" s="38"/>
      <c r="R947" s="279"/>
      <c r="S947" s="40"/>
      <c r="T947" s="22"/>
      <c r="U947" s="41"/>
      <c r="V947" s="4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>
      <c r="B948" s="22"/>
      <c r="C948" s="30"/>
      <c r="D948" s="30"/>
      <c r="E948" s="30"/>
      <c r="F948" s="32"/>
      <c r="G948" s="32"/>
      <c r="H948" s="42"/>
      <c r="I948" s="34"/>
      <c r="J948" s="35"/>
      <c r="K948" s="35"/>
      <c r="L948" s="34"/>
      <c r="M948" s="35"/>
      <c r="N948" s="36"/>
      <c r="O948" s="322"/>
      <c r="P948" s="38"/>
      <c r="Q948" s="38"/>
      <c r="R948" s="279"/>
      <c r="S948" s="40"/>
      <c r="T948" s="22"/>
      <c r="U948" s="41"/>
      <c r="V948" s="4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>
      <c r="B949" s="22"/>
      <c r="C949" s="30"/>
      <c r="D949" s="30"/>
      <c r="E949" s="30"/>
      <c r="F949" s="32"/>
      <c r="G949" s="32"/>
      <c r="H949" s="42"/>
      <c r="I949" s="34"/>
      <c r="J949" s="35"/>
      <c r="K949" s="35"/>
      <c r="L949" s="34"/>
      <c r="M949" s="35"/>
      <c r="N949" s="36"/>
      <c r="O949" s="322"/>
      <c r="P949" s="38"/>
      <c r="Q949" s="38"/>
      <c r="R949" s="279"/>
      <c r="S949" s="40"/>
      <c r="T949" s="22"/>
      <c r="U949" s="41"/>
      <c r="V949" s="4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>
      <c r="B950" s="22"/>
      <c r="C950" s="30"/>
      <c r="D950" s="30"/>
      <c r="E950" s="30"/>
      <c r="F950" s="32"/>
      <c r="G950" s="32"/>
      <c r="H950" s="42"/>
      <c r="I950" s="34"/>
      <c r="J950" s="35"/>
      <c r="K950" s="35"/>
      <c r="L950" s="34"/>
      <c r="M950" s="35"/>
      <c r="N950" s="36"/>
      <c r="O950" s="322"/>
      <c r="P950" s="38"/>
      <c r="Q950" s="38"/>
      <c r="R950" s="279"/>
      <c r="S950" s="40"/>
      <c r="T950" s="22"/>
      <c r="U950" s="41"/>
      <c r="V950" s="4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>
      <c r="B951" s="22"/>
      <c r="C951" s="30"/>
      <c r="D951" s="30"/>
      <c r="E951" s="30"/>
      <c r="F951" s="32"/>
      <c r="G951" s="32"/>
      <c r="H951" s="42"/>
      <c r="I951" s="34"/>
      <c r="J951" s="35"/>
      <c r="K951" s="35"/>
      <c r="L951" s="34"/>
      <c r="M951" s="35"/>
      <c r="N951" s="36"/>
      <c r="O951" s="322"/>
      <c r="P951" s="38"/>
      <c r="Q951" s="38"/>
      <c r="R951" s="279"/>
      <c r="S951" s="40"/>
      <c r="T951" s="22"/>
      <c r="U951" s="41"/>
      <c r="V951" s="4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>
      <c r="B952" s="22"/>
      <c r="C952" s="30"/>
      <c r="D952" s="30"/>
      <c r="E952" s="30"/>
      <c r="F952" s="32"/>
      <c r="G952" s="32"/>
      <c r="H952" s="42"/>
      <c r="I952" s="34"/>
      <c r="J952" s="35"/>
      <c r="K952" s="35"/>
      <c r="L952" s="34"/>
      <c r="M952" s="35"/>
      <c r="N952" s="36"/>
      <c r="O952" s="322"/>
      <c r="P952" s="38"/>
      <c r="Q952" s="38"/>
      <c r="R952" s="279"/>
      <c r="S952" s="40"/>
      <c r="T952" s="22"/>
      <c r="U952" s="41"/>
      <c r="V952" s="4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>
      <c r="B953" s="22"/>
      <c r="C953" s="30"/>
      <c r="D953" s="30"/>
      <c r="E953" s="30"/>
      <c r="F953" s="32"/>
      <c r="G953" s="32"/>
      <c r="H953" s="42"/>
      <c r="I953" s="34"/>
      <c r="J953" s="35"/>
      <c r="K953" s="35"/>
      <c r="L953" s="34"/>
      <c r="M953" s="35"/>
      <c r="N953" s="36"/>
      <c r="O953" s="322"/>
      <c r="P953" s="38"/>
      <c r="Q953" s="38"/>
      <c r="R953" s="279"/>
      <c r="S953" s="40"/>
      <c r="T953" s="22"/>
      <c r="U953" s="41"/>
      <c r="V953" s="4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>
      <c r="B954" s="22"/>
      <c r="C954" s="30"/>
      <c r="D954" s="30"/>
      <c r="E954" s="30"/>
      <c r="F954" s="32"/>
      <c r="G954" s="32"/>
      <c r="H954" s="42"/>
      <c r="I954" s="34"/>
      <c r="J954" s="35"/>
      <c r="K954" s="35"/>
      <c r="L954" s="34"/>
      <c r="M954" s="35"/>
      <c r="N954" s="36"/>
      <c r="O954" s="322"/>
      <c r="P954" s="38"/>
      <c r="Q954" s="38"/>
      <c r="R954" s="279"/>
      <c r="S954" s="40"/>
      <c r="T954" s="22"/>
      <c r="U954" s="41"/>
      <c r="V954" s="4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>
      <c r="B955" s="22"/>
      <c r="C955" s="30"/>
      <c r="D955" s="30"/>
      <c r="E955" s="30"/>
      <c r="F955" s="32"/>
      <c r="G955" s="32"/>
      <c r="H955" s="42"/>
      <c r="I955" s="34"/>
      <c r="J955" s="35"/>
      <c r="K955" s="35"/>
      <c r="L955" s="34"/>
      <c r="M955" s="35"/>
      <c r="N955" s="36"/>
      <c r="O955" s="322"/>
      <c r="P955" s="38"/>
      <c r="Q955" s="38"/>
      <c r="R955" s="279"/>
      <c r="S955" s="40"/>
      <c r="T955" s="22"/>
      <c r="U955" s="41"/>
      <c r="V955" s="4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>
      <c r="B956" s="22"/>
      <c r="C956" s="30"/>
      <c r="D956" s="30"/>
      <c r="E956" s="30"/>
      <c r="F956" s="32"/>
      <c r="G956" s="32"/>
      <c r="H956" s="42"/>
      <c r="I956" s="34"/>
      <c r="J956" s="35"/>
      <c r="K956" s="35"/>
      <c r="L956" s="34"/>
      <c r="M956" s="35"/>
      <c r="N956" s="36"/>
      <c r="O956" s="322"/>
      <c r="P956" s="38"/>
      <c r="Q956" s="38"/>
      <c r="R956" s="279"/>
      <c r="S956" s="40"/>
      <c r="T956" s="22"/>
      <c r="U956" s="41"/>
      <c r="V956" s="4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>
      <c r="B957" s="22"/>
      <c r="C957" s="30"/>
      <c r="D957" s="30"/>
      <c r="E957" s="30"/>
      <c r="F957" s="32"/>
      <c r="G957" s="32"/>
      <c r="H957" s="42"/>
      <c r="I957" s="34"/>
      <c r="J957" s="35"/>
      <c r="K957" s="35"/>
      <c r="L957" s="34"/>
      <c r="M957" s="35"/>
      <c r="N957" s="36"/>
      <c r="O957" s="322"/>
      <c r="P957" s="38"/>
      <c r="Q957" s="38"/>
      <c r="R957" s="279"/>
      <c r="S957" s="40"/>
      <c r="T957" s="22"/>
      <c r="U957" s="41"/>
      <c r="V957" s="4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>
      <c r="B958" s="22"/>
      <c r="C958" s="30"/>
      <c r="D958" s="30"/>
      <c r="E958" s="30"/>
      <c r="F958" s="32"/>
      <c r="G958" s="32"/>
      <c r="H958" s="42"/>
      <c r="I958" s="34"/>
      <c r="J958" s="35"/>
      <c r="K958" s="35"/>
      <c r="L958" s="34"/>
      <c r="M958" s="35"/>
      <c r="N958" s="36"/>
      <c r="O958" s="322"/>
      <c r="P958" s="38"/>
      <c r="Q958" s="38"/>
      <c r="R958" s="279"/>
      <c r="S958" s="40"/>
      <c r="T958" s="22"/>
      <c r="U958" s="41"/>
      <c r="V958" s="4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>
      <c r="B959" s="22"/>
      <c r="C959" s="30"/>
      <c r="D959" s="30"/>
      <c r="E959" s="30"/>
      <c r="F959" s="32"/>
      <c r="G959" s="32"/>
      <c r="H959" s="42"/>
      <c r="I959" s="34"/>
      <c r="J959" s="35"/>
      <c r="K959" s="35"/>
      <c r="L959" s="34"/>
      <c r="M959" s="35"/>
      <c r="N959" s="36"/>
      <c r="O959" s="322"/>
      <c r="P959" s="38"/>
      <c r="Q959" s="38"/>
      <c r="R959" s="279"/>
      <c r="S959" s="40"/>
      <c r="T959" s="22"/>
      <c r="U959" s="41"/>
      <c r="V959" s="4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>
      <c r="B960" s="22"/>
      <c r="C960" s="30"/>
      <c r="D960" s="30"/>
      <c r="E960" s="30"/>
      <c r="F960" s="32"/>
      <c r="G960" s="32"/>
      <c r="H960" s="42"/>
      <c r="I960" s="34"/>
      <c r="J960" s="35"/>
      <c r="K960" s="35"/>
      <c r="L960" s="34"/>
      <c r="M960" s="35"/>
      <c r="N960" s="36"/>
      <c r="O960" s="322"/>
      <c r="P960" s="38"/>
      <c r="Q960" s="38"/>
      <c r="R960" s="279"/>
      <c r="S960" s="40"/>
      <c r="T960" s="22"/>
      <c r="U960" s="41"/>
      <c r="V960" s="4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>
      <c r="B961" s="22"/>
      <c r="C961" s="30"/>
      <c r="D961" s="30"/>
      <c r="E961" s="30"/>
      <c r="F961" s="32"/>
      <c r="G961" s="32"/>
      <c r="H961" s="42"/>
      <c r="I961" s="34"/>
      <c r="J961" s="35"/>
      <c r="K961" s="35"/>
      <c r="L961" s="34"/>
      <c r="M961" s="35"/>
      <c r="N961" s="36"/>
      <c r="O961" s="322"/>
      <c r="P961" s="38"/>
      <c r="Q961" s="38"/>
      <c r="R961" s="279"/>
      <c r="S961" s="40"/>
      <c r="T961" s="22"/>
      <c r="U961" s="41"/>
      <c r="V961" s="4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>
      <c r="B962" s="22"/>
      <c r="C962" s="30"/>
      <c r="D962" s="30"/>
      <c r="E962" s="30"/>
      <c r="F962" s="32"/>
      <c r="G962" s="32"/>
      <c r="H962" s="42"/>
      <c r="I962" s="34"/>
      <c r="J962" s="35"/>
      <c r="K962" s="35"/>
      <c r="L962" s="34"/>
      <c r="M962" s="35"/>
      <c r="N962" s="36"/>
      <c r="O962" s="322"/>
      <c r="P962" s="38"/>
      <c r="Q962" s="38"/>
      <c r="R962" s="279"/>
      <c r="S962" s="40"/>
      <c r="T962" s="22"/>
      <c r="U962" s="41"/>
      <c r="V962" s="4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>
      <c r="B963" s="22"/>
      <c r="C963" s="30"/>
      <c r="D963" s="30"/>
      <c r="E963" s="30"/>
      <c r="F963" s="32"/>
      <c r="G963" s="32"/>
      <c r="H963" s="42"/>
      <c r="I963" s="34"/>
      <c r="J963" s="35"/>
      <c r="K963" s="35"/>
      <c r="L963" s="34"/>
      <c r="M963" s="35"/>
      <c r="N963" s="36"/>
      <c r="O963" s="322"/>
      <c r="P963" s="38"/>
      <c r="Q963" s="38"/>
      <c r="R963" s="279"/>
      <c r="S963" s="40"/>
      <c r="T963" s="22"/>
      <c r="U963" s="41"/>
      <c r="V963" s="4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>
      <c r="B964" s="22"/>
      <c r="C964" s="30"/>
      <c r="D964" s="30"/>
      <c r="E964" s="30"/>
      <c r="F964" s="32"/>
      <c r="G964" s="32"/>
      <c r="H964" s="42"/>
      <c r="I964" s="34"/>
      <c r="J964" s="35"/>
      <c r="K964" s="35"/>
      <c r="L964" s="34"/>
      <c r="M964" s="35"/>
      <c r="N964" s="36"/>
      <c r="O964" s="322"/>
      <c r="P964" s="38"/>
      <c r="Q964" s="38"/>
      <c r="R964" s="279"/>
      <c r="S964" s="40"/>
      <c r="T964" s="22"/>
      <c r="U964" s="41"/>
      <c r="V964" s="4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>
      <c r="B965" s="22"/>
      <c r="C965" s="30"/>
      <c r="D965" s="30"/>
      <c r="E965" s="30"/>
      <c r="F965" s="32"/>
      <c r="G965" s="32"/>
      <c r="H965" s="42"/>
      <c r="I965" s="34"/>
      <c r="J965" s="35"/>
      <c r="K965" s="35"/>
      <c r="L965" s="34"/>
      <c r="M965" s="35"/>
      <c r="N965" s="36"/>
      <c r="O965" s="322"/>
      <c r="P965" s="38"/>
      <c r="Q965" s="38"/>
      <c r="R965" s="279"/>
      <c r="S965" s="40"/>
      <c r="T965" s="22"/>
      <c r="U965" s="41"/>
      <c r="V965" s="4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>
      <c r="B966" s="22"/>
      <c r="C966" s="30"/>
      <c r="D966" s="30"/>
      <c r="E966" s="30"/>
      <c r="F966" s="32"/>
      <c r="G966" s="32"/>
      <c r="H966" s="42"/>
      <c r="I966" s="34"/>
      <c r="J966" s="35"/>
      <c r="K966" s="35"/>
      <c r="L966" s="34"/>
      <c r="M966" s="35"/>
      <c r="N966" s="36"/>
      <c r="O966" s="322"/>
      <c r="P966" s="38"/>
      <c r="Q966" s="38"/>
      <c r="R966" s="279"/>
      <c r="S966" s="40"/>
      <c r="T966" s="22"/>
      <c r="U966" s="41"/>
      <c r="V966" s="4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>
      <c r="B967" s="22"/>
      <c r="C967" s="30"/>
      <c r="D967" s="30"/>
      <c r="E967" s="30"/>
      <c r="F967" s="32"/>
      <c r="G967" s="32"/>
      <c r="H967" s="42"/>
      <c r="I967" s="34"/>
      <c r="J967" s="35"/>
      <c r="K967" s="35"/>
      <c r="L967" s="34"/>
      <c r="M967" s="35"/>
      <c r="N967" s="36"/>
      <c r="O967" s="322"/>
      <c r="P967" s="38"/>
      <c r="Q967" s="38"/>
      <c r="R967" s="279"/>
      <c r="S967" s="40"/>
      <c r="T967" s="22"/>
      <c r="U967" s="41"/>
      <c r="V967" s="4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>
      <c r="B968" s="22"/>
      <c r="C968" s="30"/>
      <c r="D968" s="30"/>
      <c r="E968" s="30"/>
      <c r="F968" s="32"/>
      <c r="G968" s="32"/>
      <c r="H968" s="42"/>
      <c r="I968" s="34"/>
      <c r="J968" s="35"/>
      <c r="K968" s="35"/>
      <c r="L968" s="34"/>
      <c r="M968" s="35"/>
      <c r="N968" s="36"/>
      <c r="O968" s="322"/>
      <c r="P968" s="38"/>
      <c r="Q968" s="38"/>
      <c r="R968" s="279"/>
      <c r="S968" s="40"/>
      <c r="T968" s="22"/>
      <c r="U968" s="41"/>
      <c r="V968" s="4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>
      <c r="B969" s="22"/>
      <c r="C969" s="30"/>
      <c r="D969" s="30"/>
      <c r="E969" s="30"/>
      <c r="F969" s="32"/>
      <c r="G969" s="32"/>
      <c r="H969" s="42"/>
      <c r="I969" s="34"/>
      <c r="J969" s="35"/>
      <c r="K969" s="35"/>
      <c r="L969" s="34"/>
      <c r="M969" s="35"/>
      <c r="N969" s="36"/>
      <c r="O969" s="322"/>
      <c r="P969" s="38"/>
      <c r="Q969" s="38"/>
      <c r="R969" s="279"/>
      <c r="S969" s="40"/>
      <c r="T969" s="22"/>
      <c r="U969" s="41"/>
      <c r="V969" s="4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>
      <c r="B970" s="22"/>
      <c r="C970" s="30"/>
      <c r="D970" s="30"/>
      <c r="E970" s="30"/>
      <c r="F970" s="32"/>
      <c r="G970" s="32"/>
      <c r="H970" s="42"/>
      <c r="I970" s="34"/>
      <c r="J970" s="35"/>
      <c r="K970" s="35"/>
      <c r="L970" s="34"/>
      <c r="M970" s="35"/>
      <c r="N970" s="36"/>
      <c r="O970" s="322"/>
      <c r="P970" s="38"/>
      <c r="Q970" s="38"/>
      <c r="R970" s="279"/>
      <c r="S970" s="40"/>
      <c r="T970" s="22"/>
      <c r="U970" s="41"/>
      <c r="V970" s="4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>
      <c r="B971" s="22"/>
      <c r="C971" s="30"/>
      <c r="D971" s="30"/>
      <c r="E971" s="30"/>
      <c r="F971" s="32"/>
      <c r="G971" s="32"/>
      <c r="H971" s="42"/>
      <c r="I971" s="34"/>
      <c r="J971" s="35"/>
      <c r="K971" s="35"/>
      <c r="L971" s="34"/>
      <c r="M971" s="35"/>
      <c r="N971" s="36"/>
      <c r="O971" s="322"/>
      <c r="P971" s="38"/>
      <c r="Q971" s="38"/>
      <c r="R971" s="279"/>
      <c r="S971" s="40"/>
      <c r="T971" s="22"/>
      <c r="U971" s="41"/>
      <c r="V971" s="4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>
      <c r="B972" s="22"/>
      <c r="C972" s="30"/>
      <c r="D972" s="30"/>
      <c r="E972" s="30"/>
      <c r="F972" s="32"/>
      <c r="G972" s="32"/>
      <c r="H972" s="42"/>
      <c r="I972" s="34"/>
      <c r="J972" s="35"/>
      <c r="K972" s="35"/>
      <c r="L972" s="34"/>
      <c r="M972" s="35"/>
      <c r="N972" s="36"/>
      <c r="O972" s="322"/>
      <c r="P972" s="38"/>
      <c r="Q972" s="38"/>
      <c r="R972" s="279"/>
      <c r="S972" s="40"/>
      <c r="T972" s="22"/>
      <c r="U972" s="41"/>
      <c r="V972" s="4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>
      <c r="B973" s="22"/>
      <c r="C973" s="30"/>
      <c r="D973" s="30"/>
      <c r="E973" s="30"/>
      <c r="F973" s="32"/>
      <c r="G973" s="32"/>
      <c r="H973" s="42"/>
      <c r="I973" s="34"/>
      <c r="J973" s="35"/>
      <c r="K973" s="35"/>
      <c r="L973" s="34"/>
      <c r="M973" s="35"/>
      <c r="N973" s="36"/>
      <c r="O973" s="322"/>
      <c r="P973" s="38"/>
      <c r="Q973" s="38"/>
      <c r="R973" s="279"/>
      <c r="S973" s="40"/>
      <c r="T973" s="22"/>
      <c r="U973" s="41"/>
      <c r="V973" s="4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>
      <c r="B974" s="22"/>
      <c r="C974" s="30"/>
      <c r="D974" s="30"/>
      <c r="E974" s="30"/>
      <c r="F974" s="32"/>
      <c r="G974" s="32"/>
      <c r="H974" s="42"/>
      <c r="I974" s="34"/>
      <c r="J974" s="35"/>
      <c r="K974" s="35"/>
      <c r="L974" s="34"/>
      <c r="M974" s="35"/>
      <c r="N974" s="36"/>
      <c r="O974" s="322"/>
      <c r="P974" s="38"/>
      <c r="Q974" s="38"/>
      <c r="R974" s="279"/>
      <c r="S974" s="40"/>
      <c r="T974" s="22"/>
      <c r="U974" s="41"/>
      <c r="V974" s="4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>
      <c r="B975" s="22"/>
      <c r="C975" s="30"/>
      <c r="D975" s="30"/>
      <c r="E975" s="30"/>
      <c r="F975" s="32"/>
      <c r="G975" s="32"/>
      <c r="H975" s="42"/>
      <c r="I975" s="34"/>
      <c r="J975" s="35"/>
      <c r="K975" s="35"/>
      <c r="L975" s="34"/>
      <c r="M975" s="35"/>
      <c r="N975" s="36"/>
      <c r="O975" s="322"/>
      <c r="P975" s="38"/>
      <c r="Q975" s="38"/>
      <c r="R975" s="279"/>
      <c r="S975" s="40"/>
      <c r="T975" s="22"/>
      <c r="U975" s="41"/>
      <c r="V975" s="4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>
      <c r="B976" s="22"/>
      <c r="C976" s="30"/>
      <c r="D976" s="30"/>
      <c r="E976" s="30"/>
      <c r="F976" s="32"/>
      <c r="G976" s="32"/>
      <c r="H976" s="42"/>
      <c r="I976" s="34"/>
      <c r="J976" s="35"/>
      <c r="K976" s="35"/>
      <c r="L976" s="34"/>
      <c r="M976" s="35"/>
      <c r="N976" s="36"/>
      <c r="O976" s="322"/>
      <c r="P976" s="38"/>
      <c r="Q976" s="38"/>
      <c r="R976" s="279"/>
      <c r="S976" s="40"/>
      <c r="T976" s="22"/>
      <c r="U976" s="41"/>
      <c r="V976" s="4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>
      <c r="B977" s="22"/>
      <c r="C977" s="30"/>
      <c r="D977" s="30"/>
      <c r="E977" s="30"/>
      <c r="F977" s="32"/>
      <c r="G977" s="32"/>
      <c r="H977" s="42"/>
      <c r="I977" s="34"/>
      <c r="J977" s="35"/>
      <c r="K977" s="35"/>
      <c r="L977" s="34"/>
      <c r="M977" s="35"/>
      <c r="N977" s="36"/>
      <c r="O977" s="322"/>
      <c r="P977" s="38"/>
      <c r="Q977" s="38"/>
      <c r="R977" s="279"/>
      <c r="S977" s="40"/>
      <c r="T977" s="22"/>
      <c r="U977" s="41"/>
      <c r="V977" s="4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>
      <c r="B978" s="22"/>
      <c r="C978" s="30"/>
      <c r="D978" s="30"/>
      <c r="E978" s="30"/>
      <c r="F978" s="32"/>
      <c r="G978" s="32"/>
      <c r="H978" s="42"/>
      <c r="I978" s="34"/>
      <c r="J978" s="35"/>
      <c r="K978" s="35"/>
      <c r="L978" s="34"/>
      <c r="M978" s="35"/>
      <c r="N978" s="36"/>
      <c r="O978" s="322"/>
      <c r="P978" s="38"/>
      <c r="Q978" s="38"/>
      <c r="R978" s="279"/>
      <c r="S978" s="40"/>
      <c r="T978" s="22"/>
      <c r="U978" s="41"/>
      <c r="V978" s="4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>
      <c r="B979" s="22"/>
      <c r="C979" s="30"/>
      <c r="D979" s="30"/>
      <c r="E979" s="30"/>
      <c r="F979" s="32"/>
      <c r="G979" s="32"/>
      <c r="H979" s="42"/>
      <c r="I979" s="34"/>
      <c r="J979" s="35"/>
      <c r="K979" s="35"/>
      <c r="L979" s="34"/>
      <c r="M979" s="35"/>
      <c r="N979" s="36"/>
      <c r="O979" s="322"/>
      <c r="P979" s="38"/>
      <c r="Q979" s="38"/>
      <c r="R979" s="279"/>
      <c r="S979" s="40"/>
      <c r="T979" s="22"/>
      <c r="U979" s="41"/>
      <c r="V979" s="4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>
      <c r="B980" s="22"/>
      <c r="C980" s="30"/>
      <c r="D980" s="30"/>
      <c r="E980" s="30"/>
      <c r="F980" s="32"/>
      <c r="G980" s="32"/>
      <c r="H980" s="42"/>
      <c r="I980" s="34"/>
      <c r="J980" s="35"/>
      <c r="K980" s="35"/>
      <c r="L980" s="34"/>
      <c r="M980" s="35"/>
      <c r="N980" s="36"/>
      <c r="O980" s="322"/>
      <c r="P980" s="38"/>
      <c r="Q980" s="38"/>
      <c r="R980" s="279"/>
      <c r="S980" s="40"/>
      <c r="T980" s="22"/>
      <c r="U980" s="41"/>
      <c r="V980" s="4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>
      <c r="B981" s="22"/>
      <c r="C981" s="30"/>
      <c r="D981" s="30"/>
      <c r="E981" s="30"/>
      <c r="F981" s="32"/>
      <c r="G981" s="32"/>
      <c r="H981" s="42"/>
      <c r="I981" s="34"/>
      <c r="J981" s="35"/>
      <c r="K981" s="35"/>
      <c r="L981" s="34"/>
      <c r="M981" s="35"/>
      <c r="N981" s="36"/>
      <c r="O981" s="322"/>
      <c r="P981" s="38"/>
      <c r="Q981" s="38"/>
      <c r="R981" s="279"/>
      <c r="S981" s="40"/>
      <c r="T981" s="22"/>
      <c r="U981" s="41"/>
      <c r="V981" s="4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>
      <c r="B982" s="22"/>
      <c r="C982" s="30"/>
      <c r="D982" s="30"/>
      <c r="E982" s="30"/>
      <c r="F982" s="32"/>
      <c r="G982" s="32"/>
      <c r="H982" s="42"/>
      <c r="I982" s="34"/>
      <c r="J982" s="35"/>
      <c r="K982" s="35"/>
      <c r="L982" s="34"/>
      <c r="M982" s="35"/>
      <c r="N982" s="36"/>
      <c r="O982" s="322"/>
      <c r="P982" s="38"/>
      <c r="Q982" s="38"/>
      <c r="R982" s="279"/>
      <c r="S982" s="40"/>
      <c r="T982" s="22"/>
      <c r="U982" s="41"/>
      <c r="V982" s="4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>
      <c r="B983" s="22"/>
      <c r="C983" s="30"/>
      <c r="D983" s="30"/>
      <c r="E983" s="30"/>
      <c r="F983" s="32"/>
      <c r="G983" s="32"/>
      <c r="H983" s="42"/>
      <c r="I983" s="34"/>
      <c r="J983" s="35"/>
      <c r="K983" s="35"/>
      <c r="L983" s="34"/>
      <c r="M983" s="35"/>
      <c r="N983" s="36"/>
      <c r="O983" s="322"/>
      <c r="P983" s="38"/>
      <c r="Q983" s="38"/>
      <c r="R983" s="279"/>
      <c r="S983" s="40"/>
      <c r="T983" s="22"/>
      <c r="U983" s="41"/>
      <c r="V983" s="4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>
      <c r="B984" s="22"/>
      <c r="C984" s="30"/>
      <c r="D984" s="30"/>
      <c r="E984" s="30"/>
      <c r="F984" s="32"/>
      <c r="G984" s="32"/>
      <c r="H984" s="42"/>
      <c r="I984" s="34"/>
      <c r="J984" s="35"/>
      <c r="K984" s="35"/>
      <c r="L984" s="34"/>
      <c r="M984" s="35"/>
      <c r="N984" s="36"/>
      <c r="O984" s="322"/>
      <c r="P984" s="38"/>
      <c r="Q984" s="38"/>
      <c r="R984" s="279"/>
      <c r="S984" s="40"/>
      <c r="T984" s="22"/>
      <c r="U984" s="41"/>
      <c r="V984" s="4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>
      <c r="B985" s="22"/>
      <c r="C985" s="30"/>
      <c r="D985" s="30"/>
      <c r="E985" s="30"/>
      <c r="F985" s="32"/>
      <c r="G985" s="32"/>
      <c r="H985" s="42"/>
      <c r="I985" s="34"/>
      <c r="J985" s="35"/>
      <c r="K985" s="35"/>
      <c r="L985" s="34"/>
      <c r="M985" s="35"/>
      <c r="N985" s="36"/>
      <c r="O985" s="322"/>
      <c r="P985" s="38"/>
      <c r="Q985" s="38"/>
      <c r="R985" s="279"/>
      <c r="S985" s="40"/>
      <c r="T985" s="22"/>
      <c r="U985" s="41"/>
      <c r="V985" s="4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>
      <c r="B986" s="22"/>
      <c r="C986" s="30"/>
      <c r="D986" s="30"/>
      <c r="E986" s="30"/>
      <c r="F986" s="32"/>
      <c r="G986" s="32"/>
      <c r="H986" s="42"/>
      <c r="I986" s="34"/>
      <c r="J986" s="35"/>
      <c r="K986" s="35"/>
      <c r="L986" s="34"/>
      <c r="M986" s="35"/>
      <c r="N986" s="36"/>
      <c r="O986" s="322"/>
      <c r="P986" s="38"/>
      <c r="Q986" s="38"/>
      <c r="R986" s="279"/>
      <c r="S986" s="40"/>
      <c r="T986" s="22"/>
      <c r="U986" s="41"/>
      <c r="V986" s="4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>
      <c r="B987" s="22"/>
      <c r="C987" s="30"/>
      <c r="D987" s="30"/>
      <c r="E987" s="30"/>
      <c r="F987" s="32"/>
      <c r="G987" s="32"/>
      <c r="H987" s="42"/>
      <c r="I987" s="34"/>
      <c r="J987" s="35"/>
      <c r="K987" s="35"/>
      <c r="L987" s="34"/>
      <c r="M987" s="35"/>
      <c r="N987" s="36"/>
      <c r="O987" s="322"/>
      <c r="P987" s="38"/>
      <c r="Q987" s="38"/>
      <c r="R987" s="279"/>
      <c r="S987" s="40"/>
      <c r="T987" s="22"/>
      <c r="U987" s="41"/>
      <c r="V987" s="4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>
      <c r="B988" s="22"/>
      <c r="C988" s="30"/>
      <c r="D988" s="30"/>
      <c r="E988" s="30"/>
      <c r="F988" s="32"/>
      <c r="G988" s="32"/>
      <c r="H988" s="42"/>
      <c r="I988" s="34"/>
      <c r="J988" s="35"/>
      <c r="K988" s="35"/>
      <c r="L988" s="34"/>
      <c r="M988" s="35"/>
      <c r="N988" s="36"/>
      <c r="O988" s="322"/>
      <c r="P988" s="38"/>
      <c r="Q988" s="38"/>
      <c r="R988" s="279"/>
      <c r="S988" s="40"/>
      <c r="T988" s="22"/>
      <c r="U988" s="41"/>
      <c r="V988" s="4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>
      <c r="B989" s="22"/>
      <c r="C989" s="30"/>
      <c r="D989" s="30"/>
      <c r="E989" s="30"/>
      <c r="F989" s="32"/>
      <c r="G989" s="32"/>
      <c r="H989" s="42"/>
      <c r="I989" s="34"/>
      <c r="J989" s="35"/>
      <c r="K989" s="35"/>
      <c r="L989" s="34"/>
      <c r="M989" s="35"/>
      <c r="N989" s="36"/>
      <c r="O989" s="322"/>
      <c r="P989" s="38"/>
      <c r="Q989" s="38"/>
      <c r="R989" s="279"/>
      <c r="S989" s="40"/>
      <c r="T989" s="22"/>
      <c r="U989" s="41"/>
      <c r="V989" s="4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>
      <c r="B990" s="22"/>
      <c r="C990" s="30"/>
      <c r="D990" s="30"/>
      <c r="E990" s="30"/>
      <c r="F990" s="32"/>
      <c r="G990" s="32"/>
      <c r="H990" s="42"/>
      <c r="I990" s="34"/>
      <c r="J990" s="35"/>
      <c r="K990" s="35"/>
      <c r="L990" s="34"/>
      <c r="M990" s="35"/>
      <c r="N990" s="36"/>
      <c r="O990" s="322"/>
      <c r="P990" s="38"/>
      <c r="Q990" s="38"/>
      <c r="R990" s="279"/>
      <c r="S990" s="40"/>
      <c r="T990" s="22"/>
      <c r="U990" s="41"/>
      <c r="V990" s="4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>
      <c r="B991" s="22"/>
      <c r="C991" s="30"/>
      <c r="D991" s="30"/>
      <c r="E991" s="30"/>
      <c r="F991" s="32"/>
      <c r="G991" s="32"/>
      <c r="H991" s="42"/>
      <c r="I991" s="34"/>
      <c r="J991" s="35"/>
      <c r="K991" s="35"/>
      <c r="L991" s="34"/>
      <c r="M991" s="35"/>
      <c r="N991" s="36"/>
      <c r="O991" s="322"/>
      <c r="P991" s="38"/>
      <c r="Q991" s="38"/>
      <c r="R991" s="279"/>
      <c r="S991" s="40"/>
      <c r="T991" s="22"/>
      <c r="U991" s="41"/>
      <c r="V991" s="4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>
      <c r="B992" s="22"/>
      <c r="C992" s="30"/>
      <c r="D992" s="30"/>
      <c r="E992" s="30"/>
      <c r="F992" s="32"/>
      <c r="G992" s="32"/>
      <c r="H992" s="42"/>
      <c r="I992" s="34"/>
      <c r="J992" s="35"/>
      <c r="K992" s="35"/>
      <c r="L992" s="34"/>
      <c r="M992" s="35"/>
      <c r="N992" s="36"/>
      <c r="O992" s="322"/>
      <c r="P992" s="38"/>
      <c r="Q992" s="38"/>
      <c r="R992" s="279"/>
      <c r="S992" s="40"/>
      <c r="T992" s="22"/>
      <c r="U992" s="41"/>
      <c r="V992" s="4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>
      <c r="B993" s="22"/>
      <c r="C993" s="30"/>
      <c r="D993" s="30"/>
      <c r="E993" s="30"/>
      <c r="F993" s="32"/>
      <c r="G993" s="32"/>
      <c r="H993" s="42"/>
      <c r="I993" s="34"/>
      <c r="J993" s="35"/>
      <c r="K993" s="35"/>
      <c r="L993" s="34"/>
      <c r="M993" s="35"/>
      <c r="N993" s="36"/>
      <c r="O993" s="322"/>
      <c r="P993" s="38"/>
      <c r="Q993" s="38"/>
      <c r="R993" s="279"/>
      <c r="S993" s="40"/>
      <c r="T993" s="22"/>
      <c r="U993" s="41"/>
      <c r="V993" s="4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>
      <c r="B994" s="22"/>
      <c r="C994" s="30"/>
      <c r="D994" s="30"/>
      <c r="E994" s="30"/>
      <c r="F994" s="32"/>
      <c r="G994" s="32"/>
      <c r="H994" s="42"/>
      <c r="I994" s="34"/>
      <c r="J994" s="35"/>
      <c r="K994" s="35"/>
      <c r="L994" s="34"/>
      <c r="M994" s="35"/>
      <c r="N994" s="36"/>
      <c r="O994" s="322"/>
      <c r="P994" s="38"/>
      <c r="Q994" s="38"/>
      <c r="R994" s="279"/>
      <c r="S994" s="40"/>
      <c r="T994" s="22"/>
      <c r="U994" s="41"/>
      <c r="V994" s="4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>
      <c r="B995" s="22"/>
      <c r="C995" s="30"/>
      <c r="D995" s="30"/>
      <c r="E995" s="30"/>
      <c r="F995" s="32"/>
      <c r="G995" s="32"/>
      <c r="H995" s="42"/>
      <c r="I995" s="34"/>
      <c r="J995" s="35"/>
      <c r="K995" s="35"/>
      <c r="L995" s="34"/>
      <c r="M995" s="35"/>
      <c r="N995" s="36"/>
      <c r="O995" s="322"/>
      <c r="P995" s="38"/>
      <c r="Q995" s="38"/>
      <c r="R995" s="279"/>
      <c r="S995" s="40"/>
      <c r="T995" s="22"/>
      <c r="U995" s="41"/>
      <c r="V995" s="4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>
      <c r="B996" s="22"/>
      <c r="C996" s="30"/>
      <c r="D996" s="30"/>
      <c r="E996" s="30"/>
      <c r="F996" s="32"/>
      <c r="G996" s="32"/>
      <c r="H996" s="42"/>
      <c r="I996" s="34"/>
      <c r="J996" s="35"/>
      <c r="K996" s="35"/>
      <c r="L996" s="34"/>
      <c r="M996" s="35"/>
      <c r="N996" s="36"/>
      <c r="O996" s="322"/>
      <c r="P996" s="38"/>
      <c r="Q996" s="38"/>
      <c r="R996" s="279"/>
      <c r="S996" s="40"/>
      <c r="T996" s="22"/>
      <c r="U996" s="41"/>
      <c r="V996" s="4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>
      <c r="B997" s="22"/>
      <c r="C997" s="30"/>
      <c r="D997" s="30"/>
      <c r="E997" s="30"/>
      <c r="F997" s="32"/>
      <c r="G997" s="32"/>
      <c r="H997" s="42"/>
      <c r="I997" s="34"/>
      <c r="J997" s="35"/>
      <c r="K997" s="35"/>
      <c r="L997" s="34"/>
      <c r="M997" s="35"/>
      <c r="N997" s="36"/>
      <c r="O997" s="322"/>
      <c r="P997" s="38"/>
      <c r="Q997" s="38"/>
      <c r="R997" s="279"/>
      <c r="S997" s="40"/>
      <c r="T997" s="22"/>
      <c r="U997" s="41"/>
      <c r="V997" s="4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>
      <c r="B998" s="22"/>
      <c r="C998" s="30"/>
      <c r="D998" s="30"/>
      <c r="E998" s="30"/>
      <c r="F998" s="32"/>
      <c r="G998" s="32"/>
      <c r="H998" s="42"/>
      <c r="I998" s="34"/>
      <c r="J998" s="35"/>
      <c r="K998" s="35"/>
      <c r="L998" s="34"/>
      <c r="M998" s="35"/>
      <c r="N998" s="36"/>
      <c r="O998" s="322"/>
      <c r="P998" s="38"/>
      <c r="Q998" s="38"/>
      <c r="R998" s="279"/>
      <c r="S998" s="40"/>
      <c r="T998" s="22"/>
      <c r="U998" s="41"/>
      <c r="V998" s="4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>
      <c r="B999" s="22"/>
      <c r="C999" s="30"/>
      <c r="D999" s="30"/>
      <c r="E999" s="30"/>
      <c r="F999" s="32"/>
      <c r="G999" s="32"/>
      <c r="H999" s="42"/>
      <c r="I999" s="34"/>
      <c r="J999" s="35"/>
      <c r="K999" s="35"/>
      <c r="L999" s="34"/>
      <c r="M999" s="35"/>
      <c r="N999" s="36"/>
      <c r="O999" s="322"/>
      <c r="P999" s="38"/>
      <c r="Q999" s="38"/>
      <c r="R999" s="279"/>
      <c r="S999" s="40"/>
      <c r="T999" s="22"/>
      <c r="U999" s="41"/>
      <c r="V999" s="4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>
      <c r="B1000" s="22"/>
      <c r="C1000" s="30"/>
      <c r="D1000" s="30"/>
      <c r="E1000" s="30"/>
      <c r="F1000" s="32"/>
      <c r="G1000" s="32"/>
      <c r="H1000" s="42"/>
      <c r="I1000" s="34"/>
      <c r="J1000" s="35"/>
      <c r="K1000" s="35"/>
      <c r="L1000" s="34"/>
      <c r="M1000" s="35"/>
      <c r="N1000" s="36"/>
      <c r="O1000" s="322"/>
      <c r="P1000" s="38"/>
      <c r="Q1000" s="38"/>
      <c r="R1000" s="279"/>
      <c r="S1000" s="40"/>
      <c r="T1000" s="22"/>
      <c r="U1000" s="41"/>
      <c r="V1000" s="4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>
      <c r="B1001" s="22"/>
      <c r="C1001" s="30"/>
      <c r="D1001" s="30"/>
      <c r="E1001" s="30"/>
      <c r="F1001" s="32"/>
      <c r="G1001" s="32"/>
      <c r="H1001" s="42"/>
      <c r="I1001" s="34"/>
      <c r="J1001" s="35"/>
      <c r="K1001" s="35"/>
      <c r="L1001" s="34"/>
      <c r="M1001" s="35"/>
      <c r="N1001" s="36"/>
      <c r="O1001" s="322"/>
      <c r="P1001" s="38"/>
      <c r="Q1001" s="38"/>
      <c r="R1001" s="279"/>
      <c r="S1001" s="40"/>
      <c r="T1001" s="22"/>
      <c r="U1001" s="41"/>
      <c r="V1001" s="4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  <row r="1002">
      <c r="B1002" s="22"/>
      <c r="C1002" s="30"/>
      <c r="D1002" s="30"/>
      <c r="E1002" s="30"/>
      <c r="F1002" s="32"/>
      <c r="G1002" s="32"/>
      <c r="H1002" s="42"/>
      <c r="I1002" s="34"/>
      <c r="J1002" s="35"/>
      <c r="K1002" s="35"/>
      <c r="L1002" s="34"/>
      <c r="M1002" s="35"/>
      <c r="N1002" s="36"/>
      <c r="O1002" s="322"/>
      <c r="P1002" s="38"/>
      <c r="Q1002" s="38"/>
      <c r="R1002" s="279"/>
      <c r="S1002" s="40"/>
      <c r="T1002" s="22"/>
      <c r="U1002" s="41"/>
      <c r="V1002" s="4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</row>
    <row r="1003">
      <c r="B1003" s="22"/>
      <c r="C1003" s="30"/>
      <c r="D1003" s="30"/>
      <c r="E1003" s="30"/>
      <c r="F1003" s="32"/>
      <c r="G1003" s="32"/>
      <c r="H1003" s="42"/>
      <c r="I1003" s="34"/>
      <c r="J1003" s="35"/>
      <c r="K1003" s="35"/>
      <c r="L1003" s="34"/>
      <c r="M1003" s="35"/>
      <c r="N1003" s="36"/>
      <c r="O1003" s="322"/>
      <c r="P1003" s="38"/>
      <c r="Q1003" s="38"/>
      <c r="R1003" s="279"/>
      <c r="S1003" s="40"/>
      <c r="T1003" s="22"/>
      <c r="U1003" s="41"/>
      <c r="V1003" s="4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</row>
    <row r="1004">
      <c r="B1004" s="22"/>
      <c r="C1004" s="30"/>
      <c r="D1004" s="30"/>
      <c r="E1004" s="30"/>
      <c r="F1004" s="32"/>
      <c r="G1004" s="32"/>
      <c r="H1004" s="42"/>
      <c r="I1004" s="34"/>
      <c r="J1004" s="35"/>
      <c r="K1004" s="35"/>
      <c r="L1004" s="34"/>
      <c r="M1004" s="35"/>
      <c r="N1004" s="36"/>
      <c r="O1004" s="322"/>
      <c r="P1004" s="38"/>
      <c r="Q1004" s="38"/>
      <c r="R1004" s="279"/>
      <c r="S1004" s="40"/>
      <c r="T1004" s="22"/>
      <c r="U1004" s="41"/>
      <c r="V1004" s="4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</row>
    <row r="1005">
      <c r="B1005" s="22"/>
      <c r="C1005" s="30"/>
      <c r="D1005" s="30"/>
      <c r="E1005" s="30"/>
      <c r="F1005" s="32"/>
      <c r="G1005" s="32"/>
      <c r="H1005" s="42"/>
      <c r="I1005" s="34"/>
      <c r="J1005" s="35"/>
      <c r="K1005" s="35"/>
      <c r="L1005" s="34"/>
      <c r="M1005" s="35"/>
      <c r="N1005" s="36"/>
      <c r="O1005" s="322"/>
      <c r="P1005" s="38"/>
      <c r="Q1005" s="38"/>
      <c r="R1005" s="279"/>
      <c r="S1005" s="40"/>
      <c r="T1005" s="22"/>
      <c r="U1005" s="41"/>
      <c r="V1005" s="4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</row>
    <row r="1006">
      <c r="B1006" s="22"/>
      <c r="C1006" s="30"/>
      <c r="D1006" s="30"/>
      <c r="E1006" s="30"/>
      <c r="F1006" s="32"/>
      <c r="G1006" s="32"/>
      <c r="H1006" s="42"/>
      <c r="I1006" s="34"/>
      <c r="J1006" s="35"/>
      <c r="K1006" s="35"/>
      <c r="L1006" s="34"/>
      <c r="M1006" s="35"/>
      <c r="N1006" s="36"/>
      <c r="O1006" s="322"/>
      <c r="P1006" s="38"/>
      <c r="Q1006" s="38"/>
      <c r="R1006" s="279"/>
      <c r="S1006" s="40"/>
      <c r="T1006" s="22"/>
      <c r="U1006" s="41"/>
      <c r="V1006" s="4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</row>
    <row r="1007">
      <c r="B1007" s="22"/>
      <c r="C1007" s="30"/>
      <c r="D1007" s="30"/>
      <c r="E1007" s="30"/>
      <c r="F1007" s="32"/>
      <c r="G1007" s="32"/>
      <c r="H1007" s="42"/>
      <c r="I1007" s="34"/>
      <c r="J1007" s="35"/>
      <c r="K1007" s="35"/>
      <c r="L1007" s="34"/>
      <c r="M1007" s="35"/>
      <c r="N1007" s="36"/>
      <c r="O1007" s="322"/>
      <c r="P1007" s="38"/>
      <c r="Q1007" s="38"/>
      <c r="R1007" s="279"/>
      <c r="S1007" s="40"/>
      <c r="T1007" s="22"/>
      <c r="U1007" s="41"/>
      <c r="V1007" s="4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</row>
    <row r="1008">
      <c r="B1008" s="22"/>
      <c r="C1008" s="30"/>
      <c r="D1008" s="30"/>
      <c r="E1008" s="30"/>
      <c r="F1008" s="32"/>
      <c r="G1008" s="32"/>
      <c r="H1008" s="42"/>
      <c r="I1008" s="34"/>
      <c r="J1008" s="35"/>
      <c r="K1008" s="35"/>
      <c r="L1008" s="34"/>
      <c r="M1008" s="35"/>
      <c r="N1008" s="36"/>
      <c r="O1008" s="322"/>
      <c r="P1008" s="38"/>
      <c r="Q1008" s="38"/>
      <c r="R1008" s="279"/>
      <c r="S1008" s="40"/>
      <c r="T1008" s="22"/>
      <c r="U1008" s="41"/>
      <c r="V1008" s="4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</row>
    <row r="1009">
      <c r="B1009" s="22"/>
      <c r="C1009" s="30"/>
      <c r="D1009" s="30"/>
      <c r="E1009" s="30"/>
      <c r="F1009" s="32"/>
      <c r="G1009" s="32"/>
      <c r="H1009" s="42"/>
      <c r="I1009" s="34"/>
      <c r="J1009" s="35"/>
      <c r="K1009" s="35"/>
      <c r="L1009" s="34"/>
      <c r="M1009" s="35"/>
      <c r="N1009" s="36"/>
      <c r="O1009" s="322"/>
      <c r="P1009" s="38"/>
      <c r="Q1009" s="38"/>
      <c r="R1009" s="279"/>
      <c r="S1009" s="40"/>
      <c r="T1009" s="22"/>
      <c r="U1009" s="41"/>
      <c r="V1009" s="4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</row>
    <row r="1010">
      <c r="B1010" s="22"/>
      <c r="C1010" s="30"/>
      <c r="D1010" s="30"/>
      <c r="E1010" s="30"/>
      <c r="F1010" s="32"/>
      <c r="G1010" s="32"/>
      <c r="H1010" s="42"/>
      <c r="I1010" s="34"/>
      <c r="J1010" s="35"/>
      <c r="K1010" s="35"/>
      <c r="L1010" s="34"/>
      <c r="M1010" s="35"/>
      <c r="N1010" s="36"/>
      <c r="O1010" s="322"/>
      <c r="P1010" s="38"/>
      <c r="Q1010" s="38"/>
      <c r="R1010" s="279"/>
      <c r="S1010" s="40"/>
      <c r="T1010" s="22"/>
      <c r="U1010" s="41"/>
      <c r="V1010" s="4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</row>
    <row r="1011">
      <c r="B1011" s="22"/>
      <c r="C1011" s="30"/>
      <c r="D1011" s="30"/>
      <c r="E1011" s="30"/>
      <c r="F1011" s="32"/>
      <c r="G1011" s="32"/>
      <c r="H1011" s="42"/>
      <c r="I1011" s="34"/>
      <c r="J1011" s="35"/>
      <c r="K1011" s="35"/>
      <c r="L1011" s="34"/>
      <c r="M1011" s="35"/>
      <c r="N1011" s="36"/>
      <c r="O1011" s="322"/>
      <c r="P1011" s="38"/>
      <c r="Q1011" s="38"/>
      <c r="R1011" s="279"/>
      <c r="S1011" s="40"/>
      <c r="T1011" s="22"/>
      <c r="U1011" s="41"/>
      <c r="V1011" s="4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</row>
    <row r="1012">
      <c r="B1012" s="22"/>
      <c r="C1012" s="30"/>
      <c r="D1012" s="30"/>
      <c r="E1012" s="30"/>
      <c r="F1012" s="32"/>
      <c r="G1012" s="32"/>
      <c r="H1012" s="42"/>
      <c r="I1012" s="34"/>
      <c r="J1012" s="35"/>
      <c r="K1012" s="35"/>
      <c r="L1012" s="34"/>
      <c r="M1012" s="35"/>
      <c r="N1012" s="36"/>
      <c r="O1012" s="322"/>
      <c r="P1012" s="38"/>
      <c r="Q1012" s="38"/>
      <c r="R1012" s="279"/>
      <c r="S1012" s="40"/>
      <c r="T1012" s="22"/>
      <c r="U1012" s="41"/>
      <c r="V1012" s="4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</row>
    <row r="1013">
      <c r="B1013" s="22"/>
      <c r="C1013" s="30"/>
      <c r="D1013" s="30"/>
      <c r="E1013" s="30"/>
      <c r="F1013" s="32"/>
      <c r="G1013" s="32"/>
      <c r="H1013" s="42"/>
      <c r="I1013" s="34"/>
      <c r="J1013" s="35"/>
      <c r="K1013" s="35"/>
      <c r="L1013" s="34"/>
      <c r="M1013" s="35"/>
      <c r="N1013" s="36"/>
      <c r="O1013" s="322"/>
      <c r="P1013" s="38"/>
      <c r="Q1013" s="38"/>
      <c r="R1013" s="279"/>
      <c r="S1013" s="40"/>
      <c r="T1013" s="22"/>
      <c r="U1013" s="41"/>
      <c r="V1013" s="4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</row>
    <row r="1014">
      <c r="B1014" s="22"/>
      <c r="C1014" s="30"/>
      <c r="D1014" s="30"/>
      <c r="E1014" s="30"/>
      <c r="F1014" s="32"/>
      <c r="G1014" s="32"/>
      <c r="H1014" s="42"/>
      <c r="I1014" s="34"/>
      <c r="J1014" s="35"/>
      <c r="K1014" s="35"/>
      <c r="L1014" s="34"/>
      <c r="M1014" s="35"/>
      <c r="N1014" s="36"/>
      <c r="O1014" s="322"/>
      <c r="P1014" s="38"/>
      <c r="Q1014" s="38"/>
      <c r="R1014" s="279"/>
      <c r="S1014" s="40"/>
      <c r="T1014" s="22"/>
      <c r="U1014" s="41"/>
      <c r="V1014" s="4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</row>
    <row r="1015">
      <c r="B1015" s="22"/>
      <c r="C1015" s="30"/>
      <c r="D1015" s="30"/>
      <c r="E1015" s="30"/>
      <c r="F1015" s="32"/>
      <c r="G1015" s="32"/>
      <c r="H1015" s="42"/>
      <c r="I1015" s="34"/>
      <c r="J1015" s="35"/>
      <c r="K1015" s="35"/>
      <c r="L1015" s="34"/>
      <c r="M1015" s="35"/>
      <c r="N1015" s="36"/>
      <c r="O1015" s="322"/>
      <c r="P1015" s="38"/>
      <c r="Q1015" s="38"/>
      <c r="R1015" s="279"/>
      <c r="S1015" s="40"/>
      <c r="T1015" s="22"/>
      <c r="U1015" s="41"/>
      <c r="V1015" s="4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</row>
    <row r="1016">
      <c r="B1016" s="22"/>
      <c r="C1016" s="30"/>
      <c r="D1016" s="30"/>
      <c r="E1016" s="30"/>
      <c r="F1016" s="32"/>
      <c r="G1016" s="32"/>
      <c r="H1016" s="42"/>
      <c r="I1016" s="34"/>
      <c r="J1016" s="35"/>
      <c r="K1016" s="35"/>
      <c r="L1016" s="34"/>
      <c r="M1016" s="35"/>
      <c r="N1016" s="36"/>
      <c r="O1016" s="322"/>
      <c r="P1016" s="38"/>
      <c r="Q1016" s="38"/>
      <c r="R1016" s="279"/>
      <c r="S1016" s="40"/>
      <c r="T1016" s="22"/>
      <c r="U1016" s="41"/>
      <c r="V1016" s="4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</row>
    <row r="1017">
      <c r="B1017" s="22"/>
      <c r="C1017" s="30"/>
      <c r="D1017" s="30"/>
      <c r="E1017" s="30"/>
      <c r="F1017" s="32"/>
      <c r="G1017" s="32"/>
      <c r="H1017" s="42"/>
      <c r="I1017" s="34"/>
      <c r="J1017" s="35"/>
      <c r="K1017" s="35"/>
      <c r="L1017" s="34"/>
      <c r="M1017" s="35"/>
      <c r="N1017" s="36"/>
      <c r="O1017" s="322"/>
      <c r="P1017" s="38"/>
      <c r="Q1017" s="38"/>
      <c r="R1017" s="279"/>
      <c r="S1017" s="40"/>
      <c r="T1017" s="22"/>
      <c r="U1017" s="41"/>
      <c r="V1017" s="4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</row>
    <row r="1018">
      <c r="B1018" s="22"/>
      <c r="C1018" s="30"/>
      <c r="D1018" s="30"/>
      <c r="E1018" s="30"/>
      <c r="F1018" s="32"/>
      <c r="G1018" s="32"/>
      <c r="H1018" s="42"/>
      <c r="I1018" s="34"/>
      <c r="J1018" s="35"/>
      <c r="K1018" s="35"/>
      <c r="L1018" s="34"/>
      <c r="M1018" s="35"/>
      <c r="N1018" s="36"/>
      <c r="O1018" s="322"/>
      <c r="P1018" s="38"/>
      <c r="Q1018" s="38"/>
      <c r="R1018" s="279"/>
      <c r="S1018" s="40"/>
      <c r="T1018" s="22"/>
      <c r="U1018" s="41"/>
      <c r="V1018" s="4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</row>
    <row r="1019">
      <c r="B1019" s="22"/>
      <c r="C1019" s="30"/>
      <c r="D1019" s="30"/>
      <c r="E1019" s="30"/>
      <c r="F1019" s="32"/>
      <c r="G1019" s="32"/>
      <c r="H1019" s="42"/>
      <c r="I1019" s="34"/>
      <c r="J1019" s="35"/>
      <c r="K1019" s="35"/>
      <c r="L1019" s="34"/>
      <c r="M1019" s="35"/>
      <c r="N1019" s="36"/>
      <c r="O1019" s="322"/>
      <c r="P1019" s="38"/>
      <c r="Q1019" s="38"/>
      <c r="R1019" s="279"/>
      <c r="S1019" s="40"/>
      <c r="T1019" s="22"/>
      <c r="U1019" s="41"/>
      <c r="V1019" s="4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</row>
    <row r="1020">
      <c r="B1020" s="22"/>
      <c r="C1020" s="30"/>
      <c r="D1020" s="30"/>
      <c r="E1020" s="30"/>
      <c r="F1020" s="32"/>
      <c r="G1020" s="32"/>
      <c r="H1020" s="42"/>
      <c r="I1020" s="34"/>
      <c r="J1020" s="35"/>
      <c r="K1020" s="35"/>
      <c r="L1020" s="34"/>
      <c r="M1020" s="35"/>
      <c r="N1020" s="36"/>
      <c r="O1020" s="322"/>
      <c r="P1020" s="38"/>
      <c r="Q1020" s="38"/>
      <c r="R1020" s="279"/>
      <c r="S1020" s="40"/>
      <c r="T1020" s="22"/>
      <c r="U1020" s="41"/>
      <c r="V1020" s="4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</row>
    <row r="1021">
      <c r="B1021" s="22"/>
      <c r="C1021" s="30"/>
      <c r="D1021" s="30"/>
      <c r="E1021" s="30"/>
      <c r="F1021" s="32"/>
      <c r="G1021" s="32"/>
      <c r="H1021" s="42"/>
      <c r="I1021" s="34"/>
      <c r="J1021" s="35"/>
      <c r="K1021" s="35"/>
      <c r="L1021" s="34"/>
      <c r="M1021" s="35"/>
      <c r="N1021" s="36"/>
      <c r="O1021" s="322"/>
      <c r="P1021" s="38"/>
      <c r="Q1021" s="38"/>
      <c r="R1021" s="279"/>
      <c r="S1021" s="40"/>
      <c r="T1021" s="22"/>
      <c r="U1021" s="41"/>
      <c r="V1021" s="4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</row>
    <row r="1022">
      <c r="B1022" s="22"/>
      <c r="C1022" s="30"/>
      <c r="D1022" s="30"/>
      <c r="E1022" s="30"/>
      <c r="F1022" s="32"/>
      <c r="G1022" s="32"/>
      <c r="H1022" s="42"/>
      <c r="I1022" s="34"/>
      <c r="J1022" s="35"/>
      <c r="K1022" s="35"/>
      <c r="L1022" s="34"/>
      <c r="M1022" s="35"/>
      <c r="N1022" s="36"/>
      <c r="O1022" s="322"/>
      <c r="P1022" s="38"/>
      <c r="Q1022" s="38"/>
      <c r="R1022" s="279"/>
      <c r="S1022" s="40"/>
      <c r="T1022" s="22"/>
      <c r="U1022" s="41"/>
      <c r="V1022" s="4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</row>
    <row r="1023">
      <c r="B1023" s="22"/>
      <c r="C1023" s="30"/>
      <c r="D1023" s="30"/>
      <c r="E1023" s="30"/>
      <c r="F1023" s="32"/>
      <c r="G1023" s="32"/>
      <c r="H1023" s="42"/>
      <c r="I1023" s="34"/>
      <c r="J1023" s="35"/>
      <c r="K1023" s="35"/>
      <c r="L1023" s="34"/>
      <c r="M1023" s="35"/>
      <c r="N1023" s="36"/>
      <c r="O1023" s="322"/>
      <c r="P1023" s="38"/>
      <c r="Q1023" s="38"/>
      <c r="R1023" s="279"/>
      <c r="S1023" s="40"/>
      <c r="T1023" s="22"/>
      <c r="U1023" s="41"/>
      <c r="V1023" s="4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</row>
    <row r="1024">
      <c r="B1024" s="22"/>
      <c r="C1024" s="30"/>
      <c r="D1024" s="30"/>
      <c r="E1024" s="30"/>
      <c r="F1024" s="32"/>
      <c r="G1024" s="32"/>
      <c r="H1024" s="42"/>
      <c r="I1024" s="34"/>
      <c r="J1024" s="35"/>
      <c r="K1024" s="35"/>
      <c r="L1024" s="34"/>
      <c r="M1024" s="35"/>
      <c r="N1024" s="36"/>
      <c r="O1024" s="322"/>
      <c r="P1024" s="38"/>
      <c r="Q1024" s="38"/>
      <c r="R1024" s="279"/>
      <c r="S1024" s="40"/>
      <c r="T1024" s="22"/>
      <c r="U1024" s="41"/>
      <c r="V1024" s="4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</row>
    <row r="1025">
      <c r="B1025" s="22"/>
      <c r="C1025" s="30"/>
      <c r="D1025" s="30"/>
      <c r="E1025" s="30"/>
      <c r="F1025" s="32"/>
      <c r="G1025" s="32"/>
      <c r="H1025" s="42"/>
      <c r="I1025" s="34"/>
      <c r="J1025" s="34"/>
      <c r="K1025" s="35"/>
      <c r="L1025" s="34"/>
      <c r="M1025" s="35"/>
      <c r="N1025" s="36"/>
      <c r="O1025" s="322"/>
      <c r="P1025" s="38"/>
      <c r="Q1025" s="38"/>
      <c r="R1025" s="279"/>
      <c r="S1025" s="40"/>
      <c r="T1025" s="22"/>
      <c r="U1025" s="41"/>
      <c r="V1025" s="4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</row>
    <row r="1026">
      <c r="B1026" s="22"/>
      <c r="C1026" s="30"/>
      <c r="D1026" s="30"/>
      <c r="E1026" s="30"/>
      <c r="F1026" s="32"/>
      <c r="G1026" s="32"/>
      <c r="H1026" s="42"/>
      <c r="I1026" s="34"/>
      <c r="J1026" s="34"/>
      <c r="K1026" s="35"/>
      <c r="L1026" s="34"/>
      <c r="M1026" s="35"/>
      <c r="N1026" s="36"/>
      <c r="O1026" s="322"/>
      <c r="P1026" s="38"/>
      <c r="Q1026" s="38"/>
      <c r="R1026" s="279"/>
      <c r="S1026" s="40"/>
      <c r="T1026" s="22"/>
      <c r="U1026" s="41"/>
      <c r="V1026" s="4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</row>
  </sheetData>
  <conditionalFormatting sqref="J1:J1024 K1:M1">
    <cfRule type="cellIs" dxfId="7" priority="1" operator="greaterThan">
      <formula>"0%"</formula>
    </cfRule>
  </conditionalFormatting>
  <conditionalFormatting sqref="J1:J1024 K1:M1 R1:R78 R80:R1026">
    <cfRule type="cellIs" dxfId="3" priority="2" operator="lessThanOrEqual">
      <formula>"0%"</formula>
    </cfRule>
  </conditionalFormatting>
  <conditionalFormatting sqref="R1:R78 R80:R1026">
    <cfRule type="colorScale" priority="3">
      <colorScale>
        <cfvo type="min"/>
        <cfvo type="max"/>
        <color rgb="FFFFFFFF"/>
        <color rgb="FF57BB8A"/>
      </colorScale>
    </cfRule>
  </conditionalFormatting>
  <conditionalFormatting sqref="W1:W1026">
    <cfRule type="cellIs" dxfId="8" priority="4" operator="lessThanOrEqual">
      <formula>"0%"</formula>
    </cfRule>
  </conditionalFormatting>
  <conditionalFormatting sqref="W1:W1026">
    <cfRule type="colorScale" priority="5">
      <colorScale>
        <cfvo type="min"/>
        <cfvo type="max"/>
        <color rgb="FFFFFFFF"/>
        <color rgb="FF57BB8A"/>
      </colorScale>
    </cfRule>
  </conditionalFormatting>
  <conditionalFormatting sqref="U2:U78 U80:U1026">
    <cfRule type="cellIs" dxfId="9" priority="6" operator="greaterThan">
      <formula>"0%"</formula>
    </cfRule>
  </conditionalFormatting>
  <conditionalFormatting sqref="U2:U78 U80:U1026">
    <cfRule type="cellIs" dxfId="3" priority="7" operator="lessThanOrEqual">
      <formula>"0%"</formula>
    </cfRule>
  </conditionalFormatting>
  <conditionalFormatting sqref="E192:F199">
    <cfRule type="cellIs" dxfId="3" priority="8" operator="lessThan">
      <formula>"0%"</formula>
    </cfRule>
  </conditionalFormatting>
  <conditionalFormatting sqref="D192:D199">
    <cfRule type="cellIs" dxfId="3" priority="9" operator="greaterThan">
      <formula>C192:C199</formula>
    </cfRule>
  </conditionalFormatting>
  <conditionalFormatting sqref="G192:G199">
    <cfRule type="cellIs" dxfId="3" priority="10" operator="lessThan">
      <formula>"0%"</formula>
    </cfRule>
  </conditionalFormatting>
  <conditionalFormatting sqref="C192:C199">
    <cfRule type="cellIs" dxfId="3" priority="11" operator="lessThan">
      <formula>"10%"</formula>
    </cfRule>
  </conditionalFormatting>
  <conditionalFormatting sqref="B169:H169 B174:H174">
    <cfRule type="cellIs" dxfId="3" priority="12" operator="lessThan">
      <formula>"0%"</formula>
    </cfRule>
  </conditionalFormatting>
  <printOptions gridLines="1" horizontalCentered="1"/>
  <pageMargins bottom="0.75" footer="0.0" header="0.0" left="0.25" right="0.25" top="0.75"/>
  <pageSetup paperSize="3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9.38"/>
    <col customWidth="1" min="3" max="3" width="11.13"/>
    <col customWidth="1" min="4" max="4" width="10.38"/>
    <col customWidth="1" min="5" max="5" width="9.38"/>
    <col customWidth="1" min="6" max="6" width="8.25"/>
    <col customWidth="1" min="7" max="7" width="10.13"/>
    <col customWidth="1" min="8" max="8" width="10.38"/>
    <col customWidth="1" min="9" max="9" width="11.0"/>
    <col customWidth="1" min="10" max="10" width="9.63"/>
    <col customWidth="1" min="11" max="11" width="14.75"/>
    <col customWidth="1" min="12" max="12" width="15.0"/>
    <col customWidth="1" min="13" max="13" width="15.75"/>
  </cols>
  <sheetData>
    <row r="1">
      <c r="A1" s="5"/>
      <c r="B1" s="5" t="s">
        <v>6</v>
      </c>
      <c r="C1" s="11">
        <v>2025.0</v>
      </c>
      <c r="L1" s="12"/>
      <c r="M1" s="14"/>
    </row>
    <row r="2">
      <c r="L2" s="12"/>
      <c r="M2" s="14"/>
    </row>
    <row r="3">
      <c r="L3" s="12"/>
      <c r="M3" s="14"/>
      <c r="N3" s="17"/>
    </row>
    <row r="4">
      <c r="A4" s="19" t="s">
        <v>0</v>
      </c>
      <c r="B4" s="19" t="s">
        <v>1</v>
      </c>
      <c r="C4" s="19" t="s">
        <v>7</v>
      </c>
      <c r="D4" s="19" t="s">
        <v>3</v>
      </c>
      <c r="E4" s="19" t="s">
        <v>8</v>
      </c>
      <c r="F4" s="19" t="s">
        <v>23</v>
      </c>
      <c r="G4" s="19" t="s">
        <v>25</v>
      </c>
      <c r="H4" s="19" t="s">
        <v>26</v>
      </c>
      <c r="I4" s="23" t="s">
        <v>27</v>
      </c>
      <c r="J4" s="19" t="s">
        <v>28</v>
      </c>
      <c r="K4" s="19" t="s">
        <v>29</v>
      </c>
      <c r="L4" s="24" t="s">
        <v>30</v>
      </c>
      <c r="M4" s="25" t="s">
        <v>31</v>
      </c>
      <c r="N4" s="25" t="s">
        <v>32</v>
      </c>
      <c r="O4" s="25" t="s">
        <v>33</v>
      </c>
    </row>
    <row r="5">
      <c r="A5" s="28" t="str">
        <f t="array" ref="A5">XLOOKUP($B5,'Maestro de productos 2024'!$A$3:$A$163,'Maestro de productos 2024'!$B$3:$B$163,0)</f>
        <v>ID-3824</v>
      </c>
      <c r="B5" s="29" t="str">
        <f>'Maestro de productos 2024'!$A$3</f>
        <v>Galletas chocochips</v>
      </c>
      <c r="C5" s="14">
        <f>IF($C$1="Todos",SUMIF('Base de datos transacciones'!$A$2:$A$162,$A5,'Base de datos transacciones'!$K$2:$K$162),SUMIFS('Base de datos transacciones'!$K$2:$K$162,'Base de datos transacciones'!$C$2:$C$162,$C$1,'Base de datos transacciones'!$A$2:$A$162,$A5))</f>
        <v>5790</v>
      </c>
      <c r="D5" s="14">
        <f>IF($C$1="Todos",SUMIF('Base de datos transacciones'!$A$2:$A$162,$A5,'Base de datos transacciones'!$J$2:$J$162),SUMIFS('Base de datos transacciones'!$J$2:$J$162,'Base de datos transacciones'!$C$2:$C$162,$C$1,'Base de datos transacciones'!$A$2:$A$162,$A5))</f>
        <v>2357.53977</v>
      </c>
      <c r="E5" s="14">
        <f t="shared" ref="E5:E12" si="1">C5-D5</f>
        <v>3432.46023</v>
      </c>
      <c r="F5" s="33">
        <f t="shared" ref="F5:F13" si="2">E5/C5</f>
        <v>0.592825601</v>
      </c>
      <c r="G5" s="14">
        <f>IF($C$1="Todos",(($C5*0.2)+'Maestro de productos 2024'!$I189+'Maestro de productos 2025'!$I189),IF($C$1=2024,(($C5*0.2)+'Maestro de productos 2024'!$I189),(($C5*0.2)+'Maestro de productos 2025'!$I189)))</f>
        <v>1276.080576</v>
      </c>
      <c r="H5" s="14">
        <f t="shared" ref="H5:H12" si="3">E5-G5</f>
        <v>2156.379654</v>
      </c>
      <c r="I5" s="14">
        <f t="shared" ref="I5:I12" si="4">C5*0.01</f>
        <v>57.9</v>
      </c>
      <c r="J5" s="14">
        <f t="shared" ref="J5:J12" si="5">H5-I5</f>
        <v>2098.479654</v>
      </c>
      <c r="K5" s="29">
        <f>IF($C$1="Todos",SUMIF('Base de datos transacciones'!$A$2:$A$162,$A5,'Base de datos transacciones'!$H$2:$H$162),SUMIFS('Base de datos transacciones'!$H$2:$H$162,'Base de datos transacciones'!$C$2:$C$162,$C$1,'Base de datos transacciones'!$A$2:$A$162,$A5))</f>
        <v>579</v>
      </c>
      <c r="L5" s="12">
        <f>IF($C$1="Todos",(($D$5-('Maestro de productos 2024'!$J$189+'Maestro de productos 2025'!$J$189))/$D$5),IF($C$1=2024,(($D$5-'Maestro de productos 2024'!$J$189)/$D$5),(($D$5-'Maestro de productos 2025'!$J$189)/$D$5)))</f>
        <v>-1.455950085</v>
      </c>
      <c r="M5" s="49">
        <f t="shared" ref="M5:M12" si="6">K5/$K$13</f>
        <v>0.3036182486</v>
      </c>
      <c r="N5" s="49">
        <f t="shared" ref="N5:N12" si="7">C5/$C$13</f>
        <v>0.2130713182</v>
      </c>
      <c r="O5" s="14">
        <f>IF($C$1="Todos",('Maestro de productos 2025'!$G$197*('Maestro de productos 2025'!L189-'Maestro de productos 2024'!L189)*'Maestro de productos 2024'!K189),IF($C$1=2024,($K$13*(M5-0.125)*'Maestro de productos 2024'!K189),($K$13*(M5-0.125)*'Maestro de productos 2025'!K189)))</f>
        <v>2019.312203</v>
      </c>
      <c r="P5" s="14"/>
      <c r="S5" s="14"/>
      <c r="T5" s="49"/>
      <c r="U5" s="33"/>
      <c r="V5" s="49"/>
    </row>
    <row r="6">
      <c r="A6" s="28" t="str">
        <f t="array" ref="A6">XLOOKUP($B6,'Maestro de productos 2024'!$A$3:$A$163,'Maestro de productos 2024'!$B$3:$B$163,0)</f>
        <v>ID-3825</v>
      </c>
      <c r="B6" s="29" t="str">
        <f>'Maestro de productos 2024'!$A$26</f>
        <v>Mini cheesecake</v>
      </c>
      <c r="C6" s="14">
        <f>IF($C$1="Todos",SUMIF('Base de datos transacciones'!$A$2:$A$162,$A6,'Base de datos transacciones'!$K$2:$K$162),SUMIFS('Base de datos transacciones'!$K$2:$K$162,'Base de datos transacciones'!$C$2:$C$162,$C$1,'Base de datos transacciones'!$A$2:$A$162,$A6))</f>
        <v>3475</v>
      </c>
      <c r="D6" s="14">
        <f>IF($C$1="Todos",SUMIF('Base de datos transacciones'!$A$2:$A$162,$A6,'Base de datos transacciones'!$J$2:$J$162),SUMIFS('Base de datos transacciones'!$J$2:$J$162,'Base de datos transacciones'!$C$2:$C$162,$C$1,'Base de datos transacciones'!$A$2:$A$162,$A6))</f>
        <v>1426.766394</v>
      </c>
      <c r="E6" s="14">
        <f t="shared" si="1"/>
        <v>2048.233606</v>
      </c>
      <c r="F6" s="33">
        <f t="shared" si="2"/>
        <v>0.5894197426</v>
      </c>
      <c r="G6" s="14">
        <f>IF($C$1="Todos",(($C6*0.2)+'Maestro de productos 2024'!$I190+'Maestro de productos 2025'!$I190),IF($C$1=2024,(($C6*0.2)+'Maestro de productos 2024'!$I190),(($C6*0.2)+'Maestro de productos 2025'!$I190)))</f>
        <v>746.3225322</v>
      </c>
      <c r="H6" s="14">
        <f t="shared" si="3"/>
        <v>1301.911074</v>
      </c>
      <c r="I6" s="14">
        <f t="shared" si="4"/>
        <v>34.75</v>
      </c>
      <c r="J6" s="14">
        <f t="shared" si="5"/>
        <v>1267.161074</v>
      </c>
      <c r="K6" s="29">
        <f>IF($C$1="Todos",SUMIF('Base de datos transacciones'!$A$2:$A$162,$A6,'Base de datos transacciones'!$H$2:$H$162),SUMIFS('Base de datos transacciones'!$H$2:$H$162,'Base de datos transacciones'!$C$2:$C$162,$C$1,'Base de datos transacciones'!$A$2:$A$162,$A6))</f>
        <v>139</v>
      </c>
      <c r="L6" s="12">
        <f>IF($C$1="Todos",(($D$6-('Maestro de productos 2024'!$J$190+'Maestro de productos 2025'!$J$190))/$D$6),IF($C$1=2024,(($D$6-'Maestro de productos 2024'!$J$190)/$D$6),(($D$6-'Maestro de productos 2025'!$J$190)/$D$6)))</f>
        <v>-1.43557741</v>
      </c>
      <c r="M6" s="49">
        <f t="shared" si="6"/>
        <v>0.07288935501</v>
      </c>
      <c r="N6" s="49">
        <f t="shared" si="7"/>
        <v>0.1278795908</v>
      </c>
      <c r="O6" s="14">
        <f>IF($C$1="Todos",('Maestro de productos 2025'!$G$197*('Maestro de productos 2025'!L190-'Maestro de productos 2024'!L190)*'Maestro de productos 2024'!K190),IF($C$1=2024,($K$13*(M6-0.125)*'Maestro de productos 2024'!K190),($K$13*(M6-0.125)*'Maestro de productos 2025'!K190)))</f>
        <v>-1464.339673</v>
      </c>
      <c r="P6" s="14"/>
      <c r="S6" s="14"/>
      <c r="T6" s="49"/>
      <c r="U6" s="55"/>
      <c r="V6" s="49"/>
    </row>
    <row r="7">
      <c r="A7" s="28" t="str">
        <f t="array" ref="A7">XLOOKUP($B7,'Maestro de productos 2024'!$A$3:$A$163,'Maestro de productos 2024'!$B$3:$B$163,0)</f>
        <v>ID-3826</v>
      </c>
      <c r="B7" s="29" t="str">
        <f>'Maestro de productos 2024'!$A$51</f>
        <v>Brownie triple chocolate</v>
      </c>
      <c r="C7" s="14">
        <f>IF($C$1="Todos",SUMIF('Base de datos transacciones'!$A$2:$A$162,$A7,'Base de datos transacciones'!$K$2:$K$162),SUMIFS('Base de datos transacciones'!$K$2:$K$162,'Base de datos transacciones'!$C$2:$C$162,$C$1,'Base de datos transacciones'!$A$2:$A$162,$A7))</f>
        <v>3220</v>
      </c>
      <c r="D7" s="14">
        <f>IF($C$1="Todos",SUMIF('Base de datos transacciones'!$A$2:$A$162,$A7,'Base de datos transacciones'!$J$2:$J$162),SUMIFS('Base de datos transacciones'!$J$2:$J$162,'Base de datos transacciones'!$C$2:$C$162,$C$1,'Base de datos transacciones'!$A$2:$A$162,$A7))</f>
        <v>1299.772877</v>
      </c>
      <c r="E7" s="14">
        <f t="shared" si="1"/>
        <v>1920.227123</v>
      </c>
      <c r="F7" s="33">
        <f t="shared" si="2"/>
        <v>0.5963438272</v>
      </c>
      <c r="G7" s="14">
        <f>IF($C$1="Todos",(($C7*0.2)+'Maestro de productos 2024'!$I191+'Maestro de productos 2025'!$I191),IF($C$1=2024,(($C7*0.2)+'Maestro de productos 2024'!$I191),(($C7*0.2)+'Maestro de productos 2025'!$I191)))</f>
        <v>652.0731235</v>
      </c>
      <c r="H7" s="14">
        <f t="shared" si="3"/>
        <v>1268.154</v>
      </c>
      <c r="I7" s="14">
        <f t="shared" si="4"/>
        <v>32.2</v>
      </c>
      <c r="J7" s="14">
        <f t="shared" si="5"/>
        <v>1235.954</v>
      </c>
      <c r="K7" s="29">
        <f>IF($C$1="Todos",SUMIF('Base de datos transacciones'!$A$2:$A$162,$A7,'Base de datos transacciones'!$H$2:$H$162),SUMIFS('Base de datos transacciones'!$H$2:$H$162,'Base de datos transacciones'!$C$2:$C$162,$C$1,'Base de datos transacciones'!$A$2:$A$162,$A7))</f>
        <v>161</v>
      </c>
      <c r="L7" s="12">
        <f>IF($C$1="Todos",(($D$7-('Maestro de productos 2024'!$J$191+'Maestro de productos 2025'!$J$191))/$D$7),IF($C$1=2024,(($D$7-'Maestro de productos 2024'!$J$191)/$D$7),(($D$7-'Maestro de productos 2025'!$J$191)/$D$7)))</f>
        <v>-1.477355897</v>
      </c>
      <c r="M7" s="49">
        <f t="shared" si="6"/>
        <v>0.08442579969</v>
      </c>
      <c r="N7" s="49">
        <f t="shared" si="7"/>
        <v>0.1184956208</v>
      </c>
      <c r="O7" s="14">
        <f>IF($C$1="Todos",('Maestro de productos 2025'!$G$197*('Maestro de productos 2025'!L191-'Maestro de productos 2024'!L191)*'Maestro de productos 2024'!K191),IF($C$1=2024,($K$13*(M7-0.125)*'Maestro de productos 2024'!K191),($K$13*(M7-0.125)*'Maestro de productos 2025'!K191)))</f>
        <v>-922.8420725</v>
      </c>
      <c r="P7" s="14"/>
      <c r="S7" s="14"/>
      <c r="T7" s="49"/>
      <c r="U7" s="33"/>
      <c r="V7" s="49"/>
    </row>
    <row r="8">
      <c r="A8" s="28" t="str">
        <f t="array" ref="A8">XLOOKUP($B8,'Maestro de productos 2024'!$A$3:$A$163,'Maestro de productos 2024'!$B$3:$B$163,0)</f>
        <v>ID-3827</v>
      </c>
      <c r="B8" s="29" t="str">
        <f>'Maestro de productos 2024'!$A$75</f>
        <v>Galletas danesas</v>
      </c>
      <c r="C8" s="14">
        <f>IF($C$1="Todos",SUMIF('Base de datos transacciones'!$A$2:$A$162,$A8,'Base de datos transacciones'!$K$2:$K$162),SUMIFS('Base de datos transacciones'!$K$2:$K$162,'Base de datos transacciones'!$C$2:$C$162,$C$1,'Base de datos transacciones'!$A$2:$A$162,$A8))</f>
        <v>2975</v>
      </c>
      <c r="D8" s="14">
        <f>IF($C$1="Todos",SUMIF('Base de datos transacciones'!$A$2:$A$162,$A8,'Base de datos transacciones'!$J$2:$J$162),SUMIFS('Base de datos transacciones'!$J$2:$J$162,'Base de datos transacciones'!$C$2:$C$162,$C$1,'Base de datos transacciones'!$A$2:$A$162,$A8))</f>
        <v>1322.506288</v>
      </c>
      <c r="E8" s="14">
        <f t="shared" si="1"/>
        <v>1652.493712</v>
      </c>
      <c r="F8" s="33">
        <f t="shared" si="2"/>
        <v>0.5554600714</v>
      </c>
      <c r="G8" s="14">
        <f>IF($C$1="Todos",(($C8*0.2)+'Maestro de productos 2024'!$I192+'Maestro de productos 2025'!$I192),IF($C$1=2024,(($C8*0.2)+'Maestro de productos 2024'!$I192),(($C8*0.2)+'Maestro de productos 2025'!$I192)))</f>
        <v>688.353385</v>
      </c>
      <c r="H8" s="14">
        <f t="shared" si="3"/>
        <v>964.1403273</v>
      </c>
      <c r="I8" s="14">
        <f t="shared" si="4"/>
        <v>29.75</v>
      </c>
      <c r="J8" s="14">
        <f t="shared" si="5"/>
        <v>934.3903273</v>
      </c>
      <c r="K8" s="29">
        <f>IF($C$1="Todos",SUMIF('Base de datos transacciones'!$A$2:$A$162,$A8,'Base de datos transacciones'!$H$2:$H$162),SUMIFS('Base de datos transacciones'!$H$2:$H$162,'Base de datos transacciones'!$C$2:$C$162,$C$1,'Base de datos transacciones'!$A$2:$A$162,$A8))</f>
        <v>425</v>
      </c>
      <c r="L8" s="12">
        <f>IF($C$1="Todos",(($D$8-('Maestro de productos 2024'!$J$192+'Maestro de productos 2025'!$J$192))/$D$8),IF($C$1=2024,(($D$8-'Maestro de productos 2024'!$J$192)/$D$8),(($D$8-'Maestro de productos 2025'!$J$192)/$D$8)))</f>
        <v>-1.249516715</v>
      </c>
      <c r="M8" s="49">
        <f t="shared" si="6"/>
        <v>0.2228631358</v>
      </c>
      <c r="N8" s="49">
        <f t="shared" si="7"/>
        <v>0.1094796497</v>
      </c>
      <c r="O8" s="14">
        <f>IF($C$1="Todos",('Maestro de productos 2025'!$G$197*('Maestro de productos 2025'!L192-'Maestro de productos 2024'!L192)*'Maestro de productos 2024'!K192),IF($C$1=2024,($K$13*(M8-0.125)*'Maestro de productos 2024'!K192),($K$13*(M8-0.125)*'Maestro de productos 2025'!K192)))</f>
        <v>725.6391507</v>
      </c>
      <c r="P8" s="14"/>
      <c r="S8" s="14"/>
      <c r="T8" s="49"/>
      <c r="U8" s="33"/>
      <c r="V8" s="49"/>
    </row>
    <row r="9">
      <c r="A9" s="28" t="str">
        <f t="array" ref="A9">XLOOKUP($B9,'Maestro de productos 2024'!$A$3:$A$163,'Maestro de productos 2024'!$B$3:$B$163,0)</f>
        <v>ID-3828</v>
      </c>
      <c r="B9" s="29" t="str">
        <f>'Maestro de productos 2024'!$A$96</f>
        <v>Muffins de yogurt</v>
      </c>
      <c r="C9" s="14">
        <f>IF($C$1="Todos",SUMIF('Base de datos transacciones'!$A$2:$A$162,$A9,'Base de datos transacciones'!$K$2:$K$162),SUMIFS('Base de datos transacciones'!$K$2:$K$162,'Base de datos transacciones'!$C$2:$C$162,$C$1,'Base de datos transacciones'!$A$2:$A$162,$A9))</f>
        <v>7812</v>
      </c>
      <c r="D9" s="14">
        <f>IF($C$1="Todos",SUMIF('Base de datos transacciones'!$A$2:$A$162,$A9,'Base de datos transacciones'!$J$2:$J$162),SUMIFS('Base de datos transacciones'!$J$2:$J$162,'Base de datos transacciones'!$C$2:$C$162,$C$1,'Base de datos transacciones'!$A$2:$A$162,$A9))</f>
        <v>3109.678624</v>
      </c>
      <c r="E9" s="14">
        <f t="shared" si="1"/>
        <v>4702.321376</v>
      </c>
      <c r="F9" s="33">
        <f t="shared" si="2"/>
        <v>0.60193566</v>
      </c>
      <c r="G9" s="14">
        <f>IF($C$1="Todos",(($C9*0.2)+'Maestro de productos 2024'!$I193+'Maestro de productos 2025'!$I193),IF($C$1=2024,(($C9*0.2)+'Maestro de productos 2024'!$I193),(($C9*0.2)+'Maestro de productos 2025'!$I193)))</f>
        <v>1562.4</v>
      </c>
      <c r="H9" s="14">
        <f t="shared" si="3"/>
        <v>3139.921376</v>
      </c>
      <c r="I9" s="14">
        <f t="shared" si="4"/>
        <v>78.12</v>
      </c>
      <c r="J9" s="14">
        <f t="shared" si="5"/>
        <v>3061.801376</v>
      </c>
      <c r="K9" s="29">
        <f>IF($C$1="Todos",SUMIF('Base de datos transacciones'!$A$2:$A$162,$A9,'Base de datos transacciones'!$H$2:$H$162),SUMIFS('Base de datos transacciones'!$H$2:$H$162,'Base de datos transacciones'!$C$2:$C$162,$C$1,'Base de datos transacciones'!$A$2:$A$162,$A9))</f>
        <v>372</v>
      </c>
      <c r="L9" s="12">
        <f>IF($C$1="Todos",(($D$9-('Maestro de productos 2024'!$J$193+'Maestro de productos 2025'!$J$193))/$D$9),IF($C$1=2024,(($D$9-'Maestro de productos 2024'!$J$193)/$D$9),(($D$9-'Maestro de productos 2025'!$J$193)/$D$9)))</f>
        <v>-1.512156703</v>
      </c>
      <c r="M9" s="49">
        <f t="shared" si="6"/>
        <v>0.1950707918</v>
      </c>
      <c r="N9" s="49">
        <f t="shared" si="7"/>
        <v>0.2874806801</v>
      </c>
      <c r="O9" s="14">
        <f>IF($C$1="Todos",('Maestro de productos 2025'!$G$197*('Maestro de productos 2025'!L193-'Maestro de productos 2024'!L193)*'Maestro de productos 2024'!K193),IF($C$1=2024,($K$13*(M9-0.125)*'Maestro de productos 2024'!K193),($K$13*(M9-0.125)*'Maestro de productos 2025'!K193)))</f>
        <v>1689.106704</v>
      </c>
      <c r="P9" s="14"/>
      <c r="S9" s="14"/>
      <c r="T9" s="49"/>
      <c r="U9" s="33"/>
      <c r="V9" s="49"/>
    </row>
    <row r="10">
      <c r="A10" s="28" t="str">
        <f t="array" ref="A10">XLOOKUP($B10,'Maestro de productos 2024'!$A$3:$A$163,'Maestro de productos 2024'!$B$3:$B$163,0)</f>
        <v>ID-3829</v>
      </c>
      <c r="B10" s="29" t="str">
        <f>'Maestro de productos 2024'!$A$119</f>
        <v>Besos de nuez</v>
      </c>
      <c r="C10" s="14">
        <f>IF($C$1="Todos",SUMIF('Base de datos transacciones'!$A$2:$A$162,$A10,'Base de datos transacciones'!$K$2:$K$162),SUMIFS('Base de datos transacciones'!$K$2:$K$162,'Base de datos transacciones'!$C$2:$C$162,$C$1,'Base de datos transacciones'!$A$2:$A$162,$A10))</f>
        <v>720</v>
      </c>
      <c r="D10" s="14">
        <f>IF($C$1="Todos",SUMIF('Base de datos transacciones'!$A$2:$A$162,$A10,'Base de datos transacciones'!$J$2:$J$162),SUMIFS('Base de datos transacciones'!$J$2:$J$162,'Base de datos transacciones'!$C$2:$C$162,$C$1,'Base de datos transacciones'!$A$2:$A$162,$A10))</f>
        <v>288.8694872</v>
      </c>
      <c r="E10" s="14">
        <f t="shared" si="1"/>
        <v>431.1305128</v>
      </c>
      <c r="F10" s="33">
        <f t="shared" si="2"/>
        <v>0.5987923789</v>
      </c>
      <c r="G10" s="14">
        <f>IF($C$1="Todos",(($C10*0.2)+'Maestro de productos 2024'!$I194+'Maestro de productos 2025'!$I194),IF($C$1=2024,(($C10*0.2)+'Maestro de productos 2024'!$I194),(($C10*0.2)+'Maestro de productos 2025'!$I194)))</f>
        <v>216.2173718</v>
      </c>
      <c r="H10" s="14">
        <f t="shared" si="3"/>
        <v>214.913141</v>
      </c>
      <c r="I10" s="14">
        <f t="shared" si="4"/>
        <v>7.2</v>
      </c>
      <c r="J10" s="14">
        <f t="shared" si="5"/>
        <v>207.713141</v>
      </c>
      <c r="K10" s="29">
        <f>IF($C$1="Todos",SUMIF('Base de datos transacciones'!$A$2:$A$162,$A10,'Base de datos transacciones'!$H$2:$H$162),SUMIFS('Base de datos transacciones'!$H$2:$H$162,'Base de datos transacciones'!$C$2:$C$162,$C$1,'Base de datos transacciones'!$A$2:$A$162,$A10))</f>
        <v>80</v>
      </c>
      <c r="L10" s="12">
        <f>IF($C$1="Todos",(($D$10-('Maestro de productos 2024'!$J$194+'Maestro de productos 2025'!$J$194))/$D$10),IF($C$1=2024,(($D$10-'Maestro de productos 2024'!$J$194)/$D$10),(($D$10-'Maestro de productos 2025'!$J$194)/$D$10)))</f>
        <v>-1.492475086</v>
      </c>
      <c r="M10" s="49">
        <f t="shared" si="6"/>
        <v>0.04195070792</v>
      </c>
      <c r="N10" s="49">
        <f t="shared" si="7"/>
        <v>0.02649591521</v>
      </c>
      <c r="O10" s="14">
        <f>IF($C$1="Todos",('Maestro de productos 2025'!$G$197*('Maestro de productos 2025'!L194-'Maestro de productos 2024'!L194)*'Maestro de productos 2024'!K194),IF($C$1=2024,($K$13*(M10-0.125)*'Maestro de productos 2024'!K194),($K$13*(M10-0.125)*'Maestro de productos 2025'!K194)))</f>
        <v>-853.5036871</v>
      </c>
      <c r="P10" s="14"/>
      <c r="S10" s="14"/>
      <c r="T10" s="49"/>
      <c r="U10" s="55"/>
      <c r="V10" s="49"/>
    </row>
    <row r="11">
      <c r="A11" s="28" t="str">
        <f t="array" ref="A11">XLOOKUP($B11,'Maestro de productos 2024'!$A$3:$A$163,'Maestro de productos 2024'!$B$3:$B$163,0)</f>
        <v>ID-3830</v>
      </c>
      <c r="B11" s="29" t="str">
        <f>'Maestro de productos 2024'!$A$140</f>
        <v>Flan de queso crema</v>
      </c>
      <c r="C11" s="14">
        <f>IF($C$1="Todos",SUMIF('Base de datos transacciones'!$A$2:$A$162,$A11,'Base de datos transacciones'!$K$2:$K$162),SUMIFS('Base de datos transacciones'!$K$2:$K$162,'Base de datos transacciones'!$C$2:$C$162,$C$1,'Base de datos transacciones'!$A$2:$A$162,$A11))</f>
        <v>522</v>
      </c>
      <c r="D11" s="14">
        <f>IF($C$1="Todos",SUMIF('Base de datos transacciones'!$A$2:$A$162,$A11,'Base de datos transacciones'!$J$2:$J$162),SUMIFS('Base de datos transacciones'!$J$2:$J$162,'Base de datos transacciones'!$C$2:$C$162,$C$1,'Base de datos transacciones'!$A$2:$A$162,$A11))</f>
        <v>214.86375</v>
      </c>
      <c r="E11" s="14">
        <f t="shared" si="1"/>
        <v>307.13625</v>
      </c>
      <c r="F11" s="33">
        <f t="shared" si="2"/>
        <v>0.5883836207</v>
      </c>
      <c r="G11" s="14">
        <f>IF($C$1="Todos",(($C11*0.2)+'Maestro de productos 2024'!$I195+'Maestro de productos 2025'!$I195),IF($C$1=2024,(($C11*0.2)+'Maestro de productos 2024'!$I195),(($C11*0.2)+'Maestro de productos 2025'!$I195)))</f>
        <v>104.4</v>
      </c>
      <c r="H11" s="14">
        <f t="shared" si="3"/>
        <v>202.73625</v>
      </c>
      <c r="I11" s="14">
        <f t="shared" si="4"/>
        <v>5.22</v>
      </c>
      <c r="J11" s="14">
        <f t="shared" si="5"/>
        <v>197.51625</v>
      </c>
      <c r="K11" s="29">
        <f>IF($C$1="Todos",SUMIF('Base de datos transacciones'!$A$2:$A$162,$A11,'Base de datos transacciones'!$H$2:$H$162),SUMIFS('Base de datos transacciones'!$H$2:$H$162,'Base de datos transacciones'!$C$2:$C$162,$C$1,'Base de datos transacciones'!$A$2:$A$162,$A11))</f>
        <v>18</v>
      </c>
      <c r="L11" s="12">
        <f>IF($C$1="Todos",(($D$11-('Maestro de productos 2024'!$J$195+'Maestro de productos 2025'!$J$195))/$D$11),IF($C$1=2024,(($D$11-'Maestro de productos 2024'!$J$195)/$D$11),(($D$11-'Maestro de productos 2025'!$J$195)/$D$11)))</f>
        <v>-1.429446568</v>
      </c>
      <c r="M11" s="49">
        <f t="shared" si="6"/>
        <v>0.009438909282</v>
      </c>
      <c r="N11" s="49">
        <f t="shared" si="7"/>
        <v>0.01920953853</v>
      </c>
      <c r="O11" s="14">
        <f>IF($C$1="Todos",('Maestro de productos 2025'!$G$197*('Maestro de productos 2025'!L195-'Maestro de productos 2024'!L195)*'Maestro de productos 2024'!K195),IF($C$1=2024,($K$13*(M11-0.125)*'Maestro de productos 2024'!K195),($K$13*(M11-0.125)*'Maestro de productos 2025'!K195)))</f>
        <v>-3760.286172</v>
      </c>
      <c r="P11" s="14"/>
      <c r="S11" s="14"/>
      <c r="T11" s="49"/>
      <c r="U11" s="55"/>
      <c r="V11" s="49"/>
    </row>
    <row r="12">
      <c r="A12" s="28" t="str">
        <f t="array" ref="A12">XLOOKUP($B12,'Maestro de productos 2024'!$A$3:$A$163,'Maestro de productos 2024'!$B$3:$B$163,0)</f>
        <v>ID-3831</v>
      </c>
      <c r="B12" s="29" t="str">
        <f>'Maestro de productos 2024'!$A$163</f>
        <v>Muffin de chocolate</v>
      </c>
      <c r="C12" s="14">
        <f>IF($C$1="Todos",SUMIF('Base de datos transacciones'!$A$2:$A$162,$A12,'Base de datos transacciones'!$K$2:$K$162),SUMIFS('Base de datos transacciones'!$K$2:$K$162,'Base de datos transacciones'!$C$2:$C$162,$C$1,'Base de datos transacciones'!$A$2:$A$162,$A12))</f>
        <v>2660</v>
      </c>
      <c r="D12" s="14">
        <f>IF($C$1="Todos",SUMIF('Base de datos transacciones'!$A$2:$A$162,$A12,'Base de datos transacciones'!$J$2:$J$162),SUMIFS('Base de datos transacciones'!$J$2:$J$162,'Base de datos transacciones'!$C$2:$C$162,$C$1,'Base de datos transacciones'!$A$2:$A$162,$A12))</f>
        <v>1049.33809</v>
      </c>
      <c r="E12" s="14">
        <f t="shared" si="1"/>
        <v>1610.66191</v>
      </c>
      <c r="F12" s="33">
        <f t="shared" si="2"/>
        <v>0.6055119963</v>
      </c>
      <c r="G12" s="14">
        <f>IF($C$1="Todos",(($C12*0.2)+'Maestro de productos 2024'!$I196+'Maestro de productos 2025'!$I196),IF($C$1=2024,(($C12*0.2)+'Maestro de productos 2024'!$I196),(($C12*0.2)+'Maestro de productos 2025'!$I196)))</f>
        <v>587.2283205</v>
      </c>
      <c r="H12" s="14">
        <f t="shared" si="3"/>
        <v>1023.43359</v>
      </c>
      <c r="I12" s="14">
        <f t="shared" si="4"/>
        <v>26.6</v>
      </c>
      <c r="J12" s="14">
        <f t="shared" si="5"/>
        <v>996.8335897</v>
      </c>
      <c r="K12" s="29">
        <f>IF($C$1="Todos",SUMIF('Base de datos transacciones'!$A$2:$A$162,$A12,'Base de datos transacciones'!$H$2:$H$162),SUMIFS('Base de datos transacciones'!$H$2:$H$162,'Base de datos transacciones'!$C$2:$C$162,$C$1,'Base de datos transacciones'!$A$2:$A$162,$A12))</f>
        <v>133</v>
      </c>
      <c r="L12" s="12">
        <f>IF($C$1="Todos",(($D$12-('Maestro de productos 2024'!$J$196+'Maestro de productos 2025'!$J$196))/$D$12),IF($C$1=2024,(($D$12-'Maestro de productos 2024'!$J$196)/$D$12),(($D$12-'Maestro de productos 2025'!$J$196)/$D$12)))</f>
        <v>-1.534931331</v>
      </c>
      <c r="M12" s="49">
        <f t="shared" si="6"/>
        <v>0.06974305191</v>
      </c>
      <c r="N12" s="49">
        <f t="shared" si="7"/>
        <v>0.09788768676</v>
      </c>
      <c r="O12" s="14">
        <f>IF($C$1="Todos",('Maestro de productos 2025'!$G$197*('Maestro de productos 2025'!L196-'Maestro de productos 2024'!L196)*'Maestro de productos 2024'!K196),IF($C$1=2024,($K$13*(M12-0.125)*'Maestro de productos 2024'!K196),($K$13*(M12-0.125)*'Maestro de productos 2025'!K196)))</f>
        <v>-1276.116532</v>
      </c>
      <c r="P12" s="14"/>
      <c r="S12" s="14"/>
      <c r="T12" s="49"/>
      <c r="U12" s="33"/>
      <c r="V12" s="49"/>
    </row>
    <row r="13">
      <c r="B13" s="111" t="s">
        <v>96</v>
      </c>
      <c r="C13" s="115">
        <f t="shared" ref="C13:E13" si="8">SUM(C5:C12)</f>
        <v>27174</v>
      </c>
      <c r="D13" s="115">
        <f t="shared" si="8"/>
        <v>11069.33528</v>
      </c>
      <c r="E13" s="115">
        <f t="shared" si="8"/>
        <v>16104.66472</v>
      </c>
      <c r="F13" s="116">
        <f t="shared" si="2"/>
        <v>0.5926497652</v>
      </c>
      <c r="G13" s="115">
        <f t="shared" ref="G13:K13" si="9">SUM(G5:G12)</f>
        <v>5833.075309</v>
      </c>
      <c r="H13" s="115">
        <f t="shared" si="9"/>
        <v>10271.58941</v>
      </c>
      <c r="I13" s="115">
        <f t="shared" si="9"/>
        <v>271.74</v>
      </c>
      <c r="J13" s="115">
        <f t="shared" si="9"/>
        <v>9999.849412</v>
      </c>
      <c r="K13" s="118">
        <f t="shared" si="9"/>
        <v>1907</v>
      </c>
      <c r="L13" s="119"/>
      <c r="O13" s="14"/>
      <c r="P13" s="14"/>
    </row>
    <row r="14">
      <c r="F14" s="33"/>
      <c r="L14" s="12"/>
      <c r="M14" s="120"/>
    </row>
    <row r="15">
      <c r="C15" s="14"/>
      <c r="D15" s="121"/>
      <c r="E15" s="14"/>
      <c r="F15" s="33"/>
      <c r="G15" s="14"/>
      <c r="M15" s="33"/>
      <c r="P15" s="122"/>
    </row>
    <row r="16">
      <c r="D16" s="121"/>
      <c r="E16" s="121"/>
      <c r="F16" s="33"/>
    </row>
    <row r="17">
      <c r="C17" s="14"/>
      <c r="D17" s="14"/>
      <c r="F17" s="33"/>
    </row>
    <row r="18">
      <c r="C18" s="14"/>
      <c r="D18" s="14"/>
    </row>
    <row r="19">
      <c r="C19" s="14"/>
      <c r="D19" s="14"/>
    </row>
    <row r="20">
      <c r="C20" s="14"/>
      <c r="D20" s="14"/>
    </row>
    <row r="21">
      <c r="C21" s="14"/>
      <c r="D21" s="14"/>
    </row>
    <row r="22">
      <c r="C22" s="14"/>
      <c r="D22" s="14"/>
    </row>
    <row r="23">
      <c r="C23" s="14"/>
      <c r="D23" s="14"/>
    </row>
    <row r="26">
      <c r="F26" s="33"/>
      <c r="L26" s="123"/>
      <c r="M26" s="120"/>
      <c r="N26" s="14"/>
    </row>
    <row r="27">
      <c r="F27" s="33"/>
      <c r="L27" s="12"/>
      <c r="M27" s="120"/>
      <c r="N27" s="14"/>
      <c r="O27" s="49"/>
    </row>
    <row r="28">
      <c r="F28" s="33"/>
      <c r="O28" s="49"/>
    </row>
    <row r="29">
      <c r="F29" s="33"/>
      <c r="O29" s="49"/>
    </row>
    <row r="30">
      <c r="C30" s="11" t="s">
        <v>7</v>
      </c>
      <c r="D30" s="11" t="s">
        <v>3</v>
      </c>
      <c r="E30" s="11" t="s">
        <v>23</v>
      </c>
      <c r="F30" s="33"/>
      <c r="O30" s="49"/>
    </row>
    <row r="31">
      <c r="B31" s="11" t="s">
        <v>98</v>
      </c>
      <c r="C31" s="14">
        <v>3396.75</v>
      </c>
      <c r="D31" s="115">
        <v>1383.6669099779813</v>
      </c>
      <c r="E31" s="33">
        <f>(C31-D31)/C31</f>
        <v>0.5926497652</v>
      </c>
      <c r="O31" s="49"/>
    </row>
    <row r="32">
      <c r="F32" s="33"/>
      <c r="O32" s="49"/>
    </row>
    <row r="33">
      <c r="C33" s="118">
        <f>C31*1.1</f>
        <v>3736.425</v>
      </c>
      <c r="E33" s="33">
        <f>(C33-D31)/C33</f>
        <v>0.6296816047</v>
      </c>
      <c r="O33" s="49"/>
    </row>
    <row r="34">
      <c r="O34" s="49"/>
    </row>
    <row r="35">
      <c r="B35" s="11" t="s">
        <v>99</v>
      </c>
      <c r="C35" s="14">
        <v>3448.875</v>
      </c>
      <c r="D35" s="115">
        <v>1277.6493421427224</v>
      </c>
      <c r="E35" s="33">
        <f>(C31-D35)/C31</f>
        <v>0.6238612373</v>
      </c>
      <c r="O35" s="49"/>
      <c r="P35" s="33"/>
    </row>
    <row r="36">
      <c r="O36" s="49"/>
    </row>
    <row r="38">
      <c r="A38" s="11" t="s">
        <v>0</v>
      </c>
      <c r="B38" s="124">
        <v>2024.0</v>
      </c>
      <c r="C38" s="125" t="s">
        <v>8</v>
      </c>
      <c r="D38" s="124" t="s">
        <v>100</v>
      </c>
      <c r="E38" s="124" t="s">
        <v>101</v>
      </c>
      <c r="F38" s="124"/>
      <c r="G38" s="125"/>
      <c r="H38" s="125"/>
      <c r="I38" s="125"/>
      <c r="J38" s="125"/>
      <c r="K38" s="125"/>
      <c r="L38" s="12"/>
      <c r="M38" s="126"/>
      <c r="N38" s="124"/>
      <c r="O38" s="124"/>
      <c r="P38" s="124"/>
      <c r="Q38" s="124"/>
      <c r="S38" s="124"/>
      <c r="T38" s="124"/>
      <c r="U38" s="124"/>
      <c r="V38" s="124"/>
    </row>
    <row r="39">
      <c r="A39" s="121" t="s">
        <v>74</v>
      </c>
      <c r="B39" s="11" t="s">
        <v>38</v>
      </c>
      <c r="C39" s="14">
        <v>3962.068</v>
      </c>
      <c r="D39" s="33">
        <f t="shared" ref="D39:D46" si="10">C39/$C$47</f>
        <v>0.2281008877</v>
      </c>
      <c r="E39" s="33">
        <f>D39</f>
        <v>0.2281008877</v>
      </c>
      <c r="F39" s="14"/>
      <c r="L39" s="12"/>
      <c r="M39" s="14"/>
      <c r="N39" s="123"/>
      <c r="Q39" s="14"/>
      <c r="T39" s="49"/>
      <c r="V39" s="49"/>
    </row>
    <row r="40">
      <c r="A40" s="121" t="s">
        <v>66</v>
      </c>
      <c r="B40" s="11" t="s">
        <v>34</v>
      </c>
      <c r="C40" s="14">
        <v>3764.283525641026</v>
      </c>
      <c r="D40" s="33">
        <f t="shared" si="10"/>
        <v>0.2167142043</v>
      </c>
      <c r="E40" s="33">
        <f t="shared" ref="E40:E46" si="11">E39+D40</f>
        <v>0.444815092</v>
      </c>
      <c r="F40" s="14"/>
      <c r="L40" s="12"/>
      <c r="M40" s="14"/>
      <c r="N40" s="123"/>
      <c r="Q40" s="14"/>
      <c r="T40" s="49"/>
      <c r="V40" s="49"/>
    </row>
    <row r="41">
      <c r="A41" s="121" t="s">
        <v>70</v>
      </c>
      <c r="B41" s="11" t="s">
        <v>102</v>
      </c>
      <c r="C41" s="14">
        <v>3185.318861111111</v>
      </c>
      <c r="D41" s="33">
        <f t="shared" si="10"/>
        <v>0.1833825315</v>
      </c>
      <c r="E41" s="33">
        <f t="shared" si="11"/>
        <v>0.6281976235</v>
      </c>
      <c r="F41" s="14"/>
      <c r="L41" s="12"/>
      <c r="M41" s="14"/>
      <c r="N41" s="123"/>
      <c r="Q41" s="14"/>
      <c r="T41" s="49"/>
      <c r="V41" s="49"/>
    </row>
    <row r="42">
      <c r="A42" s="121" t="s">
        <v>68</v>
      </c>
      <c r="B42" s="11" t="s">
        <v>37</v>
      </c>
      <c r="C42" s="14">
        <v>1920.58233251634</v>
      </c>
      <c r="D42" s="33">
        <f t="shared" si="10"/>
        <v>0.1105701707</v>
      </c>
      <c r="E42" s="33">
        <f t="shared" si="11"/>
        <v>0.7387677942</v>
      </c>
      <c r="F42" s="14"/>
      <c r="L42" s="12"/>
      <c r="M42" s="14"/>
      <c r="N42" s="123"/>
      <c r="Q42" s="14"/>
      <c r="T42" s="49"/>
      <c r="V42" s="49"/>
    </row>
    <row r="43">
      <c r="A43" s="121" t="s">
        <v>76</v>
      </c>
      <c r="B43" s="11" t="s">
        <v>97</v>
      </c>
      <c r="C43" s="14">
        <v>1539.9000615384614</v>
      </c>
      <c r="D43" s="33">
        <f t="shared" si="10"/>
        <v>0.08865384719</v>
      </c>
      <c r="E43" s="33">
        <f t="shared" si="11"/>
        <v>0.8274216414</v>
      </c>
      <c r="F43" s="14"/>
      <c r="L43" s="12"/>
      <c r="M43" s="14"/>
      <c r="N43" s="123"/>
      <c r="Q43" s="14"/>
      <c r="T43" s="49"/>
      <c r="V43" s="49"/>
    </row>
    <row r="44">
      <c r="A44" s="121" t="s">
        <v>72</v>
      </c>
      <c r="B44" s="129" t="s">
        <v>36</v>
      </c>
      <c r="C44" s="14">
        <v>1286.7027384615385</v>
      </c>
      <c r="D44" s="33">
        <f t="shared" si="10"/>
        <v>0.07407698123</v>
      </c>
      <c r="E44" s="33">
        <f t="shared" si="11"/>
        <v>0.9014986226</v>
      </c>
      <c r="F44" s="14"/>
      <c r="L44" s="12"/>
      <c r="M44" s="14"/>
      <c r="N44" s="14"/>
      <c r="Q44" s="14"/>
      <c r="T44" s="49"/>
      <c r="V44" s="49"/>
    </row>
    <row r="45">
      <c r="A45" s="121" t="s">
        <v>78</v>
      </c>
      <c r="B45" s="129" t="s">
        <v>108</v>
      </c>
      <c r="C45" s="14">
        <v>1167.2566666666667</v>
      </c>
      <c r="D45" s="33">
        <f t="shared" si="10"/>
        <v>0.06720033121</v>
      </c>
      <c r="E45" s="33">
        <f t="shared" si="11"/>
        <v>0.9686989538</v>
      </c>
      <c r="F45" s="14"/>
      <c r="L45" s="12"/>
      <c r="M45" s="14"/>
      <c r="N45" s="123"/>
      <c r="Q45" s="14"/>
      <c r="T45" s="49"/>
      <c r="V45" s="49"/>
    </row>
    <row r="46">
      <c r="A46" s="121" t="s">
        <v>79</v>
      </c>
      <c r="B46" s="129" t="s">
        <v>109</v>
      </c>
      <c r="C46" s="14">
        <v>543.6930769230769</v>
      </c>
      <c r="D46" s="33">
        <f t="shared" si="10"/>
        <v>0.03130104619</v>
      </c>
      <c r="E46" s="33">
        <f t="shared" si="11"/>
        <v>1</v>
      </c>
      <c r="F46" s="14"/>
      <c r="L46" s="12"/>
      <c r="M46" s="14"/>
      <c r="N46" s="123"/>
      <c r="Q46" s="14"/>
      <c r="T46" s="49"/>
      <c r="V46" s="49"/>
    </row>
    <row r="47">
      <c r="C47" s="14">
        <f>SUM(C39:C46)</f>
        <v>17369.80526</v>
      </c>
      <c r="D47" s="33"/>
      <c r="L47" s="12"/>
      <c r="N47" s="117"/>
      <c r="O47" s="120"/>
      <c r="Q47" s="14"/>
    </row>
    <row r="48">
      <c r="B48" s="124">
        <v>2025.0</v>
      </c>
      <c r="C48" s="125" t="s">
        <v>8</v>
      </c>
      <c r="D48" s="124" t="s">
        <v>100</v>
      </c>
      <c r="E48" s="124" t="s">
        <v>101</v>
      </c>
      <c r="F48" s="124"/>
      <c r="G48" s="124"/>
      <c r="H48" s="124"/>
      <c r="I48" s="124"/>
      <c r="J48" s="124"/>
      <c r="K48" s="124"/>
      <c r="L48" s="12"/>
      <c r="M48" s="124"/>
      <c r="N48" s="123"/>
      <c r="O48" s="120"/>
      <c r="Q48" s="116"/>
      <c r="T48" s="33"/>
      <c r="V48" s="33"/>
    </row>
    <row r="49">
      <c r="A49" s="121" t="s">
        <v>74</v>
      </c>
      <c r="B49" s="11" t="s">
        <v>38</v>
      </c>
      <c r="C49" s="14">
        <v>4702.321376068377</v>
      </c>
      <c r="D49" s="33">
        <f t="shared" ref="D49:D56" si="12">C49/$C$57</f>
        <v>0.2919850526</v>
      </c>
      <c r="E49" s="33">
        <f>D49</f>
        <v>0.2919850526</v>
      </c>
      <c r="F49" s="14"/>
      <c r="L49" s="12"/>
      <c r="M49" s="126" t="s">
        <v>110</v>
      </c>
      <c r="N49" s="124" t="s">
        <v>111</v>
      </c>
      <c r="O49" s="124" t="s">
        <v>112</v>
      </c>
      <c r="P49" s="124" t="s">
        <v>7</v>
      </c>
      <c r="Q49" s="124" t="s">
        <v>113</v>
      </c>
    </row>
    <row r="50">
      <c r="A50" s="121" t="s">
        <v>66</v>
      </c>
      <c r="B50" s="11" t="s">
        <v>34</v>
      </c>
      <c r="C50" s="14">
        <v>3432.460229567307</v>
      </c>
      <c r="D50" s="33">
        <f t="shared" si="12"/>
        <v>0.2131345352</v>
      </c>
      <c r="E50" s="33">
        <f t="shared" ref="E50:E56" si="13">E49+D50</f>
        <v>0.5051195878</v>
      </c>
      <c r="F50" s="14"/>
      <c r="L50" s="12"/>
      <c r="M50" s="14">
        <v>3.3375512820512823</v>
      </c>
      <c r="N50" s="123">
        <v>10.0</v>
      </c>
      <c r="O50" s="29">
        <v>579.0</v>
      </c>
      <c r="P50" s="29">
        <f t="shared" ref="P50:P57" si="14">N50*O50</f>
        <v>5790</v>
      </c>
      <c r="Q50" s="49">
        <f t="shared" ref="Q50:Q57" si="15">M50*O50</f>
        <v>1932.442192</v>
      </c>
    </row>
    <row r="51">
      <c r="A51" s="121" t="s">
        <v>70</v>
      </c>
      <c r="B51" s="11" t="s">
        <v>102</v>
      </c>
      <c r="C51" s="14">
        <v>1920.2271234567904</v>
      </c>
      <c r="D51" s="33">
        <f t="shared" si="12"/>
        <v>0.1192342192</v>
      </c>
      <c r="E51" s="33">
        <f t="shared" si="13"/>
        <v>0.624353807</v>
      </c>
      <c r="F51" s="14"/>
      <c r="L51" s="12"/>
      <c r="M51" s="14">
        <v>7.609146241830064</v>
      </c>
      <c r="N51" s="123">
        <v>25.0</v>
      </c>
      <c r="O51" s="29">
        <v>139.0</v>
      </c>
      <c r="P51" s="29">
        <f t="shared" si="14"/>
        <v>3475</v>
      </c>
      <c r="Q51" s="49">
        <f t="shared" si="15"/>
        <v>1057.671328</v>
      </c>
      <c r="W51" s="33"/>
    </row>
    <row r="52">
      <c r="A52" s="121" t="s">
        <v>68</v>
      </c>
      <c r="B52" s="11" t="s">
        <v>37</v>
      </c>
      <c r="C52" s="14">
        <v>2048.2336056985296</v>
      </c>
      <c r="D52" s="33">
        <f t="shared" si="12"/>
        <v>0.1271826295</v>
      </c>
      <c r="E52" s="33">
        <f t="shared" si="13"/>
        <v>0.7515364365</v>
      </c>
      <c r="F52" s="139"/>
      <c r="G52" s="140"/>
      <c r="H52" s="140"/>
      <c r="I52" s="140"/>
      <c r="J52" s="140"/>
      <c r="K52" s="140"/>
      <c r="L52" s="12"/>
      <c r="M52" s="14">
        <v>7.103972222222223</v>
      </c>
      <c r="N52" s="123">
        <v>20.0</v>
      </c>
      <c r="O52" s="29">
        <v>161.0</v>
      </c>
      <c r="P52" s="29">
        <f t="shared" si="14"/>
        <v>3220</v>
      </c>
      <c r="Q52" s="49">
        <f t="shared" si="15"/>
        <v>1143.739528</v>
      </c>
      <c r="W52" s="33"/>
    </row>
    <row r="53">
      <c r="A53" s="121" t="s">
        <v>72</v>
      </c>
      <c r="B53" s="11" t="s">
        <v>36</v>
      </c>
      <c r="C53" s="14">
        <v>1652.493712308223</v>
      </c>
      <c r="D53" s="33">
        <f t="shared" si="12"/>
        <v>0.1026096315</v>
      </c>
      <c r="E53" s="33">
        <f t="shared" si="13"/>
        <v>0.854146068</v>
      </c>
      <c r="F53" s="14"/>
      <c r="L53" s="12"/>
      <c r="M53" s="14">
        <v>2.6234600732600732</v>
      </c>
      <c r="N53" s="123">
        <v>7.0</v>
      </c>
      <c r="O53" s="29">
        <v>425.0</v>
      </c>
      <c r="P53" s="29">
        <f t="shared" si="14"/>
        <v>2975</v>
      </c>
      <c r="Q53" s="49">
        <f t="shared" si="15"/>
        <v>1114.970531</v>
      </c>
      <c r="S53" s="141"/>
      <c r="T53" s="141"/>
      <c r="W53" s="33"/>
    </row>
    <row r="54">
      <c r="A54" s="121" t="s">
        <v>79</v>
      </c>
      <c r="B54" s="129" t="s">
        <v>109</v>
      </c>
      <c r="C54" s="14">
        <v>1610.6619102564102</v>
      </c>
      <c r="D54" s="33">
        <f t="shared" si="12"/>
        <v>0.1000121355</v>
      </c>
      <c r="E54" s="33">
        <f t="shared" si="13"/>
        <v>0.9541582035</v>
      </c>
      <c r="F54" s="14"/>
      <c r="L54" s="12"/>
      <c r="M54" s="14">
        <v>7.301064102564102</v>
      </c>
      <c r="N54" s="123">
        <v>21.0</v>
      </c>
      <c r="O54" s="29">
        <v>372.0</v>
      </c>
      <c r="P54" s="29">
        <f t="shared" si="14"/>
        <v>7812</v>
      </c>
      <c r="Q54" s="49">
        <f t="shared" si="15"/>
        <v>2715.995846</v>
      </c>
      <c r="S54" s="141"/>
      <c r="T54" s="141"/>
      <c r="W54" s="33"/>
    </row>
    <row r="55">
      <c r="A55" s="121" t="s">
        <v>76</v>
      </c>
      <c r="B55" s="129" t="s">
        <v>97</v>
      </c>
      <c r="C55" s="14">
        <v>431.1305128205129</v>
      </c>
      <c r="D55" s="33">
        <f t="shared" si="12"/>
        <v>0.02677053638</v>
      </c>
      <c r="E55" s="33">
        <f t="shared" si="13"/>
        <v>0.9809287399</v>
      </c>
      <c r="F55" s="14"/>
      <c r="L55" s="12"/>
      <c r="M55" s="14">
        <v>2.98984358974359</v>
      </c>
      <c r="N55" s="14">
        <v>9.0</v>
      </c>
      <c r="O55" s="29">
        <v>80.0</v>
      </c>
      <c r="P55" s="29">
        <f t="shared" si="14"/>
        <v>720</v>
      </c>
      <c r="Q55" s="49">
        <f t="shared" si="15"/>
        <v>239.1874872</v>
      </c>
      <c r="S55" s="141"/>
      <c r="T55" s="141"/>
      <c r="W55" s="33"/>
    </row>
    <row r="56">
      <c r="A56" s="121" t="s">
        <v>78</v>
      </c>
      <c r="B56" s="129" t="s">
        <v>108</v>
      </c>
      <c r="C56" s="14">
        <v>307.13625</v>
      </c>
      <c r="D56" s="33">
        <f t="shared" si="12"/>
        <v>0.01907126012</v>
      </c>
      <c r="E56" s="33">
        <f t="shared" si="13"/>
        <v>1</v>
      </c>
      <c r="F56" s="14"/>
      <c r="L56" s="12"/>
      <c r="M56" s="14">
        <v>10.936666666666666</v>
      </c>
      <c r="N56" s="123">
        <v>29.0</v>
      </c>
      <c r="O56" s="29">
        <v>18.0</v>
      </c>
      <c r="P56" s="29">
        <f t="shared" si="14"/>
        <v>522</v>
      </c>
      <c r="Q56" s="49">
        <f t="shared" si="15"/>
        <v>196.86</v>
      </c>
      <c r="S56" s="142"/>
      <c r="T56" s="142"/>
      <c r="W56" s="33"/>
    </row>
    <row r="57">
      <c r="C57" s="14">
        <f>SUM(C49:C56)</f>
        <v>16104.66472</v>
      </c>
      <c r="L57" s="12"/>
      <c r="M57" s="14">
        <v>7.05492673992674</v>
      </c>
      <c r="N57" s="123">
        <v>20.0</v>
      </c>
      <c r="O57" s="29">
        <v>133.0</v>
      </c>
      <c r="P57" s="29">
        <f t="shared" si="14"/>
        <v>2660</v>
      </c>
      <c r="Q57" s="49">
        <f t="shared" si="15"/>
        <v>938.3052564</v>
      </c>
      <c r="S57" s="142"/>
      <c r="T57" s="141"/>
      <c r="W57" s="33"/>
    </row>
    <row r="58">
      <c r="B58" s="111" t="s">
        <v>114</v>
      </c>
      <c r="C58" s="125" t="s">
        <v>8</v>
      </c>
      <c r="D58" s="124" t="s">
        <v>100</v>
      </c>
      <c r="E58" s="124" t="s">
        <v>101</v>
      </c>
      <c r="F58" s="124"/>
      <c r="G58" s="124"/>
      <c r="H58" s="124"/>
      <c r="I58" s="124"/>
      <c r="J58" s="124"/>
      <c r="K58" s="124"/>
      <c r="L58" s="12"/>
      <c r="M58" s="14"/>
      <c r="N58" s="49"/>
      <c r="P58" s="29">
        <f t="shared" ref="P58:Q58" si="16">SUM(P50:P57)</f>
        <v>27174</v>
      </c>
      <c r="Q58" s="49">
        <f t="shared" si="16"/>
        <v>9339.172169</v>
      </c>
      <c r="S58" s="141"/>
      <c r="T58" s="141"/>
      <c r="W58" s="33"/>
    </row>
    <row r="59">
      <c r="A59" s="121" t="s">
        <v>74</v>
      </c>
      <c r="B59" s="11" t="s">
        <v>38</v>
      </c>
      <c r="C59" s="14">
        <v>8664.389376068379</v>
      </c>
      <c r="D59" s="33">
        <f t="shared" ref="D59:D66" si="17">C59/$C$67</f>
        <v>0.258835745</v>
      </c>
      <c r="E59" s="33">
        <f>D59</f>
        <v>0.258835745</v>
      </c>
      <c r="F59" s="14"/>
      <c r="L59" s="12"/>
      <c r="M59" s="14"/>
      <c r="Q59" s="33">
        <f>(P58-Q58)/P58</f>
        <v>0.656319564</v>
      </c>
      <c r="S59" s="141"/>
      <c r="T59" s="141"/>
    </row>
    <row r="60">
      <c r="A60" s="121" t="s">
        <v>66</v>
      </c>
      <c r="B60" s="11" t="s">
        <v>34</v>
      </c>
      <c r="C60" s="14">
        <v>7196.743755208334</v>
      </c>
      <c r="D60" s="33">
        <f t="shared" si="17"/>
        <v>0.2149920151</v>
      </c>
      <c r="E60" s="33">
        <f t="shared" ref="E60:E66" si="18">D60+E59</f>
        <v>0.4738277601</v>
      </c>
      <c r="F60" s="14"/>
      <c r="L60" s="12"/>
      <c r="M60" s="14"/>
      <c r="S60" s="142"/>
      <c r="T60" s="142"/>
    </row>
    <row r="61">
      <c r="A61" s="121" t="s">
        <v>70</v>
      </c>
      <c r="B61" s="11" t="s">
        <v>102</v>
      </c>
      <c r="C61" s="14">
        <v>5105.5459845679015</v>
      </c>
      <c r="D61" s="33">
        <f t="shared" si="17"/>
        <v>0.1525205922</v>
      </c>
      <c r="E61" s="33">
        <f t="shared" si="18"/>
        <v>0.6263483522</v>
      </c>
      <c r="F61" s="14"/>
      <c r="J61" s="14">
        <v>3.3375512820512823</v>
      </c>
      <c r="K61" s="121">
        <f t="shared" ref="K61:K68" si="19">J61*P61</f>
        <v>1885.716474</v>
      </c>
      <c r="L61" s="14">
        <f t="shared" ref="L61:L69" si="20">Q61-K61</f>
        <v>3764.283526</v>
      </c>
      <c r="N61" s="14">
        <v>4.071743990384616</v>
      </c>
      <c r="O61" s="14">
        <v>10.0</v>
      </c>
      <c r="P61" s="29">
        <v>565.0</v>
      </c>
      <c r="Q61" s="143">
        <f t="shared" ref="Q61:Q68" si="21">O61*P61</f>
        <v>5650</v>
      </c>
      <c r="R61" s="14">
        <f t="shared" ref="R61:R68" si="22">N61*P61</f>
        <v>2300.535355</v>
      </c>
      <c r="S61" s="14">
        <f t="shared" ref="S61:S69" si="23">Q61-R61</f>
        <v>3349.464645</v>
      </c>
    </row>
    <row r="62">
      <c r="A62" s="121" t="s">
        <v>68</v>
      </c>
      <c r="B62" s="11" t="s">
        <v>37</v>
      </c>
      <c r="C62" s="14">
        <v>3968.8159382148697</v>
      </c>
      <c r="D62" s="33">
        <f t="shared" si="17"/>
        <v>0.1185624728</v>
      </c>
      <c r="E62" s="33">
        <f t="shared" si="18"/>
        <v>0.7449108251</v>
      </c>
      <c r="F62" s="14"/>
      <c r="J62" s="14">
        <v>7.609146241830064</v>
      </c>
      <c r="K62" s="121">
        <f t="shared" si="19"/>
        <v>1179.417667</v>
      </c>
      <c r="L62" s="14">
        <f t="shared" si="20"/>
        <v>2695.582333</v>
      </c>
      <c r="N62" s="14">
        <v>10.26450643382353</v>
      </c>
      <c r="O62" s="14">
        <v>25.0</v>
      </c>
      <c r="P62" s="29">
        <v>155.0</v>
      </c>
      <c r="Q62" s="143">
        <f t="shared" si="21"/>
        <v>3875</v>
      </c>
      <c r="R62" s="14">
        <f t="shared" si="22"/>
        <v>1590.998497</v>
      </c>
      <c r="S62" s="14">
        <f t="shared" si="23"/>
        <v>2284.001503</v>
      </c>
    </row>
    <row r="63">
      <c r="A63" s="121" t="s">
        <v>72</v>
      </c>
      <c r="B63" s="11" t="s">
        <v>36</v>
      </c>
      <c r="C63" s="14">
        <v>2939.1964507697617</v>
      </c>
      <c r="D63" s="33">
        <f t="shared" si="17"/>
        <v>0.08780412213</v>
      </c>
      <c r="E63" s="33">
        <f t="shared" si="18"/>
        <v>0.8327149472</v>
      </c>
      <c r="F63" s="14"/>
      <c r="J63" s="14">
        <v>7.103972222222223</v>
      </c>
      <c r="K63" s="121">
        <f t="shared" si="19"/>
        <v>1754.681139</v>
      </c>
      <c r="L63" s="14">
        <f t="shared" si="20"/>
        <v>3185.318861</v>
      </c>
      <c r="N63" s="14">
        <v>8.073123456790121</v>
      </c>
      <c r="O63" s="14">
        <v>20.0</v>
      </c>
      <c r="P63" s="29">
        <v>247.0</v>
      </c>
      <c r="Q63" s="143">
        <f t="shared" si="21"/>
        <v>4940</v>
      </c>
      <c r="R63" s="14">
        <f t="shared" si="22"/>
        <v>1994.061494</v>
      </c>
      <c r="S63" s="14">
        <f t="shared" si="23"/>
        <v>2945.938506</v>
      </c>
      <c r="T63" s="49"/>
    </row>
    <row r="64">
      <c r="A64" s="121" t="s">
        <v>79</v>
      </c>
      <c r="B64" s="129" t="s">
        <v>109</v>
      </c>
      <c r="C64" s="14">
        <v>2154.3549871794876</v>
      </c>
      <c r="D64" s="33">
        <f t="shared" si="17"/>
        <v>0.0643581508</v>
      </c>
      <c r="E64" s="33">
        <f t="shared" si="18"/>
        <v>0.897073098</v>
      </c>
      <c r="F64" s="14"/>
      <c r="J64" s="14">
        <v>2.6234600732600732</v>
      </c>
      <c r="K64" s="121">
        <f t="shared" si="19"/>
        <v>771.2972615</v>
      </c>
      <c r="L64" s="14">
        <f t="shared" si="20"/>
        <v>1286.702738</v>
      </c>
      <c r="N64" s="14">
        <v>3.11177950045124</v>
      </c>
      <c r="O64" s="14">
        <v>7.0</v>
      </c>
      <c r="P64" s="29">
        <v>294.0</v>
      </c>
      <c r="Q64" s="143">
        <f t="shared" si="21"/>
        <v>2058</v>
      </c>
      <c r="R64" s="14">
        <f t="shared" si="22"/>
        <v>914.8631731</v>
      </c>
      <c r="S64" s="14">
        <f t="shared" si="23"/>
        <v>1143.136827</v>
      </c>
      <c r="T64" s="49"/>
    </row>
    <row r="65">
      <c r="A65" s="121" t="s">
        <v>76</v>
      </c>
      <c r="B65" s="129" t="s">
        <v>97</v>
      </c>
      <c r="C65" s="14">
        <v>1971.0305743589743</v>
      </c>
      <c r="D65" s="33">
        <f t="shared" si="17"/>
        <v>0.05888160665</v>
      </c>
      <c r="E65" s="33">
        <f t="shared" si="18"/>
        <v>0.9559547047</v>
      </c>
      <c r="F65" s="14"/>
      <c r="J65" s="14">
        <v>7.301064102564102</v>
      </c>
      <c r="K65" s="121">
        <f t="shared" si="19"/>
        <v>2277.932</v>
      </c>
      <c r="L65" s="14">
        <f t="shared" si="20"/>
        <v>4274.068</v>
      </c>
      <c r="N65" s="14">
        <v>8.35935113960114</v>
      </c>
      <c r="O65" s="14">
        <v>21.0</v>
      </c>
      <c r="P65" s="29">
        <v>312.0</v>
      </c>
      <c r="Q65" s="143">
        <f t="shared" si="21"/>
        <v>6552</v>
      </c>
      <c r="R65" s="14">
        <f t="shared" si="22"/>
        <v>2608.117556</v>
      </c>
      <c r="S65" s="14">
        <f t="shared" si="23"/>
        <v>3943.882444</v>
      </c>
      <c r="T65" s="49"/>
    </row>
    <row r="66">
      <c r="A66" s="28" t="str">
        <f t="array" ref="A66">XLOOKUP($B66,'Maestro de productos 2024'!$A$3:$A$163,'Maestro de productos 2024'!$B$3:$B$163,0)</f>
        <v>ID-3830</v>
      </c>
      <c r="B66" s="140" t="str">
        <f>'Maestro de productos 2024'!$A$140</f>
        <v>Flan de queso crema</v>
      </c>
      <c r="C66" s="14">
        <v>1474.3929166666667</v>
      </c>
      <c r="D66" s="33">
        <f t="shared" si="17"/>
        <v>0.04404529534</v>
      </c>
      <c r="E66" s="33">
        <f t="shared" si="18"/>
        <v>1</v>
      </c>
      <c r="F66" s="14"/>
      <c r="J66" s="14">
        <v>2.98984358974359</v>
      </c>
      <c r="K66" s="121">
        <f t="shared" si="19"/>
        <v>1148.099938</v>
      </c>
      <c r="L66" s="14">
        <f t="shared" si="20"/>
        <v>2307.900062</v>
      </c>
      <c r="N66" s="14">
        <v>3.6108685897435895</v>
      </c>
      <c r="O66" s="14">
        <v>9.0</v>
      </c>
      <c r="P66" s="29">
        <v>384.0</v>
      </c>
      <c r="Q66" s="143">
        <f t="shared" si="21"/>
        <v>3456</v>
      </c>
      <c r="R66" s="14">
        <f t="shared" si="22"/>
        <v>1386.573538</v>
      </c>
      <c r="S66" s="14">
        <f t="shared" si="23"/>
        <v>2069.426462</v>
      </c>
      <c r="T66" s="49"/>
    </row>
    <row r="67">
      <c r="C67" s="14">
        <f>SUM(C59:C66)</f>
        <v>33474.46998</v>
      </c>
      <c r="J67" s="14">
        <v>10.936666666666666</v>
      </c>
      <c r="K67" s="121">
        <f t="shared" si="19"/>
        <v>907.7433333</v>
      </c>
      <c r="L67" s="14">
        <f t="shared" si="20"/>
        <v>1499.256667</v>
      </c>
      <c r="N67" s="14">
        <v>11.936875</v>
      </c>
      <c r="O67" s="14">
        <v>29.0</v>
      </c>
      <c r="P67" s="29">
        <v>83.0</v>
      </c>
      <c r="Q67" s="143">
        <f t="shared" si="21"/>
        <v>2407</v>
      </c>
      <c r="R67" s="14">
        <f t="shared" si="22"/>
        <v>990.760625</v>
      </c>
      <c r="S67" s="14">
        <f t="shared" si="23"/>
        <v>1416.239375</v>
      </c>
      <c r="T67" s="49"/>
    </row>
    <row r="68">
      <c r="J68" s="14">
        <v>7.05492673992674</v>
      </c>
      <c r="K68" s="121">
        <f t="shared" si="19"/>
        <v>296.3069231</v>
      </c>
      <c r="L68" s="14">
        <f t="shared" si="20"/>
        <v>543.6930769</v>
      </c>
      <c r="N68" s="14">
        <v>7.8897600732600734</v>
      </c>
      <c r="O68" s="14">
        <v>20.0</v>
      </c>
      <c r="P68" s="29">
        <v>42.0</v>
      </c>
      <c r="Q68" s="143">
        <f t="shared" si="21"/>
        <v>840</v>
      </c>
      <c r="R68" s="14">
        <f t="shared" si="22"/>
        <v>331.3699231</v>
      </c>
      <c r="S68" s="14">
        <f t="shared" si="23"/>
        <v>508.6300769</v>
      </c>
      <c r="T68" s="49"/>
    </row>
    <row r="69">
      <c r="J69" s="14"/>
      <c r="K69" s="14">
        <f>SUM(K61:K68)</f>
        <v>10221.19474</v>
      </c>
      <c r="L69" s="14">
        <f t="shared" si="20"/>
        <v>19556.80526</v>
      </c>
      <c r="M69" s="33">
        <f>L69/Q69</f>
        <v>0.6567534845</v>
      </c>
      <c r="O69" s="33"/>
      <c r="Q69" s="143">
        <f t="shared" ref="Q69:R69" si="24">SUM(Q61:Q68)</f>
        <v>29778</v>
      </c>
      <c r="R69" s="14">
        <f t="shared" si="24"/>
        <v>12117.28016</v>
      </c>
      <c r="S69" s="14">
        <f t="shared" si="23"/>
        <v>17660.71984</v>
      </c>
      <c r="T69" s="33">
        <f>S69/Q69</f>
        <v>0.5930794492</v>
      </c>
    </row>
    <row r="70">
      <c r="J70" s="14"/>
      <c r="K70" s="123"/>
      <c r="Q70" s="123"/>
      <c r="T70" s="33">
        <f>T69-README!G14</f>
        <v>0.0004296840056</v>
      </c>
    </row>
    <row r="71">
      <c r="L71" s="12"/>
      <c r="M71" s="14"/>
    </row>
    <row r="72">
      <c r="L72" s="12"/>
      <c r="M72" s="14"/>
    </row>
    <row r="73">
      <c r="L73" s="12"/>
      <c r="M73" s="14"/>
    </row>
    <row r="74">
      <c r="L74" s="12"/>
      <c r="M74" s="14"/>
    </row>
    <row r="75">
      <c r="L75" s="12"/>
      <c r="M75" s="14"/>
    </row>
    <row r="76">
      <c r="L76" s="12"/>
      <c r="M76" s="14"/>
    </row>
    <row r="77">
      <c r="L77" s="12"/>
      <c r="M77" s="14"/>
    </row>
    <row r="78">
      <c r="L78" s="12"/>
      <c r="M78" s="14"/>
    </row>
    <row r="79">
      <c r="L79" s="12"/>
      <c r="M79" s="14"/>
    </row>
    <row r="80">
      <c r="L80" s="12"/>
      <c r="M80" s="14"/>
    </row>
    <row r="81">
      <c r="L81" s="12"/>
      <c r="M81" s="14"/>
    </row>
    <row r="82">
      <c r="L82" s="12"/>
      <c r="M82" s="14"/>
    </row>
    <row r="83">
      <c r="L83" s="12"/>
      <c r="M83" s="14"/>
    </row>
    <row r="84">
      <c r="L84" s="12"/>
      <c r="M84" s="14"/>
    </row>
    <row r="85">
      <c r="L85" s="12"/>
      <c r="M85" s="14"/>
    </row>
    <row r="86">
      <c r="L86" s="12"/>
      <c r="M86" s="14"/>
    </row>
    <row r="87">
      <c r="L87" s="12"/>
      <c r="M87" s="14"/>
    </row>
    <row r="88">
      <c r="L88" s="12"/>
      <c r="M88" s="14"/>
    </row>
    <row r="89">
      <c r="L89" s="12"/>
      <c r="M89" s="14"/>
    </row>
    <row r="90">
      <c r="L90" s="12"/>
      <c r="M90" s="14"/>
    </row>
    <row r="91">
      <c r="L91" s="12"/>
      <c r="M91" s="14"/>
    </row>
    <row r="92">
      <c r="L92" s="12"/>
      <c r="M92" s="14"/>
    </row>
    <row r="93">
      <c r="L93" s="12"/>
      <c r="M93" s="14"/>
    </row>
    <row r="94">
      <c r="L94" s="12"/>
      <c r="M94" s="14"/>
    </row>
    <row r="95">
      <c r="L95" s="12"/>
      <c r="M95" s="14"/>
    </row>
    <row r="96">
      <c r="L96" s="12"/>
      <c r="M96" s="14"/>
    </row>
    <row r="97">
      <c r="L97" s="12"/>
      <c r="M97" s="14"/>
    </row>
    <row r="98">
      <c r="L98" s="12"/>
      <c r="M98" s="14"/>
    </row>
    <row r="99">
      <c r="L99" s="12"/>
      <c r="M99" s="14"/>
    </row>
    <row r="100">
      <c r="L100" s="12"/>
      <c r="M100" s="14"/>
    </row>
    <row r="101">
      <c r="L101" s="12"/>
      <c r="M101" s="14"/>
    </row>
    <row r="102">
      <c r="L102" s="12"/>
      <c r="M102" s="14"/>
    </row>
    <row r="103">
      <c r="L103" s="12"/>
      <c r="M103" s="14"/>
    </row>
    <row r="104">
      <c r="L104" s="12"/>
      <c r="M104" s="14"/>
    </row>
    <row r="105">
      <c r="L105" s="12"/>
      <c r="M105" s="14"/>
    </row>
    <row r="106">
      <c r="L106" s="12"/>
      <c r="M106" s="14"/>
    </row>
    <row r="107">
      <c r="L107" s="12"/>
      <c r="M107" s="14"/>
    </row>
    <row r="108">
      <c r="L108" s="12"/>
      <c r="M108" s="14"/>
    </row>
    <row r="109">
      <c r="L109" s="12"/>
      <c r="M109" s="14"/>
    </row>
    <row r="110">
      <c r="L110" s="12"/>
      <c r="M110" s="14"/>
    </row>
    <row r="111">
      <c r="L111" s="12"/>
      <c r="M111" s="14"/>
    </row>
    <row r="112">
      <c r="L112" s="12"/>
      <c r="M112" s="14"/>
    </row>
    <row r="113">
      <c r="L113" s="12"/>
      <c r="M113" s="14"/>
    </row>
    <row r="114">
      <c r="L114" s="12"/>
      <c r="M114" s="14"/>
    </row>
    <row r="115">
      <c r="L115" s="12"/>
      <c r="M115" s="14"/>
    </row>
    <row r="116">
      <c r="L116" s="12"/>
      <c r="M116" s="14"/>
    </row>
    <row r="117">
      <c r="L117" s="12"/>
      <c r="M117" s="14"/>
    </row>
    <row r="118">
      <c r="L118" s="12"/>
      <c r="M118" s="14"/>
    </row>
    <row r="119">
      <c r="L119" s="12"/>
      <c r="M119" s="14"/>
    </row>
    <row r="120">
      <c r="L120" s="12"/>
      <c r="M120" s="14"/>
    </row>
    <row r="121">
      <c r="L121" s="12"/>
      <c r="M121" s="14"/>
    </row>
    <row r="122">
      <c r="L122" s="12"/>
      <c r="M122" s="14"/>
    </row>
    <row r="123">
      <c r="L123" s="12"/>
      <c r="M123" s="14"/>
    </row>
    <row r="124">
      <c r="L124" s="12"/>
      <c r="M124" s="14"/>
    </row>
    <row r="125">
      <c r="L125" s="12"/>
      <c r="M125" s="14"/>
    </row>
    <row r="126">
      <c r="L126" s="12"/>
      <c r="M126" s="14"/>
    </row>
    <row r="127">
      <c r="L127" s="12"/>
      <c r="M127" s="14"/>
    </row>
    <row r="128">
      <c r="L128" s="12"/>
      <c r="M128" s="14"/>
    </row>
    <row r="129">
      <c r="L129" s="12"/>
      <c r="M129" s="14"/>
    </row>
    <row r="130">
      <c r="L130" s="12"/>
      <c r="M130" s="14"/>
    </row>
    <row r="131">
      <c r="L131" s="12"/>
      <c r="M131" s="14"/>
    </row>
    <row r="132">
      <c r="L132" s="12"/>
      <c r="M132" s="14"/>
    </row>
    <row r="133">
      <c r="L133" s="12"/>
      <c r="M133" s="14"/>
    </row>
    <row r="134">
      <c r="L134" s="12"/>
      <c r="M134" s="14"/>
    </row>
    <row r="135">
      <c r="L135" s="12"/>
      <c r="M135" s="14"/>
    </row>
    <row r="136">
      <c r="L136" s="12"/>
      <c r="M136" s="14"/>
    </row>
    <row r="137">
      <c r="L137" s="12"/>
      <c r="M137" s="14"/>
    </row>
    <row r="138">
      <c r="L138" s="12"/>
      <c r="M138" s="14"/>
    </row>
    <row r="139">
      <c r="L139" s="12"/>
      <c r="M139" s="14"/>
    </row>
    <row r="140">
      <c r="L140" s="12"/>
      <c r="M140" s="14"/>
    </row>
    <row r="141">
      <c r="L141" s="12"/>
      <c r="M141" s="14"/>
    </row>
    <row r="142">
      <c r="L142" s="12"/>
      <c r="M142" s="14"/>
    </row>
    <row r="143">
      <c r="L143" s="12"/>
      <c r="M143" s="14"/>
    </row>
    <row r="144">
      <c r="L144" s="12"/>
      <c r="M144" s="14"/>
    </row>
    <row r="145">
      <c r="L145" s="12"/>
      <c r="M145" s="14"/>
    </row>
    <row r="146">
      <c r="L146" s="12"/>
      <c r="M146" s="14"/>
    </row>
    <row r="147">
      <c r="L147" s="12"/>
      <c r="M147" s="14"/>
    </row>
    <row r="148">
      <c r="L148" s="12"/>
      <c r="M148" s="14"/>
    </row>
    <row r="149">
      <c r="L149" s="12"/>
      <c r="M149" s="14"/>
    </row>
    <row r="150">
      <c r="L150" s="12"/>
      <c r="M150" s="14"/>
    </row>
    <row r="151">
      <c r="L151" s="12"/>
      <c r="M151" s="14"/>
    </row>
    <row r="152">
      <c r="L152" s="12"/>
      <c r="M152" s="14"/>
    </row>
    <row r="153">
      <c r="L153" s="12"/>
      <c r="M153" s="14"/>
    </row>
    <row r="154">
      <c r="L154" s="12"/>
      <c r="M154" s="14"/>
    </row>
    <row r="155">
      <c r="L155" s="12"/>
      <c r="M155" s="14"/>
    </row>
    <row r="156">
      <c r="L156" s="12"/>
      <c r="M156" s="14"/>
    </row>
    <row r="157">
      <c r="L157" s="12"/>
      <c r="M157" s="14"/>
    </row>
    <row r="158">
      <c r="L158" s="12"/>
      <c r="M158" s="14"/>
    </row>
    <row r="159">
      <c r="L159" s="12"/>
      <c r="M159" s="14"/>
    </row>
    <row r="160">
      <c r="L160" s="12"/>
      <c r="M160" s="14"/>
    </row>
    <row r="161">
      <c r="L161" s="12"/>
      <c r="M161" s="14"/>
    </row>
    <row r="162">
      <c r="L162" s="12"/>
      <c r="M162" s="14"/>
    </row>
    <row r="163">
      <c r="L163" s="12"/>
      <c r="M163" s="14"/>
    </row>
    <row r="164">
      <c r="L164" s="12"/>
      <c r="M164" s="14"/>
    </row>
    <row r="165">
      <c r="L165" s="12"/>
      <c r="M165" s="14"/>
    </row>
    <row r="166">
      <c r="L166" s="12"/>
      <c r="M166" s="14"/>
    </row>
    <row r="167">
      <c r="L167" s="12"/>
      <c r="M167" s="14"/>
    </row>
    <row r="168">
      <c r="L168" s="12"/>
      <c r="M168" s="14"/>
    </row>
    <row r="169">
      <c r="L169" s="12"/>
      <c r="M169" s="14"/>
    </row>
    <row r="170">
      <c r="L170" s="12"/>
      <c r="M170" s="14"/>
    </row>
    <row r="171">
      <c r="L171" s="12"/>
      <c r="M171" s="14"/>
    </row>
    <row r="172">
      <c r="L172" s="12"/>
      <c r="M172" s="14"/>
    </row>
    <row r="173">
      <c r="L173" s="12"/>
      <c r="M173" s="14"/>
    </row>
    <row r="174">
      <c r="L174" s="12"/>
      <c r="M174" s="14"/>
    </row>
    <row r="175">
      <c r="L175" s="12"/>
      <c r="M175" s="14"/>
    </row>
    <row r="176">
      <c r="L176" s="12"/>
      <c r="M176" s="14"/>
    </row>
    <row r="177">
      <c r="L177" s="12"/>
      <c r="M177" s="14"/>
    </row>
    <row r="178">
      <c r="L178" s="12"/>
      <c r="M178" s="14"/>
    </row>
    <row r="179">
      <c r="L179" s="12"/>
      <c r="M179" s="14"/>
    </row>
    <row r="180">
      <c r="L180" s="12"/>
      <c r="M180" s="14"/>
    </row>
    <row r="181">
      <c r="L181" s="12"/>
      <c r="M181" s="14"/>
    </row>
    <row r="182">
      <c r="L182" s="12"/>
      <c r="M182" s="14"/>
    </row>
    <row r="183">
      <c r="L183" s="12"/>
      <c r="M183" s="14"/>
    </row>
    <row r="184">
      <c r="L184" s="12"/>
      <c r="M184" s="14"/>
    </row>
    <row r="185">
      <c r="L185" s="12"/>
      <c r="M185" s="14"/>
    </row>
    <row r="186">
      <c r="L186" s="12"/>
      <c r="M186" s="14"/>
    </row>
    <row r="187">
      <c r="L187" s="12"/>
      <c r="M187" s="14"/>
    </row>
    <row r="188">
      <c r="L188" s="12"/>
      <c r="M188" s="14"/>
    </row>
    <row r="189">
      <c r="L189" s="12"/>
      <c r="M189" s="14"/>
    </row>
    <row r="190">
      <c r="L190" s="12"/>
      <c r="M190" s="14"/>
    </row>
    <row r="191">
      <c r="L191" s="12"/>
      <c r="M191" s="14"/>
    </row>
    <row r="192">
      <c r="L192" s="12"/>
      <c r="M192" s="14"/>
    </row>
    <row r="193">
      <c r="L193" s="12"/>
      <c r="M193" s="14"/>
    </row>
    <row r="194">
      <c r="L194" s="12"/>
      <c r="M194" s="14"/>
    </row>
    <row r="195">
      <c r="L195" s="12"/>
      <c r="M195" s="14"/>
    </row>
    <row r="196">
      <c r="L196" s="12"/>
      <c r="M196" s="14"/>
    </row>
    <row r="197">
      <c r="L197" s="12"/>
      <c r="M197" s="14"/>
    </row>
    <row r="198">
      <c r="L198" s="12"/>
      <c r="M198" s="14"/>
    </row>
    <row r="199">
      <c r="L199" s="12"/>
      <c r="M199" s="14"/>
    </row>
    <row r="200">
      <c r="L200" s="12"/>
      <c r="M200" s="14"/>
    </row>
    <row r="201">
      <c r="L201" s="12"/>
      <c r="M201" s="14"/>
    </row>
    <row r="202">
      <c r="L202" s="12"/>
      <c r="M202" s="14"/>
    </row>
    <row r="203">
      <c r="L203" s="12"/>
      <c r="M203" s="14"/>
    </row>
    <row r="204">
      <c r="L204" s="12"/>
      <c r="M204" s="14"/>
    </row>
    <row r="205">
      <c r="L205" s="12"/>
      <c r="M205" s="14"/>
    </row>
    <row r="206">
      <c r="L206" s="12"/>
      <c r="M206" s="14"/>
    </row>
    <row r="207">
      <c r="L207" s="12"/>
      <c r="M207" s="14"/>
    </row>
    <row r="208">
      <c r="L208" s="12"/>
      <c r="M208" s="14"/>
    </row>
    <row r="209">
      <c r="L209" s="12"/>
      <c r="M209" s="14"/>
    </row>
    <row r="210">
      <c r="L210" s="12"/>
      <c r="M210" s="14"/>
    </row>
    <row r="211">
      <c r="L211" s="12"/>
      <c r="M211" s="14"/>
    </row>
    <row r="212">
      <c r="L212" s="12"/>
      <c r="M212" s="14"/>
    </row>
    <row r="213">
      <c r="L213" s="12"/>
      <c r="M213" s="14"/>
    </row>
    <row r="214">
      <c r="L214" s="12"/>
      <c r="M214" s="14"/>
    </row>
    <row r="215">
      <c r="L215" s="12"/>
      <c r="M215" s="14"/>
    </row>
    <row r="216">
      <c r="L216" s="12"/>
      <c r="M216" s="14"/>
    </row>
    <row r="217">
      <c r="L217" s="12"/>
      <c r="M217" s="14"/>
    </row>
    <row r="218">
      <c r="L218" s="12"/>
      <c r="M218" s="14"/>
    </row>
    <row r="219">
      <c r="L219" s="12"/>
      <c r="M219" s="14"/>
    </row>
    <row r="220">
      <c r="L220" s="12"/>
      <c r="M220" s="14"/>
    </row>
    <row r="221">
      <c r="L221" s="12"/>
      <c r="M221" s="14"/>
    </row>
    <row r="222">
      <c r="L222" s="12"/>
      <c r="M222" s="14"/>
    </row>
    <row r="223">
      <c r="L223" s="12"/>
      <c r="M223" s="14"/>
    </row>
    <row r="224">
      <c r="L224" s="12"/>
      <c r="M224" s="14"/>
    </row>
    <row r="225">
      <c r="L225" s="12"/>
      <c r="M225" s="14"/>
    </row>
    <row r="226">
      <c r="L226" s="12"/>
      <c r="M226" s="14"/>
    </row>
    <row r="227">
      <c r="L227" s="12"/>
      <c r="M227" s="14"/>
    </row>
    <row r="228">
      <c r="L228" s="12"/>
      <c r="M228" s="14"/>
    </row>
    <row r="229">
      <c r="L229" s="12"/>
      <c r="M229" s="14"/>
    </row>
    <row r="230">
      <c r="L230" s="12"/>
      <c r="M230" s="14"/>
    </row>
    <row r="231">
      <c r="L231" s="12"/>
      <c r="M231" s="14"/>
    </row>
    <row r="232">
      <c r="L232" s="12"/>
      <c r="M232" s="14"/>
    </row>
    <row r="233">
      <c r="L233" s="12"/>
      <c r="M233" s="14"/>
    </row>
    <row r="234">
      <c r="L234" s="12"/>
      <c r="M234" s="14"/>
    </row>
    <row r="235">
      <c r="L235" s="12"/>
      <c r="M235" s="14"/>
    </row>
    <row r="236">
      <c r="L236" s="12"/>
      <c r="M236" s="14"/>
    </row>
    <row r="237">
      <c r="L237" s="12"/>
      <c r="M237" s="14"/>
    </row>
    <row r="238">
      <c r="L238" s="12"/>
      <c r="M238" s="14"/>
    </row>
    <row r="239">
      <c r="L239" s="12"/>
      <c r="M239" s="14"/>
    </row>
    <row r="240">
      <c r="L240" s="12"/>
      <c r="M240" s="14"/>
    </row>
    <row r="241">
      <c r="L241" s="12"/>
      <c r="M241" s="14"/>
    </row>
    <row r="242">
      <c r="L242" s="12"/>
      <c r="M242" s="14"/>
    </row>
    <row r="243">
      <c r="L243" s="12"/>
      <c r="M243" s="14"/>
    </row>
    <row r="244">
      <c r="L244" s="12"/>
      <c r="M244" s="14"/>
    </row>
    <row r="245">
      <c r="L245" s="12"/>
      <c r="M245" s="14"/>
    </row>
    <row r="246">
      <c r="L246" s="12"/>
      <c r="M246" s="14"/>
    </row>
    <row r="247">
      <c r="L247" s="12"/>
      <c r="M247" s="14"/>
    </row>
    <row r="248">
      <c r="L248" s="12"/>
      <c r="M248" s="14"/>
    </row>
    <row r="249">
      <c r="L249" s="12"/>
      <c r="M249" s="14"/>
    </row>
    <row r="250">
      <c r="L250" s="12"/>
      <c r="M250" s="14"/>
    </row>
    <row r="251">
      <c r="L251" s="12"/>
      <c r="M251" s="14"/>
    </row>
    <row r="252">
      <c r="L252" s="12"/>
      <c r="M252" s="14"/>
    </row>
    <row r="253">
      <c r="L253" s="12"/>
      <c r="M253" s="14"/>
    </row>
    <row r="254">
      <c r="L254" s="12"/>
      <c r="M254" s="14"/>
    </row>
    <row r="255">
      <c r="L255" s="12"/>
      <c r="M255" s="14"/>
    </row>
    <row r="256">
      <c r="L256" s="12"/>
      <c r="M256" s="14"/>
    </row>
    <row r="257">
      <c r="L257" s="12"/>
      <c r="M257" s="14"/>
    </row>
    <row r="258">
      <c r="L258" s="12"/>
      <c r="M258" s="14"/>
    </row>
    <row r="259">
      <c r="L259" s="12"/>
      <c r="M259" s="14"/>
    </row>
    <row r="260">
      <c r="L260" s="12"/>
      <c r="M260" s="14"/>
    </row>
    <row r="261">
      <c r="L261" s="12"/>
      <c r="M261" s="14"/>
    </row>
    <row r="262">
      <c r="L262" s="12"/>
      <c r="M262" s="14"/>
    </row>
    <row r="263">
      <c r="L263" s="12"/>
      <c r="M263" s="14"/>
    </row>
    <row r="264">
      <c r="L264" s="12"/>
      <c r="M264" s="14"/>
    </row>
    <row r="265">
      <c r="L265" s="12"/>
      <c r="M265" s="14"/>
    </row>
    <row r="266">
      <c r="L266" s="12"/>
      <c r="M266" s="14"/>
    </row>
    <row r="267">
      <c r="L267" s="12"/>
      <c r="M267" s="14"/>
    </row>
    <row r="268">
      <c r="L268" s="12"/>
      <c r="M268" s="14"/>
    </row>
    <row r="269">
      <c r="L269" s="12"/>
      <c r="M269" s="14"/>
    </row>
    <row r="270">
      <c r="L270" s="12"/>
      <c r="M270" s="14"/>
    </row>
    <row r="271">
      <c r="L271" s="12"/>
      <c r="M271" s="14"/>
    </row>
    <row r="272">
      <c r="L272" s="12"/>
      <c r="M272" s="14"/>
    </row>
    <row r="273">
      <c r="L273" s="12"/>
      <c r="M273" s="14"/>
    </row>
    <row r="274">
      <c r="L274" s="12"/>
      <c r="M274" s="14"/>
    </row>
    <row r="275">
      <c r="L275" s="12"/>
      <c r="M275" s="14"/>
    </row>
    <row r="276">
      <c r="L276" s="12"/>
      <c r="M276" s="14"/>
    </row>
    <row r="277">
      <c r="L277" s="12"/>
      <c r="M277" s="14"/>
    </row>
    <row r="278">
      <c r="L278" s="12"/>
      <c r="M278" s="14"/>
    </row>
    <row r="279">
      <c r="L279" s="12"/>
      <c r="M279" s="14"/>
    </row>
    <row r="280">
      <c r="L280" s="12"/>
      <c r="M280" s="14"/>
    </row>
    <row r="281">
      <c r="L281" s="12"/>
      <c r="M281" s="14"/>
    </row>
    <row r="282">
      <c r="L282" s="12"/>
      <c r="M282" s="14"/>
    </row>
    <row r="283">
      <c r="L283" s="12"/>
      <c r="M283" s="14"/>
    </row>
    <row r="284">
      <c r="L284" s="12"/>
      <c r="M284" s="14"/>
    </row>
    <row r="285">
      <c r="L285" s="12"/>
      <c r="M285" s="14"/>
    </row>
    <row r="286">
      <c r="L286" s="12"/>
      <c r="M286" s="14"/>
    </row>
    <row r="287">
      <c r="L287" s="12"/>
      <c r="M287" s="14"/>
    </row>
    <row r="288">
      <c r="L288" s="12"/>
      <c r="M288" s="14"/>
    </row>
    <row r="289">
      <c r="L289" s="12"/>
      <c r="M289" s="14"/>
    </row>
    <row r="290">
      <c r="L290" s="12"/>
      <c r="M290" s="14"/>
    </row>
    <row r="291">
      <c r="L291" s="12"/>
      <c r="M291" s="14"/>
    </row>
    <row r="292">
      <c r="L292" s="12"/>
      <c r="M292" s="14"/>
    </row>
    <row r="293">
      <c r="L293" s="12"/>
      <c r="M293" s="14"/>
    </row>
    <row r="294">
      <c r="L294" s="12"/>
      <c r="M294" s="14"/>
    </row>
    <row r="295">
      <c r="L295" s="12"/>
      <c r="M295" s="14"/>
    </row>
    <row r="296">
      <c r="L296" s="12"/>
      <c r="M296" s="14"/>
    </row>
    <row r="297">
      <c r="L297" s="12"/>
      <c r="M297" s="14"/>
    </row>
    <row r="298">
      <c r="L298" s="12"/>
      <c r="M298" s="14"/>
    </row>
    <row r="299">
      <c r="L299" s="12"/>
      <c r="M299" s="14"/>
    </row>
    <row r="300">
      <c r="L300" s="12"/>
      <c r="M300" s="14"/>
    </row>
    <row r="301">
      <c r="L301" s="12"/>
      <c r="M301" s="14"/>
    </row>
    <row r="302">
      <c r="L302" s="12"/>
      <c r="M302" s="14"/>
    </row>
    <row r="303">
      <c r="L303" s="12"/>
      <c r="M303" s="14"/>
    </row>
    <row r="304">
      <c r="L304" s="12"/>
      <c r="M304" s="14"/>
    </row>
    <row r="305">
      <c r="L305" s="12"/>
      <c r="M305" s="14"/>
    </row>
    <row r="306">
      <c r="L306" s="12"/>
      <c r="M306" s="14"/>
    </row>
    <row r="307">
      <c r="L307" s="12"/>
      <c r="M307" s="14"/>
    </row>
    <row r="308">
      <c r="L308" s="12"/>
      <c r="M308" s="14"/>
    </row>
    <row r="309">
      <c r="L309" s="12"/>
      <c r="M309" s="14"/>
    </row>
    <row r="310">
      <c r="L310" s="12"/>
      <c r="M310" s="14"/>
    </row>
    <row r="311">
      <c r="L311" s="12"/>
      <c r="M311" s="14"/>
    </row>
    <row r="312">
      <c r="L312" s="12"/>
      <c r="M312" s="14"/>
    </row>
    <row r="313">
      <c r="L313" s="12"/>
      <c r="M313" s="14"/>
    </row>
    <row r="314">
      <c r="L314" s="12"/>
      <c r="M314" s="14"/>
    </row>
    <row r="315">
      <c r="L315" s="12"/>
      <c r="M315" s="14"/>
    </row>
    <row r="316">
      <c r="L316" s="12"/>
      <c r="M316" s="14"/>
    </row>
    <row r="317">
      <c r="L317" s="12"/>
      <c r="M317" s="14"/>
    </row>
    <row r="318">
      <c r="L318" s="12"/>
      <c r="M318" s="14"/>
    </row>
    <row r="319">
      <c r="L319" s="12"/>
      <c r="M319" s="14"/>
    </row>
    <row r="320">
      <c r="L320" s="12"/>
      <c r="M320" s="14"/>
    </row>
    <row r="321">
      <c r="L321" s="12"/>
      <c r="M321" s="14"/>
    </row>
    <row r="322">
      <c r="L322" s="12"/>
      <c r="M322" s="14"/>
    </row>
    <row r="323">
      <c r="L323" s="12"/>
      <c r="M323" s="14"/>
    </row>
    <row r="324">
      <c r="L324" s="12"/>
      <c r="M324" s="14"/>
    </row>
    <row r="325">
      <c r="L325" s="12"/>
      <c r="M325" s="14"/>
    </row>
    <row r="326">
      <c r="L326" s="12"/>
      <c r="M326" s="14"/>
    </row>
    <row r="327">
      <c r="L327" s="12"/>
      <c r="M327" s="14"/>
    </row>
    <row r="328">
      <c r="L328" s="12"/>
      <c r="M328" s="14"/>
    </row>
    <row r="329">
      <c r="L329" s="12"/>
      <c r="M329" s="14"/>
    </row>
    <row r="330">
      <c r="L330" s="12"/>
      <c r="M330" s="14"/>
    </row>
    <row r="331">
      <c r="L331" s="12"/>
      <c r="M331" s="14"/>
    </row>
    <row r="332">
      <c r="L332" s="12"/>
      <c r="M332" s="14"/>
    </row>
    <row r="333">
      <c r="L333" s="12"/>
      <c r="M333" s="14"/>
    </row>
    <row r="334">
      <c r="L334" s="12"/>
      <c r="M334" s="14"/>
    </row>
    <row r="335">
      <c r="L335" s="12"/>
      <c r="M335" s="14"/>
    </row>
    <row r="336">
      <c r="L336" s="12"/>
      <c r="M336" s="14"/>
    </row>
    <row r="337">
      <c r="L337" s="12"/>
      <c r="M337" s="14"/>
    </row>
    <row r="338">
      <c r="L338" s="12"/>
      <c r="M338" s="14"/>
    </row>
    <row r="339">
      <c r="L339" s="12"/>
      <c r="M339" s="14"/>
    </row>
    <row r="340">
      <c r="L340" s="12"/>
      <c r="M340" s="14"/>
    </row>
    <row r="341">
      <c r="L341" s="12"/>
      <c r="M341" s="14"/>
    </row>
    <row r="342">
      <c r="L342" s="12"/>
      <c r="M342" s="14"/>
    </row>
    <row r="343">
      <c r="L343" s="12"/>
      <c r="M343" s="14"/>
    </row>
    <row r="344">
      <c r="L344" s="12"/>
      <c r="M344" s="14"/>
    </row>
    <row r="345">
      <c r="L345" s="12"/>
      <c r="M345" s="14"/>
    </row>
    <row r="346">
      <c r="L346" s="12"/>
      <c r="M346" s="14"/>
    </row>
    <row r="347">
      <c r="L347" s="12"/>
      <c r="M347" s="14"/>
    </row>
    <row r="348">
      <c r="L348" s="12"/>
      <c r="M348" s="14"/>
    </row>
    <row r="349">
      <c r="L349" s="12"/>
      <c r="M349" s="14"/>
    </row>
    <row r="350">
      <c r="L350" s="12"/>
      <c r="M350" s="14"/>
    </row>
    <row r="351">
      <c r="L351" s="12"/>
      <c r="M351" s="14"/>
    </row>
    <row r="352">
      <c r="L352" s="12"/>
      <c r="M352" s="14"/>
    </row>
    <row r="353">
      <c r="L353" s="12"/>
      <c r="M353" s="14"/>
    </row>
    <row r="354">
      <c r="L354" s="12"/>
      <c r="M354" s="14"/>
    </row>
    <row r="355">
      <c r="L355" s="12"/>
      <c r="M355" s="14"/>
    </row>
    <row r="356">
      <c r="L356" s="12"/>
      <c r="M356" s="14"/>
    </row>
    <row r="357">
      <c r="L357" s="12"/>
      <c r="M357" s="14"/>
    </row>
    <row r="358">
      <c r="L358" s="12"/>
      <c r="M358" s="14"/>
    </row>
    <row r="359">
      <c r="L359" s="12"/>
      <c r="M359" s="14"/>
    </row>
    <row r="360">
      <c r="L360" s="12"/>
      <c r="M360" s="14"/>
    </row>
    <row r="361">
      <c r="L361" s="12"/>
      <c r="M361" s="14"/>
    </row>
    <row r="362">
      <c r="L362" s="12"/>
      <c r="M362" s="14"/>
    </row>
    <row r="363">
      <c r="L363" s="12"/>
      <c r="M363" s="14"/>
    </row>
    <row r="364">
      <c r="L364" s="12"/>
      <c r="M364" s="14"/>
    </row>
    <row r="365">
      <c r="L365" s="12"/>
      <c r="M365" s="14"/>
    </row>
    <row r="366">
      <c r="L366" s="12"/>
      <c r="M366" s="14"/>
    </row>
    <row r="367">
      <c r="L367" s="12"/>
      <c r="M367" s="14"/>
    </row>
    <row r="368">
      <c r="L368" s="12"/>
      <c r="M368" s="14"/>
    </row>
    <row r="369">
      <c r="L369" s="12"/>
      <c r="M369" s="14"/>
    </row>
    <row r="370">
      <c r="L370" s="12"/>
      <c r="M370" s="14"/>
    </row>
    <row r="371">
      <c r="L371" s="12"/>
      <c r="M371" s="14"/>
    </row>
    <row r="372">
      <c r="L372" s="12"/>
      <c r="M372" s="14"/>
    </row>
    <row r="373">
      <c r="L373" s="12"/>
      <c r="M373" s="14"/>
    </row>
    <row r="374">
      <c r="L374" s="12"/>
      <c r="M374" s="14"/>
    </row>
    <row r="375">
      <c r="L375" s="12"/>
      <c r="M375" s="14"/>
    </row>
    <row r="376">
      <c r="L376" s="12"/>
      <c r="M376" s="14"/>
    </row>
    <row r="377">
      <c r="L377" s="12"/>
      <c r="M377" s="14"/>
    </row>
    <row r="378">
      <c r="L378" s="12"/>
      <c r="M378" s="14"/>
    </row>
    <row r="379">
      <c r="L379" s="12"/>
      <c r="M379" s="14"/>
    </row>
    <row r="380">
      <c r="L380" s="12"/>
      <c r="M380" s="14"/>
    </row>
    <row r="381">
      <c r="L381" s="12"/>
      <c r="M381" s="14"/>
    </row>
    <row r="382">
      <c r="L382" s="12"/>
      <c r="M382" s="14"/>
    </row>
    <row r="383">
      <c r="L383" s="12"/>
      <c r="M383" s="14"/>
    </row>
    <row r="384">
      <c r="L384" s="12"/>
      <c r="M384" s="14"/>
    </row>
    <row r="385">
      <c r="L385" s="12"/>
      <c r="M385" s="14"/>
    </row>
    <row r="386">
      <c r="L386" s="12"/>
      <c r="M386" s="14"/>
    </row>
    <row r="387">
      <c r="L387" s="12"/>
      <c r="M387" s="14"/>
    </row>
    <row r="388">
      <c r="L388" s="12"/>
      <c r="M388" s="14"/>
    </row>
    <row r="389">
      <c r="L389" s="12"/>
      <c r="M389" s="14"/>
    </row>
    <row r="390">
      <c r="L390" s="12"/>
      <c r="M390" s="14"/>
    </row>
    <row r="391">
      <c r="L391" s="12"/>
      <c r="M391" s="14"/>
    </row>
    <row r="392">
      <c r="L392" s="12"/>
      <c r="M392" s="14"/>
    </row>
    <row r="393">
      <c r="L393" s="12"/>
      <c r="M393" s="14"/>
    </row>
    <row r="394">
      <c r="L394" s="12"/>
      <c r="M394" s="14"/>
    </row>
    <row r="395">
      <c r="L395" s="12"/>
      <c r="M395" s="14"/>
    </row>
    <row r="396">
      <c r="L396" s="12"/>
      <c r="M396" s="14"/>
    </row>
    <row r="397">
      <c r="L397" s="12"/>
      <c r="M397" s="14"/>
    </row>
    <row r="398">
      <c r="L398" s="12"/>
      <c r="M398" s="14"/>
    </row>
    <row r="399">
      <c r="L399" s="12"/>
      <c r="M399" s="14"/>
    </row>
    <row r="400">
      <c r="L400" s="12"/>
      <c r="M400" s="14"/>
    </row>
    <row r="401">
      <c r="L401" s="12"/>
      <c r="M401" s="14"/>
    </row>
    <row r="402">
      <c r="L402" s="12"/>
      <c r="M402" s="14"/>
    </row>
    <row r="403">
      <c r="L403" s="12"/>
      <c r="M403" s="14"/>
    </row>
    <row r="404">
      <c r="L404" s="12"/>
      <c r="M404" s="14"/>
    </row>
    <row r="405">
      <c r="L405" s="12"/>
      <c r="M405" s="14"/>
    </row>
    <row r="406">
      <c r="L406" s="12"/>
      <c r="M406" s="14"/>
    </row>
    <row r="407">
      <c r="L407" s="12"/>
      <c r="M407" s="14"/>
    </row>
    <row r="408">
      <c r="L408" s="12"/>
      <c r="M408" s="14"/>
    </row>
    <row r="409">
      <c r="L409" s="12"/>
      <c r="M409" s="14"/>
    </row>
    <row r="410">
      <c r="L410" s="12"/>
      <c r="M410" s="14"/>
    </row>
    <row r="411">
      <c r="L411" s="12"/>
      <c r="M411" s="14"/>
    </row>
    <row r="412">
      <c r="L412" s="12"/>
      <c r="M412" s="14"/>
    </row>
    <row r="413">
      <c r="L413" s="12"/>
      <c r="M413" s="14"/>
    </row>
    <row r="414">
      <c r="L414" s="12"/>
      <c r="M414" s="14"/>
    </row>
    <row r="415">
      <c r="L415" s="12"/>
      <c r="M415" s="14"/>
    </row>
    <row r="416">
      <c r="L416" s="12"/>
      <c r="M416" s="14"/>
    </row>
    <row r="417">
      <c r="L417" s="12"/>
      <c r="M417" s="14"/>
    </row>
    <row r="418">
      <c r="L418" s="12"/>
      <c r="M418" s="14"/>
    </row>
    <row r="419">
      <c r="L419" s="12"/>
      <c r="M419" s="14"/>
    </row>
    <row r="420">
      <c r="L420" s="12"/>
      <c r="M420" s="14"/>
    </row>
    <row r="421">
      <c r="L421" s="12"/>
      <c r="M421" s="14"/>
    </row>
    <row r="422">
      <c r="L422" s="12"/>
      <c r="M422" s="14"/>
    </row>
    <row r="423">
      <c r="L423" s="12"/>
      <c r="M423" s="14"/>
    </row>
    <row r="424">
      <c r="L424" s="12"/>
      <c r="M424" s="14"/>
    </row>
    <row r="425">
      <c r="L425" s="12"/>
      <c r="M425" s="14"/>
    </row>
    <row r="426">
      <c r="L426" s="12"/>
      <c r="M426" s="14"/>
    </row>
    <row r="427">
      <c r="L427" s="12"/>
      <c r="M427" s="14"/>
    </row>
    <row r="428">
      <c r="L428" s="12"/>
      <c r="M428" s="14"/>
    </row>
    <row r="429">
      <c r="L429" s="12"/>
      <c r="M429" s="14"/>
    </row>
    <row r="430">
      <c r="L430" s="12"/>
      <c r="M430" s="14"/>
    </row>
    <row r="431">
      <c r="L431" s="12"/>
      <c r="M431" s="14"/>
    </row>
    <row r="432">
      <c r="L432" s="12"/>
      <c r="M432" s="14"/>
    </row>
    <row r="433">
      <c r="L433" s="12"/>
      <c r="M433" s="14"/>
    </row>
    <row r="434">
      <c r="L434" s="12"/>
      <c r="M434" s="14"/>
    </row>
    <row r="435">
      <c r="L435" s="12"/>
      <c r="M435" s="14"/>
    </row>
    <row r="436">
      <c r="L436" s="12"/>
      <c r="M436" s="14"/>
    </row>
    <row r="437">
      <c r="L437" s="12"/>
      <c r="M437" s="14"/>
    </row>
    <row r="438">
      <c r="L438" s="12"/>
      <c r="M438" s="14"/>
    </row>
    <row r="439">
      <c r="L439" s="12"/>
      <c r="M439" s="14"/>
    </row>
    <row r="440">
      <c r="L440" s="12"/>
      <c r="M440" s="14"/>
    </row>
    <row r="441">
      <c r="L441" s="12"/>
      <c r="M441" s="14"/>
    </row>
    <row r="442">
      <c r="L442" s="12"/>
      <c r="M442" s="14"/>
    </row>
    <row r="443">
      <c r="L443" s="12"/>
      <c r="M443" s="14"/>
    </row>
    <row r="444">
      <c r="L444" s="12"/>
      <c r="M444" s="14"/>
    </row>
    <row r="445">
      <c r="L445" s="12"/>
      <c r="M445" s="14"/>
    </row>
    <row r="446">
      <c r="L446" s="12"/>
      <c r="M446" s="14"/>
    </row>
    <row r="447">
      <c r="L447" s="12"/>
      <c r="M447" s="14"/>
    </row>
    <row r="448">
      <c r="L448" s="12"/>
      <c r="M448" s="14"/>
    </row>
    <row r="449">
      <c r="L449" s="12"/>
      <c r="M449" s="14"/>
    </row>
    <row r="450">
      <c r="L450" s="12"/>
      <c r="M450" s="14"/>
    </row>
    <row r="451">
      <c r="L451" s="12"/>
      <c r="M451" s="14"/>
    </row>
    <row r="452">
      <c r="L452" s="12"/>
      <c r="M452" s="14"/>
    </row>
    <row r="453">
      <c r="L453" s="12"/>
      <c r="M453" s="14"/>
    </row>
    <row r="454">
      <c r="L454" s="12"/>
      <c r="M454" s="14"/>
    </row>
    <row r="455">
      <c r="L455" s="12"/>
      <c r="M455" s="14"/>
    </row>
    <row r="456">
      <c r="L456" s="12"/>
      <c r="M456" s="14"/>
    </row>
    <row r="457">
      <c r="L457" s="12"/>
      <c r="M457" s="14"/>
    </row>
    <row r="458">
      <c r="L458" s="12"/>
      <c r="M458" s="14"/>
    </row>
    <row r="459">
      <c r="L459" s="12"/>
      <c r="M459" s="14"/>
    </row>
    <row r="460">
      <c r="L460" s="12"/>
      <c r="M460" s="14"/>
    </row>
    <row r="461">
      <c r="L461" s="12"/>
      <c r="M461" s="14"/>
    </row>
    <row r="462">
      <c r="L462" s="12"/>
      <c r="M462" s="14"/>
    </row>
    <row r="463">
      <c r="L463" s="12"/>
      <c r="M463" s="14"/>
    </row>
    <row r="464">
      <c r="L464" s="12"/>
      <c r="M464" s="14"/>
    </row>
    <row r="465">
      <c r="L465" s="12"/>
      <c r="M465" s="14"/>
    </row>
    <row r="466">
      <c r="L466" s="12"/>
      <c r="M466" s="14"/>
    </row>
    <row r="467">
      <c r="L467" s="12"/>
      <c r="M467" s="14"/>
    </row>
    <row r="468">
      <c r="L468" s="12"/>
      <c r="M468" s="14"/>
    </row>
    <row r="469">
      <c r="L469" s="12"/>
      <c r="M469" s="14"/>
    </row>
    <row r="470">
      <c r="L470" s="12"/>
      <c r="M470" s="14"/>
    </row>
    <row r="471">
      <c r="L471" s="12"/>
      <c r="M471" s="14"/>
    </row>
    <row r="472">
      <c r="L472" s="12"/>
      <c r="M472" s="14"/>
    </row>
    <row r="473">
      <c r="L473" s="12"/>
      <c r="M473" s="14"/>
    </row>
    <row r="474">
      <c r="L474" s="12"/>
      <c r="M474" s="14"/>
    </row>
    <row r="475">
      <c r="L475" s="12"/>
      <c r="M475" s="14"/>
    </row>
    <row r="476">
      <c r="L476" s="12"/>
      <c r="M476" s="14"/>
    </row>
    <row r="477">
      <c r="L477" s="12"/>
      <c r="M477" s="14"/>
    </row>
    <row r="478">
      <c r="L478" s="12"/>
      <c r="M478" s="14"/>
    </row>
    <row r="479">
      <c r="L479" s="12"/>
      <c r="M479" s="14"/>
    </row>
    <row r="480">
      <c r="L480" s="12"/>
      <c r="M480" s="14"/>
    </row>
    <row r="481">
      <c r="L481" s="12"/>
      <c r="M481" s="14"/>
    </row>
    <row r="482">
      <c r="L482" s="12"/>
      <c r="M482" s="14"/>
    </row>
    <row r="483">
      <c r="L483" s="12"/>
      <c r="M483" s="14"/>
    </row>
    <row r="484">
      <c r="L484" s="12"/>
      <c r="M484" s="14"/>
    </row>
    <row r="485">
      <c r="L485" s="12"/>
      <c r="M485" s="14"/>
    </row>
    <row r="486">
      <c r="L486" s="12"/>
      <c r="M486" s="14"/>
    </row>
    <row r="487">
      <c r="L487" s="12"/>
      <c r="M487" s="14"/>
    </row>
    <row r="488">
      <c r="L488" s="12"/>
      <c r="M488" s="14"/>
    </row>
    <row r="489">
      <c r="L489" s="12"/>
      <c r="M489" s="14"/>
    </row>
    <row r="490">
      <c r="L490" s="12"/>
      <c r="M490" s="14"/>
    </row>
    <row r="491">
      <c r="L491" s="12"/>
      <c r="M491" s="14"/>
    </row>
    <row r="492">
      <c r="L492" s="12"/>
      <c r="M492" s="14"/>
    </row>
    <row r="493">
      <c r="L493" s="12"/>
      <c r="M493" s="14"/>
    </row>
    <row r="494">
      <c r="L494" s="12"/>
      <c r="M494" s="14"/>
    </row>
    <row r="495">
      <c r="L495" s="12"/>
      <c r="M495" s="14"/>
    </row>
    <row r="496">
      <c r="L496" s="12"/>
      <c r="M496" s="14"/>
    </row>
    <row r="497">
      <c r="L497" s="12"/>
      <c r="M497" s="14"/>
    </row>
    <row r="498">
      <c r="L498" s="12"/>
      <c r="M498" s="14"/>
    </row>
    <row r="499">
      <c r="L499" s="12"/>
      <c r="M499" s="14"/>
    </row>
    <row r="500">
      <c r="L500" s="12"/>
      <c r="M500" s="14"/>
    </row>
    <row r="501">
      <c r="L501" s="12"/>
      <c r="M501" s="14"/>
    </row>
    <row r="502">
      <c r="L502" s="12"/>
      <c r="M502" s="14"/>
    </row>
    <row r="503">
      <c r="L503" s="12"/>
      <c r="M503" s="14"/>
    </row>
    <row r="504">
      <c r="L504" s="12"/>
      <c r="M504" s="14"/>
    </row>
    <row r="505">
      <c r="L505" s="12"/>
      <c r="M505" s="14"/>
    </row>
    <row r="506">
      <c r="L506" s="12"/>
      <c r="M506" s="14"/>
    </row>
    <row r="507">
      <c r="L507" s="12"/>
      <c r="M507" s="14"/>
    </row>
    <row r="508">
      <c r="L508" s="12"/>
      <c r="M508" s="14"/>
    </row>
    <row r="509">
      <c r="L509" s="12"/>
      <c r="M509" s="14"/>
    </row>
    <row r="510">
      <c r="L510" s="12"/>
      <c r="M510" s="14"/>
    </row>
    <row r="511">
      <c r="L511" s="12"/>
      <c r="M511" s="14"/>
    </row>
    <row r="512">
      <c r="L512" s="12"/>
      <c r="M512" s="14"/>
    </row>
    <row r="513">
      <c r="L513" s="12"/>
      <c r="M513" s="14"/>
    </row>
    <row r="514">
      <c r="L514" s="12"/>
      <c r="M514" s="14"/>
    </row>
    <row r="515">
      <c r="L515" s="12"/>
      <c r="M515" s="14"/>
    </row>
    <row r="516">
      <c r="L516" s="12"/>
      <c r="M516" s="14"/>
    </row>
    <row r="517">
      <c r="L517" s="12"/>
      <c r="M517" s="14"/>
    </row>
    <row r="518">
      <c r="L518" s="12"/>
      <c r="M518" s="14"/>
    </row>
    <row r="519">
      <c r="L519" s="12"/>
      <c r="M519" s="14"/>
    </row>
    <row r="520">
      <c r="L520" s="12"/>
      <c r="M520" s="14"/>
    </row>
    <row r="521">
      <c r="L521" s="12"/>
      <c r="M521" s="14"/>
    </row>
    <row r="522">
      <c r="L522" s="12"/>
      <c r="M522" s="14"/>
    </row>
    <row r="523">
      <c r="L523" s="12"/>
      <c r="M523" s="14"/>
    </row>
    <row r="524">
      <c r="L524" s="12"/>
      <c r="M524" s="14"/>
    </row>
    <row r="525">
      <c r="L525" s="12"/>
      <c r="M525" s="14"/>
    </row>
    <row r="526">
      <c r="L526" s="12"/>
      <c r="M526" s="14"/>
    </row>
    <row r="527">
      <c r="L527" s="12"/>
      <c r="M527" s="14"/>
    </row>
    <row r="528">
      <c r="L528" s="12"/>
      <c r="M528" s="14"/>
    </row>
    <row r="529">
      <c r="L529" s="12"/>
      <c r="M529" s="14"/>
    </row>
    <row r="530">
      <c r="L530" s="12"/>
      <c r="M530" s="14"/>
    </row>
    <row r="531">
      <c r="L531" s="12"/>
      <c r="M531" s="14"/>
    </row>
    <row r="532">
      <c r="L532" s="12"/>
      <c r="M532" s="14"/>
    </row>
    <row r="533">
      <c r="L533" s="12"/>
      <c r="M533" s="14"/>
    </row>
    <row r="534">
      <c r="L534" s="12"/>
      <c r="M534" s="14"/>
    </row>
    <row r="535">
      <c r="L535" s="12"/>
      <c r="M535" s="14"/>
    </row>
    <row r="536">
      <c r="L536" s="12"/>
      <c r="M536" s="14"/>
    </row>
    <row r="537">
      <c r="L537" s="12"/>
      <c r="M537" s="14"/>
    </row>
    <row r="538">
      <c r="L538" s="12"/>
      <c r="M538" s="14"/>
    </row>
    <row r="539">
      <c r="L539" s="12"/>
      <c r="M539" s="14"/>
    </row>
    <row r="540">
      <c r="L540" s="12"/>
      <c r="M540" s="14"/>
    </row>
    <row r="541">
      <c r="L541" s="12"/>
      <c r="M541" s="14"/>
    </row>
    <row r="542">
      <c r="L542" s="12"/>
      <c r="M542" s="14"/>
    </row>
    <row r="543">
      <c r="L543" s="12"/>
      <c r="M543" s="14"/>
    </row>
    <row r="544">
      <c r="L544" s="12"/>
      <c r="M544" s="14"/>
    </row>
    <row r="545">
      <c r="L545" s="12"/>
      <c r="M545" s="14"/>
    </row>
    <row r="546">
      <c r="L546" s="12"/>
      <c r="M546" s="14"/>
    </row>
    <row r="547">
      <c r="L547" s="12"/>
      <c r="M547" s="14"/>
    </row>
    <row r="548">
      <c r="L548" s="12"/>
      <c r="M548" s="14"/>
    </row>
    <row r="549">
      <c r="L549" s="12"/>
      <c r="M549" s="14"/>
    </row>
    <row r="550">
      <c r="L550" s="12"/>
      <c r="M550" s="14"/>
    </row>
    <row r="551">
      <c r="L551" s="12"/>
      <c r="M551" s="14"/>
    </row>
    <row r="552">
      <c r="L552" s="12"/>
      <c r="M552" s="14"/>
    </row>
    <row r="553">
      <c r="L553" s="12"/>
      <c r="M553" s="14"/>
    </row>
    <row r="554">
      <c r="L554" s="12"/>
      <c r="M554" s="14"/>
    </row>
    <row r="555">
      <c r="L555" s="12"/>
      <c r="M555" s="14"/>
    </row>
    <row r="556">
      <c r="L556" s="12"/>
      <c r="M556" s="14"/>
    </row>
    <row r="557">
      <c r="L557" s="12"/>
      <c r="M557" s="14"/>
    </row>
    <row r="558">
      <c r="L558" s="12"/>
      <c r="M558" s="14"/>
    </row>
    <row r="559">
      <c r="L559" s="12"/>
      <c r="M559" s="14"/>
    </row>
    <row r="560">
      <c r="L560" s="12"/>
      <c r="M560" s="14"/>
    </row>
    <row r="561">
      <c r="L561" s="12"/>
      <c r="M561" s="14"/>
    </row>
    <row r="562">
      <c r="L562" s="12"/>
      <c r="M562" s="14"/>
    </row>
    <row r="563">
      <c r="L563" s="12"/>
      <c r="M563" s="14"/>
    </row>
    <row r="564">
      <c r="L564" s="12"/>
      <c r="M564" s="14"/>
    </row>
    <row r="565">
      <c r="L565" s="12"/>
      <c r="M565" s="14"/>
    </row>
    <row r="566">
      <c r="L566" s="12"/>
      <c r="M566" s="14"/>
    </row>
    <row r="567">
      <c r="L567" s="12"/>
      <c r="M567" s="14"/>
    </row>
    <row r="568">
      <c r="L568" s="12"/>
      <c r="M568" s="14"/>
    </row>
    <row r="569">
      <c r="L569" s="12"/>
      <c r="M569" s="14"/>
    </row>
    <row r="570">
      <c r="L570" s="12"/>
      <c r="M570" s="14"/>
    </row>
    <row r="571">
      <c r="L571" s="12"/>
      <c r="M571" s="14"/>
    </row>
    <row r="572">
      <c r="L572" s="12"/>
      <c r="M572" s="14"/>
    </row>
    <row r="573">
      <c r="L573" s="12"/>
      <c r="M573" s="14"/>
    </row>
    <row r="574">
      <c r="L574" s="12"/>
      <c r="M574" s="14"/>
    </row>
    <row r="575">
      <c r="L575" s="12"/>
      <c r="M575" s="14"/>
    </row>
    <row r="576">
      <c r="L576" s="12"/>
      <c r="M576" s="14"/>
    </row>
    <row r="577">
      <c r="L577" s="12"/>
      <c r="M577" s="14"/>
    </row>
    <row r="578">
      <c r="L578" s="12"/>
      <c r="M578" s="14"/>
    </row>
    <row r="579">
      <c r="L579" s="12"/>
      <c r="M579" s="14"/>
    </row>
    <row r="580">
      <c r="L580" s="12"/>
      <c r="M580" s="14"/>
    </row>
    <row r="581">
      <c r="L581" s="12"/>
      <c r="M581" s="14"/>
    </row>
    <row r="582">
      <c r="L582" s="12"/>
      <c r="M582" s="14"/>
    </row>
    <row r="583">
      <c r="L583" s="12"/>
      <c r="M583" s="14"/>
    </row>
    <row r="584">
      <c r="L584" s="12"/>
      <c r="M584" s="14"/>
    </row>
    <row r="585">
      <c r="L585" s="12"/>
      <c r="M585" s="14"/>
    </row>
    <row r="586">
      <c r="L586" s="12"/>
      <c r="M586" s="14"/>
    </row>
    <row r="587">
      <c r="L587" s="12"/>
      <c r="M587" s="14"/>
    </row>
    <row r="588">
      <c r="L588" s="12"/>
      <c r="M588" s="14"/>
    </row>
    <row r="589">
      <c r="L589" s="12"/>
      <c r="M589" s="14"/>
    </row>
    <row r="590">
      <c r="L590" s="12"/>
      <c r="M590" s="14"/>
    </row>
    <row r="591">
      <c r="L591" s="12"/>
      <c r="M591" s="14"/>
    </row>
    <row r="592">
      <c r="L592" s="12"/>
      <c r="M592" s="14"/>
    </row>
    <row r="593">
      <c r="L593" s="12"/>
      <c r="M593" s="14"/>
    </row>
    <row r="594">
      <c r="L594" s="12"/>
      <c r="M594" s="14"/>
    </row>
    <row r="595">
      <c r="L595" s="12"/>
      <c r="M595" s="14"/>
    </row>
    <row r="596">
      <c r="L596" s="12"/>
      <c r="M596" s="14"/>
    </row>
    <row r="597">
      <c r="L597" s="12"/>
      <c r="M597" s="14"/>
    </row>
    <row r="598">
      <c r="L598" s="12"/>
      <c r="M598" s="14"/>
    </row>
    <row r="599">
      <c r="L599" s="12"/>
      <c r="M599" s="14"/>
    </row>
    <row r="600">
      <c r="L600" s="12"/>
      <c r="M600" s="14"/>
    </row>
    <row r="601">
      <c r="L601" s="12"/>
      <c r="M601" s="14"/>
    </row>
    <row r="602">
      <c r="L602" s="12"/>
      <c r="M602" s="14"/>
    </row>
    <row r="603">
      <c r="L603" s="12"/>
      <c r="M603" s="14"/>
    </row>
    <row r="604">
      <c r="L604" s="12"/>
      <c r="M604" s="14"/>
    </row>
    <row r="605">
      <c r="L605" s="12"/>
      <c r="M605" s="14"/>
    </row>
    <row r="606">
      <c r="L606" s="12"/>
      <c r="M606" s="14"/>
    </row>
    <row r="607">
      <c r="L607" s="12"/>
      <c r="M607" s="14"/>
    </row>
    <row r="608">
      <c r="L608" s="12"/>
      <c r="M608" s="14"/>
    </row>
    <row r="609">
      <c r="L609" s="12"/>
      <c r="M609" s="14"/>
    </row>
    <row r="610">
      <c r="L610" s="12"/>
      <c r="M610" s="14"/>
    </row>
    <row r="611">
      <c r="L611" s="12"/>
      <c r="M611" s="14"/>
    </row>
    <row r="612">
      <c r="L612" s="12"/>
      <c r="M612" s="14"/>
    </row>
    <row r="613">
      <c r="L613" s="12"/>
      <c r="M613" s="14"/>
    </row>
    <row r="614">
      <c r="L614" s="12"/>
      <c r="M614" s="14"/>
    </row>
    <row r="615">
      <c r="L615" s="12"/>
      <c r="M615" s="14"/>
    </row>
    <row r="616">
      <c r="L616" s="12"/>
      <c r="M616" s="14"/>
    </row>
    <row r="617">
      <c r="L617" s="12"/>
      <c r="M617" s="14"/>
    </row>
    <row r="618">
      <c r="L618" s="12"/>
      <c r="M618" s="14"/>
    </row>
    <row r="619">
      <c r="L619" s="12"/>
      <c r="M619" s="14"/>
    </row>
    <row r="620">
      <c r="L620" s="12"/>
      <c r="M620" s="14"/>
    </row>
    <row r="621">
      <c r="L621" s="12"/>
      <c r="M621" s="14"/>
    </row>
    <row r="622">
      <c r="L622" s="12"/>
      <c r="M622" s="14"/>
    </row>
    <row r="623">
      <c r="L623" s="12"/>
      <c r="M623" s="14"/>
    </row>
    <row r="624">
      <c r="L624" s="12"/>
      <c r="M624" s="14"/>
    </row>
    <row r="625">
      <c r="L625" s="12"/>
      <c r="M625" s="14"/>
    </row>
    <row r="626">
      <c r="L626" s="12"/>
      <c r="M626" s="14"/>
    </row>
    <row r="627">
      <c r="L627" s="12"/>
      <c r="M627" s="14"/>
    </row>
    <row r="628">
      <c r="L628" s="12"/>
      <c r="M628" s="14"/>
    </row>
    <row r="629">
      <c r="L629" s="12"/>
      <c r="M629" s="14"/>
    </row>
    <row r="630">
      <c r="L630" s="12"/>
      <c r="M630" s="14"/>
    </row>
    <row r="631">
      <c r="L631" s="12"/>
      <c r="M631" s="14"/>
    </row>
    <row r="632">
      <c r="L632" s="12"/>
      <c r="M632" s="14"/>
    </row>
    <row r="633">
      <c r="L633" s="12"/>
      <c r="M633" s="14"/>
    </row>
    <row r="634">
      <c r="L634" s="12"/>
      <c r="M634" s="14"/>
    </row>
    <row r="635">
      <c r="L635" s="12"/>
      <c r="M635" s="14"/>
    </row>
    <row r="636">
      <c r="L636" s="12"/>
      <c r="M636" s="14"/>
    </row>
    <row r="637">
      <c r="L637" s="12"/>
      <c r="M637" s="14"/>
    </row>
    <row r="638">
      <c r="L638" s="12"/>
      <c r="M638" s="14"/>
    </row>
    <row r="639">
      <c r="L639" s="12"/>
      <c r="M639" s="14"/>
    </row>
    <row r="640">
      <c r="L640" s="12"/>
      <c r="M640" s="14"/>
    </row>
    <row r="641">
      <c r="L641" s="12"/>
      <c r="M641" s="14"/>
    </row>
    <row r="642">
      <c r="L642" s="12"/>
      <c r="M642" s="14"/>
    </row>
    <row r="643">
      <c r="L643" s="12"/>
      <c r="M643" s="14"/>
    </row>
    <row r="644">
      <c r="L644" s="12"/>
      <c r="M644" s="14"/>
    </row>
    <row r="645">
      <c r="L645" s="12"/>
      <c r="M645" s="14"/>
    </row>
    <row r="646">
      <c r="L646" s="12"/>
      <c r="M646" s="14"/>
    </row>
    <row r="647">
      <c r="L647" s="12"/>
      <c r="M647" s="14"/>
    </row>
    <row r="648">
      <c r="L648" s="12"/>
      <c r="M648" s="14"/>
    </row>
    <row r="649">
      <c r="L649" s="12"/>
      <c r="M649" s="14"/>
    </row>
    <row r="650">
      <c r="L650" s="12"/>
      <c r="M650" s="14"/>
    </row>
    <row r="651">
      <c r="L651" s="12"/>
      <c r="M651" s="14"/>
    </row>
    <row r="652">
      <c r="L652" s="12"/>
      <c r="M652" s="14"/>
    </row>
    <row r="653">
      <c r="L653" s="12"/>
      <c r="M653" s="14"/>
    </row>
    <row r="654">
      <c r="L654" s="12"/>
      <c r="M654" s="14"/>
    </row>
    <row r="655">
      <c r="L655" s="12"/>
      <c r="M655" s="14"/>
    </row>
    <row r="656">
      <c r="L656" s="12"/>
      <c r="M656" s="14"/>
    </row>
    <row r="657">
      <c r="L657" s="12"/>
      <c r="M657" s="14"/>
    </row>
    <row r="658">
      <c r="L658" s="12"/>
      <c r="M658" s="14"/>
    </row>
    <row r="659">
      <c r="L659" s="12"/>
      <c r="M659" s="14"/>
    </row>
    <row r="660">
      <c r="L660" s="12"/>
      <c r="M660" s="14"/>
    </row>
    <row r="661">
      <c r="L661" s="12"/>
      <c r="M661" s="14"/>
    </row>
    <row r="662">
      <c r="L662" s="12"/>
      <c r="M662" s="14"/>
    </row>
    <row r="663">
      <c r="L663" s="12"/>
      <c r="M663" s="14"/>
    </row>
    <row r="664">
      <c r="L664" s="12"/>
      <c r="M664" s="14"/>
    </row>
    <row r="665">
      <c r="L665" s="12"/>
      <c r="M665" s="14"/>
    </row>
    <row r="666">
      <c r="L666" s="12"/>
      <c r="M666" s="14"/>
    </row>
    <row r="667">
      <c r="L667" s="12"/>
      <c r="M667" s="14"/>
    </row>
    <row r="668">
      <c r="L668" s="12"/>
      <c r="M668" s="14"/>
    </row>
    <row r="669">
      <c r="L669" s="12"/>
      <c r="M669" s="14"/>
    </row>
    <row r="670">
      <c r="L670" s="12"/>
      <c r="M670" s="14"/>
    </row>
    <row r="671">
      <c r="L671" s="12"/>
      <c r="M671" s="14"/>
    </row>
    <row r="672">
      <c r="L672" s="12"/>
      <c r="M672" s="14"/>
    </row>
    <row r="673">
      <c r="L673" s="12"/>
      <c r="M673" s="14"/>
    </row>
    <row r="674">
      <c r="L674" s="12"/>
      <c r="M674" s="14"/>
    </row>
    <row r="675">
      <c r="L675" s="12"/>
      <c r="M675" s="14"/>
    </row>
    <row r="676">
      <c r="L676" s="12"/>
      <c r="M676" s="14"/>
    </row>
    <row r="677">
      <c r="L677" s="12"/>
      <c r="M677" s="14"/>
    </row>
    <row r="678">
      <c r="L678" s="12"/>
      <c r="M678" s="14"/>
    </row>
    <row r="679">
      <c r="L679" s="12"/>
      <c r="M679" s="14"/>
    </row>
    <row r="680">
      <c r="L680" s="12"/>
      <c r="M680" s="14"/>
    </row>
    <row r="681">
      <c r="L681" s="12"/>
      <c r="M681" s="14"/>
    </row>
    <row r="682">
      <c r="L682" s="12"/>
      <c r="M682" s="14"/>
    </row>
    <row r="683">
      <c r="L683" s="12"/>
      <c r="M683" s="14"/>
    </row>
    <row r="684">
      <c r="L684" s="12"/>
      <c r="M684" s="14"/>
    </row>
    <row r="685">
      <c r="L685" s="12"/>
      <c r="M685" s="14"/>
    </row>
    <row r="686">
      <c r="L686" s="12"/>
      <c r="M686" s="14"/>
    </row>
    <row r="687">
      <c r="L687" s="12"/>
      <c r="M687" s="14"/>
    </row>
    <row r="688">
      <c r="L688" s="12"/>
      <c r="M688" s="14"/>
    </row>
    <row r="689">
      <c r="L689" s="12"/>
      <c r="M689" s="14"/>
    </row>
    <row r="690">
      <c r="L690" s="12"/>
      <c r="M690" s="14"/>
    </row>
    <row r="691">
      <c r="L691" s="12"/>
      <c r="M691" s="14"/>
    </row>
    <row r="692">
      <c r="L692" s="12"/>
      <c r="M692" s="14"/>
    </row>
    <row r="693">
      <c r="L693" s="12"/>
      <c r="M693" s="14"/>
    </row>
    <row r="694">
      <c r="L694" s="12"/>
      <c r="M694" s="14"/>
    </row>
    <row r="695">
      <c r="L695" s="12"/>
      <c r="M695" s="14"/>
    </row>
    <row r="696">
      <c r="L696" s="12"/>
      <c r="M696" s="14"/>
    </row>
    <row r="697">
      <c r="L697" s="12"/>
      <c r="M697" s="14"/>
    </row>
    <row r="698">
      <c r="L698" s="12"/>
      <c r="M698" s="14"/>
    </row>
    <row r="699">
      <c r="L699" s="12"/>
      <c r="M699" s="14"/>
    </row>
    <row r="700">
      <c r="L700" s="12"/>
      <c r="M700" s="14"/>
    </row>
    <row r="701">
      <c r="L701" s="12"/>
      <c r="M701" s="14"/>
    </row>
    <row r="702">
      <c r="L702" s="12"/>
      <c r="M702" s="14"/>
    </row>
    <row r="703">
      <c r="L703" s="12"/>
      <c r="M703" s="14"/>
    </row>
    <row r="704">
      <c r="L704" s="12"/>
      <c r="M704" s="14"/>
    </row>
    <row r="705">
      <c r="L705" s="12"/>
      <c r="M705" s="14"/>
    </row>
    <row r="706">
      <c r="L706" s="12"/>
      <c r="M706" s="14"/>
    </row>
    <row r="707">
      <c r="L707" s="12"/>
      <c r="M707" s="14"/>
    </row>
    <row r="708">
      <c r="L708" s="12"/>
      <c r="M708" s="14"/>
    </row>
    <row r="709">
      <c r="L709" s="12"/>
      <c r="M709" s="14"/>
    </row>
    <row r="710">
      <c r="L710" s="12"/>
      <c r="M710" s="14"/>
    </row>
    <row r="711">
      <c r="L711" s="12"/>
      <c r="M711" s="14"/>
    </row>
    <row r="712">
      <c r="L712" s="12"/>
      <c r="M712" s="14"/>
    </row>
    <row r="713">
      <c r="L713" s="12"/>
      <c r="M713" s="14"/>
    </row>
    <row r="714">
      <c r="L714" s="12"/>
      <c r="M714" s="14"/>
    </row>
    <row r="715">
      <c r="L715" s="12"/>
      <c r="M715" s="14"/>
    </row>
    <row r="716">
      <c r="L716" s="12"/>
      <c r="M716" s="14"/>
    </row>
    <row r="717">
      <c r="L717" s="12"/>
      <c r="M717" s="14"/>
    </row>
    <row r="718">
      <c r="L718" s="12"/>
      <c r="M718" s="14"/>
    </row>
    <row r="719">
      <c r="L719" s="12"/>
      <c r="M719" s="14"/>
    </row>
    <row r="720">
      <c r="L720" s="12"/>
      <c r="M720" s="14"/>
    </row>
    <row r="721">
      <c r="L721" s="12"/>
      <c r="M721" s="14"/>
    </row>
    <row r="722">
      <c r="L722" s="12"/>
      <c r="M722" s="14"/>
    </row>
    <row r="723">
      <c r="L723" s="12"/>
      <c r="M723" s="14"/>
    </row>
    <row r="724">
      <c r="L724" s="12"/>
      <c r="M724" s="14"/>
    </row>
    <row r="725">
      <c r="L725" s="12"/>
      <c r="M725" s="14"/>
    </row>
    <row r="726">
      <c r="L726" s="12"/>
      <c r="M726" s="14"/>
    </row>
    <row r="727">
      <c r="L727" s="12"/>
      <c r="M727" s="14"/>
    </row>
    <row r="728">
      <c r="L728" s="12"/>
      <c r="M728" s="14"/>
    </row>
    <row r="729">
      <c r="L729" s="12"/>
      <c r="M729" s="14"/>
    </row>
    <row r="730">
      <c r="L730" s="12"/>
      <c r="M730" s="14"/>
    </row>
    <row r="731">
      <c r="L731" s="12"/>
      <c r="M731" s="14"/>
    </row>
    <row r="732">
      <c r="L732" s="12"/>
      <c r="M732" s="14"/>
    </row>
    <row r="733">
      <c r="L733" s="12"/>
      <c r="M733" s="14"/>
    </row>
    <row r="734">
      <c r="L734" s="12"/>
      <c r="M734" s="14"/>
    </row>
    <row r="735">
      <c r="L735" s="12"/>
      <c r="M735" s="14"/>
    </row>
    <row r="736">
      <c r="L736" s="12"/>
      <c r="M736" s="14"/>
    </row>
    <row r="737">
      <c r="L737" s="12"/>
      <c r="M737" s="14"/>
    </row>
    <row r="738">
      <c r="L738" s="12"/>
      <c r="M738" s="14"/>
    </row>
    <row r="739">
      <c r="L739" s="12"/>
      <c r="M739" s="14"/>
    </row>
    <row r="740">
      <c r="L740" s="12"/>
      <c r="M740" s="14"/>
    </row>
    <row r="741">
      <c r="L741" s="12"/>
      <c r="M741" s="14"/>
    </row>
    <row r="742">
      <c r="L742" s="12"/>
      <c r="M742" s="14"/>
    </row>
    <row r="743">
      <c r="L743" s="12"/>
      <c r="M743" s="14"/>
    </row>
    <row r="744">
      <c r="L744" s="12"/>
      <c r="M744" s="14"/>
    </row>
    <row r="745">
      <c r="L745" s="12"/>
      <c r="M745" s="14"/>
    </row>
    <row r="746">
      <c r="L746" s="12"/>
      <c r="M746" s="14"/>
    </row>
    <row r="747">
      <c r="L747" s="12"/>
      <c r="M747" s="14"/>
    </row>
    <row r="748">
      <c r="L748" s="12"/>
      <c r="M748" s="14"/>
    </row>
    <row r="749">
      <c r="L749" s="12"/>
      <c r="M749" s="14"/>
    </row>
    <row r="750">
      <c r="L750" s="12"/>
      <c r="M750" s="14"/>
    </row>
    <row r="751">
      <c r="L751" s="12"/>
      <c r="M751" s="14"/>
    </row>
    <row r="752">
      <c r="L752" s="12"/>
      <c r="M752" s="14"/>
    </row>
    <row r="753">
      <c r="L753" s="12"/>
      <c r="M753" s="14"/>
    </row>
    <row r="754">
      <c r="L754" s="12"/>
      <c r="M754" s="14"/>
    </row>
    <row r="755">
      <c r="L755" s="12"/>
      <c r="M755" s="14"/>
    </row>
    <row r="756">
      <c r="L756" s="12"/>
      <c r="M756" s="14"/>
    </row>
    <row r="757">
      <c r="L757" s="12"/>
      <c r="M757" s="14"/>
    </row>
    <row r="758">
      <c r="L758" s="12"/>
      <c r="M758" s="14"/>
    </row>
    <row r="759">
      <c r="L759" s="12"/>
      <c r="M759" s="14"/>
    </row>
    <row r="760">
      <c r="L760" s="12"/>
      <c r="M760" s="14"/>
    </row>
    <row r="761">
      <c r="L761" s="12"/>
      <c r="M761" s="14"/>
    </row>
    <row r="762">
      <c r="L762" s="12"/>
      <c r="M762" s="14"/>
    </row>
    <row r="763">
      <c r="L763" s="12"/>
      <c r="M763" s="14"/>
    </row>
    <row r="764">
      <c r="L764" s="12"/>
      <c r="M764" s="14"/>
    </row>
    <row r="765">
      <c r="L765" s="12"/>
      <c r="M765" s="14"/>
    </row>
    <row r="766">
      <c r="L766" s="12"/>
      <c r="M766" s="14"/>
    </row>
    <row r="767">
      <c r="L767" s="12"/>
      <c r="M767" s="14"/>
    </row>
    <row r="768">
      <c r="L768" s="12"/>
      <c r="M768" s="14"/>
    </row>
    <row r="769">
      <c r="L769" s="12"/>
      <c r="M769" s="14"/>
    </row>
    <row r="770">
      <c r="L770" s="12"/>
      <c r="M770" s="14"/>
    </row>
    <row r="771">
      <c r="L771" s="12"/>
      <c r="M771" s="14"/>
    </row>
    <row r="772">
      <c r="L772" s="12"/>
      <c r="M772" s="14"/>
    </row>
    <row r="773">
      <c r="L773" s="12"/>
      <c r="M773" s="14"/>
    </row>
    <row r="774">
      <c r="L774" s="12"/>
      <c r="M774" s="14"/>
    </row>
    <row r="775">
      <c r="L775" s="12"/>
      <c r="M775" s="14"/>
    </row>
    <row r="776">
      <c r="L776" s="12"/>
      <c r="M776" s="14"/>
    </row>
    <row r="777">
      <c r="L777" s="12"/>
      <c r="M777" s="14"/>
    </row>
    <row r="778">
      <c r="L778" s="12"/>
      <c r="M778" s="14"/>
    </row>
    <row r="779">
      <c r="L779" s="12"/>
      <c r="M779" s="14"/>
    </row>
    <row r="780">
      <c r="L780" s="12"/>
      <c r="M780" s="14"/>
    </row>
    <row r="781">
      <c r="L781" s="12"/>
      <c r="M781" s="14"/>
    </row>
    <row r="782">
      <c r="L782" s="12"/>
      <c r="M782" s="14"/>
    </row>
    <row r="783">
      <c r="L783" s="12"/>
      <c r="M783" s="14"/>
    </row>
    <row r="784">
      <c r="L784" s="12"/>
      <c r="M784" s="14"/>
    </row>
    <row r="785">
      <c r="L785" s="12"/>
      <c r="M785" s="14"/>
    </row>
    <row r="786">
      <c r="L786" s="12"/>
      <c r="M786" s="14"/>
    </row>
    <row r="787">
      <c r="L787" s="12"/>
      <c r="M787" s="14"/>
    </row>
    <row r="788">
      <c r="L788" s="12"/>
      <c r="M788" s="14"/>
    </row>
    <row r="789">
      <c r="L789" s="12"/>
      <c r="M789" s="14"/>
    </row>
    <row r="790">
      <c r="L790" s="12"/>
      <c r="M790" s="14"/>
    </row>
    <row r="791">
      <c r="L791" s="12"/>
      <c r="M791" s="14"/>
    </row>
    <row r="792">
      <c r="L792" s="12"/>
      <c r="M792" s="14"/>
    </row>
    <row r="793">
      <c r="L793" s="12"/>
      <c r="M793" s="14"/>
    </row>
    <row r="794">
      <c r="L794" s="12"/>
      <c r="M794" s="14"/>
    </row>
    <row r="795">
      <c r="L795" s="12"/>
      <c r="M795" s="14"/>
    </row>
    <row r="796">
      <c r="L796" s="12"/>
      <c r="M796" s="14"/>
    </row>
    <row r="797">
      <c r="L797" s="12"/>
      <c r="M797" s="14"/>
    </row>
    <row r="798">
      <c r="L798" s="12"/>
      <c r="M798" s="14"/>
    </row>
    <row r="799">
      <c r="L799" s="12"/>
      <c r="M799" s="14"/>
    </row>
    <row r="800">
      <c r="L800" s="12"/>
      <c r="M800" s="14"/>
    </row>
    <row r="801">
      <c r="L801" s="12"/>
      <c r="M801" s="14"/>
    </row>
    <row r="802">
      <c r="L802" s="12"/>
      <c r="M802" s="14"/>
    </row>
    <row r="803">
      <c r="L803" s="12"/>
      <c r="M803" s="14"/>
    </row>
    <row r="804">
      <c r="L804" s="12"/>
      <c r="M804" s="14"/>
    </row>
    <row r="805">
      <c r="L805" s="12"/>
      <c r="M805" s="14"/>
    </row>
    <row r="806">
      <c r="L806" s="12"/>
      <c r="M806" s="14"/>
    </row>
    <row r="807">
      <c r="L807" s="12"/>
      <c r="M807" s="14"/>
    </row>
    <row r="808">
      <c r="L808" s="12"/>
      <c r="M808" s="14"/>
    </row>
    <row r="809">
      <c r="L809" s="12"/>
      <c r="M809" s="14"/>
    </row>
    <row r="810">
      <c r="L810" s="12"/>
      <c r="M810" s="14"/>
    </row>
    <row r="811">
      <c r="L811" s="12"/>
      <c r="M811" s="14"/>
    </row>
    <row r="812">
      <c r="L812" s="12"/>
      <c r="M812" s="14"/>
    </row>
    <row r="813">
      <c r="L813" s="12"/>
      <c r="M813" s="14"/>
    </row>
    <row r="814">
      <c r="L814" s="12"/>
      <c r="M814" s="14"/>
    </row>
    <row r="815">
      <c r="L815" s="12"/>
      <c r="M815" s="14"/>
    </row>
    <row r="816">
      <c r="L816" s="12"/>
      <c r="M816" s="14"/>
    </row>
    <row r="817">
      <c r="L817" s="12"/>
      <c r="M817" s="14"/>
    </row>
    <row r="818">
      <c r="L818" s="12"/>
      <c r="M818" s="14"/>
    </row>
    <row r="819">
      <c r="L819" s="12"/>
      <c r="M819" s="14"/>
    </row>
    <row r="820">
      <c r="L820" s="12"/>
      <c r="M820" s="14"/>
    </row>
    <row r="821">
      <c r="L821" s="12"/>
      <c r="M821" s="14"/>
    </row>
    <row r="822">
      <c r="L822" s="12"/>
      <c r="M822" s="14"/>
    </row>
    <row r="823">
      <c r="L823" s="12"/>
      <c r="M823" s="14"/>
    </row>
    <row r="824">
      <c r="L824" s="12"/>
      <c r="M824" s="14"/>
    </row>
    <row r="825">
      <c r="L825" s="12"/>
      <c r="M825" s="14"/>
    </row>
    <row r="826">
      <c r="L826" s="12"/>
      <c r="M826" s="14"/>
    </row>
    <row r="827">
      <c r="L827" s="12"/>
      <c r="M827" s="14"/>
    </row>
    <row r="828">
      <c r="L828" s="12"/>
      <c r="M828" s="14"/>
    </row>
    <row r="829">
      <c r="L829" s="12"/>
      <c r="M829" s="14"/>
    </row>
    <row r="830">
      <c r="L830" s="12"/>
      <c r="M830" s="14"/>
    </row>
    <row r="831">
      <c r="L831" s="12"/>
      <c r="M831" s="14"/>
    </row>
    <row r="832">
      <c r="L832" s="12"/>
      <c r="M832" s="14"/>
    </row>
    <row r="833">
      <c r="L833" s="12"/>
      <c r="M833" s="14"/>
    </row>
    <row r="834">
      <c r="L834" s="12"/>
      <c r="M834" s="14"/>
    </row>
    <row r="835">
      <c r="L835" s="12"/>
      <c r="M835" s="14"/>
    </row>
    <row r="836">
      <c r="L836" s="12"/>
      <c r="M836" s="14"/>
    </row>
    <row r="837">
      <c r="L837" s="12"/>
      <c r="M837" s="14"/>
    </row>
    <row r="838">
      <c r="L838" s="12"/>
      <c r="M838" s="14"/>
    </row>
    <row r="839">
      <c r="L839" s="12"/>
      <c r="M839" s="14"/>
    </row>
    <row r="840">
      <c r="L840" s="12"/>
      <c r="M840" s="14"/>
    </row>
    <row r="841">
      <c r="L841" s="12"/>
      <c r="M841" s="14"/>
    </row>
    <row r="842">
      <c r="L842" s="12"/>
      <c r="M842" s="14"/>
    </row>
    <row r="843">
      <c r="L843" s="12"/>
      <c r="M843" s="14"/>
    </row>
    <row r="844">
      <c r="L844" s="12"/>
      <c r="M844" s="14"/>
    </row>
    <row r="845">
      <c r="L845" s="12"/>
      <c r="M845" s="14"/>
    </row>
    <row r="846">
      <c r="L846" s="12"/>
      <c r="M846" s="14"/>
    </row>
    <row r="847">
      <c r="L847" s="12"/>
      <c r="M847" s="14"/>
    </row>
    <row r="848">
      <c r="L848" s="12"/>
      <c r="M848" s="14"/>
    </row>
    <row r="849">
      <c r="L849" s="12"/>
      <c r="M849" s="14"/>
    </row>
    <row r="850">
      <c r="L850" s="12"/>
      <c r="M850" s="14"/>
    </row>
    <row r="851">
      <c r="L851" s="12"/>
      <c r="M851" s="14"/>
    </row>
    <row r="852">
      <c r="L852" s="12"/>
      <c r="M852" s="14"/>
    </row>
    <row r="853">
      <c r="L853" s="12"/>
      <c r="M853" s="14"/>
    </row>
    <row r="854">
      <c r="L854" s="12"/>
      <c r="M854" s="14"/>
    </row>
    <row r="855">
      <c r="L855" s="12"/>
      <c r="M855" s="14"/>
    </row>
    <row r="856">
      <c r="L856" s="12"/>
      <c r="M856" s="14"/>
    </row>
    <row r="857">
      <c r="L857" s="12"/>
      <c r="M857" s="14"/>
    </row>
    <row r="858">
      <c r="L858" s="12"/>
      <c r="M858" s="14"/>
    </row>
    <row r="859">
      <c r="L859" s="12"/>
      <c r="M859" s="14"/>
    </row>
    <row r="860">
      <c r="L860" s="12"/>
      <c r="M860" s="14"/>
    </row>
    <row r="861">
      <c r="L861" s="12"/>
      <c r="M861" s="14"/>
    </row>
    <row r="862">
      <c r="L862" s="12"/>
      <c r="M862" s="14"/>
    </row>
    <row r="863">
      <c r="L863" s="12"/>
      <c r="M863" s="14"/>
    </row>
    <row r="864">
      <c r="L864" s="12"/>
      <c r="M864" s="14"/>
    </row>
    <row r="865">
      <c r="L865" s="12"/>
      <c r="M865" s="14"/>
    </row>
    <row r="866">
      <c r="L866" s="12"/>
      <c r="M866" s="14"/>
    </row>
    <row r="867">
      <c r="L867" s="12"/>
      <c r="M867" s="14"/>
    </row>
    <row r="868">
      <c r="L868" s="12"/>
      <c r="M868" s="14"/>
    </row>
    <row r="869">
      <c r="L869" s="12"/>
      <c r="M869" s="14"/>
    </row>
    <row r="870">
      <c r="L870" s="12"/>
      <c r="M870" s="14"/>
    </row>
    <row r="871">
      <c r="L871" s="12"/>
      <c r="M871" s="14"/>
    </row>
    <row r="872">
      <c r="L872" s="12"/>
      <c r="M872" s="14"/>
    </row>
    <row r="873">
      <c r="L873" s="12"/>
      <c r="M873" s="14"/>
    </row>
    <row r="874">
      <c r="L874" s="12"/>
      <c r="M874" s="14"/>
    </row>
    <row r="875">
      <c r="L875" s="12"/>
      <c r="M875" s="14"/>
    </row>
    <row r="876">
      <c r="L876" s="12"/>
      <c r="M876" s="14"/>
    </row>
    <row r="877">
      <c r="L877" s="12"/>
      <c r="M877" s="14"/>
    </row>
    <row r="878">
      <c r="L878" s="12"/>
      <c r="M878" s="14"/>
    </row>
    <row r="879">
      <c r="L879" s="12"/>
      <c r="M879" s="14"/>
    </row>
    <row r="880">
      <c r="L880" s="12"/>
      <c r="M880" s="14"/>
    </row>
    <row r="881">
      <c r="L881" s="12"/>
      <c r="M881" s="14"/>
    </row>
    <row r="882">
      <c r="L882" s="12"/>
      <c r="M882" s="14"/>
    </row>
    <row r="883">
      <c r="L883" s="12"/>
      <c r="M883" s="14"/>
    </row>
    <row r="884">
      <c r="L884" s="12"/>
      <c r="M884" s="14"/>
    </row>
    <row r="885">
      <c r="L885" s="12"/>
      <c r="M885" s="14"/>
    </row>
    <row r="886">
      <c r="L886" s="12"/>
      <c r="M886" s="14"/>
    </row>
    <row r="887">
      <c r="L887" s="12"/>
      <c r="M887" s="14"/>
    </row>
    <row r="888">
      <c r="L888" s="12"/>
      <c r="M888" s="14"/>
    </row>
    <row r="889">
      <c r="L889" s="12"/>
      <c r="M889" s="14"/>
    </row>
    <row r="890">
      <c r="L890" s="12"/>
      <c r="M890" s="14"/>
    </row>
    <row r="891">
      <c r="L891" s="12"/>
      <c r="M891" s="14"/>
    </row>
    <row r="892">
      <c r="L892" s="12"/>
      <c r="M892" s="14"/>
    </row>
    <row r="893">
      <c r="L893" s="12"/>
      <c r="M893" s="14"/>
    </row>
    <row r="894">
      <c r="L894" s="12"/>
      <c r="M894" s="14"/>
    </row>
    <row r="895">
      <c r="L895" s="12"/>
      <c r="M895" s="14"/>
    </row>
    <row r="896">
      <c r="L896" s="12"/>
      <c r="M896" s="14"/>
    </row>
    <row r="897">
      <c r="L897" s="12"/>
      <c r="M897" s="14"/>
    </row>
    <row r="898">
      <c r="L898" s="12"/>
      <c r="M898" s="14"/>
    </row>
    <row r="899">
      <c r="L899" s="12"/>
      <c r="M899" s="14"/>
    </row>
    <row r="900">
      <c r="L900" s="12"/>
      <c r="M900" s="14"/>
    </row>
    <row r="901">
      <c r="L901" s="12"/>
      <c r="M901" s="14"/>
    </row>
    <row r="902">
      <c r="L902" s="12"/>
      <c r="M902" s="14"/>
    </row>
    <row r="903">
      <c r="L903" s="12"/>
      <c r="M903" s="14"/>
    </row>
    <row r="904">
      <c r="L904" s="12"/>
      <c r="M904" s="14"/>
    </row>
    <row r="905">
      <c r="L905" s="12"/>
      <c r="M905" s="14"/>
    </row>
    <row r="906">
      <c r="L906" s="12"/>
      <c r="M906" s="14"/>
    </row>
    <row r="907">
      <c r="L907" s="12"/>
      <c r="M907" s="14"/>
    </row>
    <row r="908">
      <c r="L908" s="12"/>
      <c r="M908" s="14"/>
    </row>
    <row r="909">
      <c r="L909" s="12"/>
      <c r="M909" s="14"/>
    </row>
    <row r="910">
      <c r="L910" s="12"/>
      <c r="M910" s="14"/>
    </row>
    <row r="911">
      <c r="L911" s="12"/>
      <c r="M911" s="14"/>
    </row>
    <row r="912">
      <c r="L912" s="12"/>
      <c r="M912" s="14"/>
    </row>
    <row r="913">
      <c r="L913" s="12"/>
      <c r="M913" s="14"/>
    </row>
    <row r="914">
      <c r="L914" s="12"/>
      <c r="M914" s="14"/>
    </row>
    <row r="915">
      <c r="L915" s="12"/>
      <c r="M915" s="14"/>
    </row>
    <row r="916">
      <c r="L916" s="12"/>
      <c r="M916" s="14"/>
    </row>
    <row r="917">
      <c r="L917" s="12"/>
      <c r="M917" s="14"/>
    </row>
    <row r="918">
      <c r="L918" s="12"/>
      <c r="M918" s="14"/>
    </row>
    <row r="919">
      <c r="L919" s="12"/>
      <c r="M919" s="14"/>
    </row>
    <row r="920">
      <c r="L920" s="12"/>
      <c r="M920" s="14"/>
    </row>
    <row r="921">
      <c r="L921" s="12"/>
      <c r="M921" s="14"/>
    </row>
    <row r="922">
      <c r="L922" s="12"/>
      <c r="M922" s="14"/>
    </row>
    <row r="923">
      <c r="L923" s="12"/>
      <c r="M923" s="14"/>
    </row>
    <row r="924">
      <c r="L924" s="12"/>
      <c r="M924" s="14"/>
    </row>
    <row r="925">
      <c r="L925" s="12"/>
      <c r="M925" s="14"/>
    </row>
    <row r="926">
      <c r="L926" s="12"/>
      <c r="M926" s="14"/>
    </row>
    <row r="927">
      <c r="L927" s="12"/>
      <c r="M927" s="14"/>
    </row>
    <row r="928">
      <c r="L928" s="12"/>
      <c r="M928" s="14"/>
    </row>
    <row r="929">
      <c r="L929" s="12"/>
      <c r="M929" s="14"/>
    </row>
    <row r="930">
      <c r="L930" s="12"/>
      <c r="M930" s="14"/>
    </row>
    <row r="931">
      <c r="L931" s="12"/>
      <c r="M931" s="14"/>
    </row>
    <row r="932">
      <c r="L932" s="12"/>
      <c r="M932" s="14"/>
    </row>
    <row r="933">
      <c r="L933" s="12"/>
      <c r="M933" s="14"/>
    </row>
    <row r="934">
      <c r="L934" s="12"/>
      <c r="M934" s="14"/>
    </row>
    <row r="935">
      <c r="L935" s="12"/>
      <c r="M935" s="14"/>
    </row>
    <row r="936">
      <c r="L936" s="12"/>
      <c r="M936" s="14"/>
    </row>
    <row r="937">
      <c r="L937" s="12"/>
      <c r="M937" s="14"/>
    </row>
    <row r="938">
      <c r="L938" s="12"/>
      <c r="M938" s="14"/>
    </row>
    <row r="939">
      <c r="L939" s="12"/>
      <c r="M939" s="14"/>
    </row>
    <row r="940">
      <c r="L940" s="12"/>
      <c r="M940" s="14"/>
    </row>
    <row r="941">
      <c r="L941" s="12"/>
      <c r="M941" s="14"/>
    </row>
    <row r="942">
      <c r="L942" s="12"/>
      <c r="M942" s="14"/>
    </row>
    <row r="943">
      <c r="L943" s="12"/>
      <c r="M943" s="14"/>
    </row>
    <row r="944">
      <c r="L944" s="12"/>
      <c r="M944" s="14"/>
    </row>
    <row r="945">
      <c r="L945" s="12"/>
      <c r="M945" s="14"/>
    </row>
    <row r="946">
      <c r="L946" s="12"/>
      <c r="M946" s="14"/>
    </row>
    <row r="947">
      <c r="L947" s="12"/>
      <c r="M947" s="14"/>
    </row>
    <row r="948">
      <c r="L948" s="12"/>
      <c r="M948" s="14"/>
    </row>
    <row r="949">
      <c r="L949" s="12"/>
      <c r="M949" s="14"/>
    </row>
    <row r="950">
      <c r="L950" s="12"/>
      <c r="M950" s="14"/>
    </row>
    <row r="951">
      <c r="L951" s="12"/>
      <c r="M951" s="14"/>
    </row>
    <row r="952">
      <c r="L952" s="12"/>
      <c r="M952" s="14"/>
    </row>
    <row r="953">
      <c r="L953" s="12"/>
      <c r="M953" s="14"/>
    </row>
    <row r="954">
      <c r="L954" s="12"/>
      <c r="M954" s="14"/>
    </row>
    <row r="955">
      <c r="L955" s="12"/>
      <c r="M955" s="14"/>
    </row>
    <row r="956">
      <c r="L956" s="12"/>
      <c r="M956" s="14"/>
    </row>
    <row r="957">
      <c r="L957" s="12"/>
      <c r="M957" s="14"/>
    </row>
    <row r="958">
      <c r="L958" s="12"/>
      <c r="M958" s="14"/>
    </row>
    <row r="959">
      <c r="L959" s="12"/>
      <c r="M959" s="14"/>
    </row>
    <row r="960">
      <c r="L960" s="12"/>
      <c r="M960" s="14"/>
    </row>
    <row r="961">
      <c r="L961" s="12"/>
      <c r="M961" s="14"/>
    </row>
    <row r="962">
      <c r="L962" s="12"/>
      <c r="M962" s="14"/>
    </row>
    <row r="963">
      <c r="L963" s="12"/>
      <c r="M963" s="14"/>
    </row>
    <row r="964">
      <c r="L964" s="12"/>
      <c r="M964" s="14"/>
    </row>
    <row r="965">
      <c r="L965" s="12"/>
      <c r="M965" s="14"/>
    </row>
    <row r="966">
      <c r="L966" s="12"/>
      <c r="M966" s="14"/>
    </row>
    <row r="967">
      <c r="L967" s="12"/>
      <c r="M967" s="14"/>
    </row>
    <row r="968">
      <c r="L968" s="12"/>
      <c r="M968" s="14"/>
    </row>
    <row r="969">
      <c r="L969" s="12"/>
      <c r="M969" s="14"/>
    </row>
    <row r="970">
      <c r="L970" s="12"/>
      <c r="M970" s="14"/>
    </row>
    <row r="971">
      <c r="L971" s="12"/>
      <c r="M971" s="14"/>
    </row>
    <row r="972">
      <c r="L972" s="12"/>
      <c r="M972" s="14"/>
    </row>
    <row r="973">
      <c r="L973" s="12"/>
      <c r="M973" s="14"/>
    </row>
    <row r="974">
      <c r="L974" s="12"/>
      <c r="M974" s="14"/>
    </row>
    <row r="975">
      <c r="L975" s="12"/>
      <c r="M975" s="14"/>
    </row>
    <row r="976">
      <c r="L976" s="12"/>
      <c r="M976" s="14"/>
    </row>
    <row r="977">
      <c r="L977" s="12"/>
      <c r="M977" s="14"/>
    </row>
    <row r="978">
      <c r="L978" s="12"/>
      <c r="M978" s="14"/>
    </row>
    <row r="979">
      <c r="L979" s="12"/>
      <c r="M979" s="14"/>
    </row>
    <row r="980">
      <c r="L980" s="12"/>
      <c r="M980" s="14"/>
    </row>
    <row r="981">
      <c r="L981" s="12"/>
      <c r="M981" s="14"/>
    </row>
    <row r="982">
      <c r="L982" s="12"/>
      <c r="M982" s="14"/>
    </row>
    <row r="983">
      <c r="L983" s="12"/>
      <c r="M983" s="14"/>
    </row>
    <row r="984">
      <c r="L984" s="12"/>
      <c r="M984" s="14"/>
    </row>
    <row r="985">
      <c r="L985" s="12"/>
      <c r="M985" s="14"/>
    </row>
    <row r="986">
      <c r="L986" s="12"/>
      <c r="M986" s="14"/>
    </row>
    <row r="987">
      <c r="L987" s="12"/>
      <c r="M987" s="14"/>
    </row>
    <row r="988">
      <c r="L988" s="12"/>
      <c r="M988" s="14"/>
    </row>
    <row r="989">
      <c r="L989" s="12"/>
      <c r="M989" s="14"/>
    </row>
    <row r="990">
      <c r="L990" s="12"/>
      <c r="M990" s="14"/>
    </row>
    <row r="991">
      <c r="L991" s="12"/>
      <c r="M991" s="14"/>
    </row>
    <row r="992">
      <c r="L992" s="12"/>
      <c r="M992" s="14"/>
    </row>
    <row r="993">
      <c r="L993" s="12"/>
      <c r="M993" s="14"/>
    </row>
    <row r="994">
      <c r="L994" s="12"/>
      <c r="M994" s="14"/>
    </row>
    <row r="995">
      <c r="L995" s="12"/>
      <c r="M995" s="14"/>
    </row>
    <row r="996">
      <c r="L996" s="12"/>
      <c r="M996" s="14"/>
    </row>
    <row r="997">
      <c r="L997" s="12"/>
      <c r="M997" s="14"/>
    </row>
    <row r="998">
      <c r="L998" s="12"/>
      <c r="M998" s="14"/>
    </row>
    <row r="999">
      <c r="L999" s="12"/>
      <c r="M999" s="14"/>
    </row>
    <row r="1000">
      <c r="L1000" s="12"/>
      <c r="M1000" s="14"/>
    </row>
    <row r="1001">
      <c r="L1001" s="12"/>
      <c r="M1001" s="14"/>
    </row>
    <row r="1002">
      <c r="L1002" s="12"/>
      <c r="M1002" s="14"/>
    </row>
    <row r="1003">
      <c r="L1003" s="12"/>
      <c r="M1003" s="14"/>
    </row>
    <row r="1004">
      <c r="L1004" s="12"/>
      <c r="M1004" s="14"/>
    </row>
    <row r="1005">
      <c r="L1005" s="12"/>
      <c r="M1005" s="14"/>
    </row>
    <row r="1006">
      <c r="L1006" s="12"/>
      <c r="M1006" s="14"/>
    </row>
    <row r="1007">
      <c r="L1007" s="12"/>
      <c r="M1007" s="14"/>
    </row>
    <row r="1008">
      <c r="L1008" s="12"/>
      <c r="M1008" s="14"/>
    </row>
    <row r="1009">
      <c r="L1009" s="12"/>
      <c r="M1009" s="14"/>
    </row>
    <row r="1010">
      <c r="L1010" s="12"/>
      <c r="M1010" s="14"/>
    </row>
    <row r="1011">
      <c r="M1011" s="14"/>
    </row>
    <row r="1012">
      <c r="M1012" s="14"/>
    </row>
    <row r="1013">
      <c r="M1013" s="14"/>
    </row>
    <row r="1014">
      <c r="M1014" s="14"/>
    </row>
    <row r="1015">
      <c r="M1015" s="14"/>
    </row>
    <row r="1016">
      <c r="M1016" s="14"/>
    </row>
    <row r="1017">
      <c r="M1017" s="14"/>
    </row>
    <row r="1018">
      <c r="M1018" s="14"/>
    </row>
    <row r="1019">
      <c r="M1019" s="14"/>
    </row>
    <row r="1020">
      <c r="M1020" s="14"/>
    </row>
    <row r="1021">
      <c r="M1021" s="14"/>
    </row>
    <row r="1022">
      <c r="M1022" s="14"/>
    </row>
    <row r="1023">
      <c r="M1023" s="14"/>
    </row>
    <row r="1024">
      <c r="M1024" s="14"/>
    </row>
    <row r="1025">
      <c r="M1025" s="14"/>
    </row>
    <row r="1026">
      <c r="M1026" s="14"/>
    </row>
    <row r="1027">
      <c r="M1027" s="14"/>
    </row>
    <row r="1028">
      <c r="M1028" s="14"/>
    </row>
    <row r="1029">
      <c r="M1029" s="14"/>
    </row>
    <row r="1030">
      <c r="M1030" s="14"/>
    </row>
    <row r="1031">
      <c r="M1031" s="14"/>
    </row>
    <row r="1032">
      <c r="M1032" s="14"/>
    </row>
    <row r="1033">
      <c r="M1033" s="14"/>
    </row>
    <row r="1034">
      <c r="M1034" s="14"/>
    </row>
    <row r="1035">
      <c r="M1035" s="14"/>
    </row>
    <row r="1036">
      <c r="M1036" s="14"/>
    </row>
    <row r="1037">
      <c r="M1037" s="14"/>
    </row>
  </sheetData>
  <conditionalFormatting sqref="L1:L12">
    <cfRule type="cellIs" dxfId="3" priority="1" operator="greaterThan">
      <formula>0.001</formula>
    </cfRule>
  </conditionalFormatting>
  <conditionalFormatting sqref="N1:N12 M4 O4:Q4">
    <cfRule type="cellIs" dxfId="4" priority="2" operator="greaterThan">
      <formula>0.6</formula>
    </cfRule>
  </conditionalFormatting>
  <conditionalFormatting sqref="M1:M3 C38 G38:K38 C48 C58">
    <cfRule type="colorScale" priority="3">
      <colorScale>
        <cfvo type="min"/>
        <cfvo type="max"/>
        <color rgb="FFFFFFFF"/>
        <color rgb="FF57BB8A"/>
      </colorScale>
    </cfRule>
  </conditionalFormatting>
  <conditionalFormatting sqref="M5:M12">
    <cfRule type="cellIs" dxfId="4" priority="4" operator="greaterThanOrEqual">
      <formula>0.125</formula>
    </cfRule>
  </conditionalFormatting>
  <conditionalFormatting sqref="M5:M12">
    <cfRule type="cellIs" dxfId="5" priority="5" operator="lessThan">
      <formula>0.125</formula>
    </cfRule>
  </conditionalFormatting>
  <conditionalFormatting sqref="N5:N12">
    <cfRule type="cellIs" dxfId="4" priority="6" operator="greaterThanOrEqual">
      <formula>0.125</formula>
    </cfRule>
  </conditionalFormatting>
  <conditionalFormatting sqref="N5:N12">
    <cfRule type="cellIs" dxfId="5" priority="7" operator="lessThan">
      <formula>0.125</formula>
    </cfRule>
  </conditionalFormatting>
  <conditionalFormatting sqref="O5:O12">
    <cfRule type="cellIs" dxfId="4" priority="8" operator="greaterThan">
      <formula>0</formula>
    </cfRule>
  </conditionalFormatting>
  <conditionalFormatting sqref="O5:O12">
    <cfRule type="cellIs" dxfId="5" priority="9" operator="lessThanOrEqual">
      <formula>0</formula>
    </cfRule>
  </conditionalFormatting>
  <conditionalFormatting sqref="E5:E12">
    <cfRule type="colorScale" priority="10">
      <colorScale>
        <cfvo type="min"/>
        <cfvo type="max"/>
        <color rgb="FFFFFFFF"/>
        <color rgb="FF57BB8A"/>
      </colorScale>
    </cfRule>
  </conditionalFormatting>
  <conditionalFormatting sqref="F5:F12">
    <cfRule type="colorScale" priority="11">
      <colorScale>
        <cfvo type="min"/>
        <cfvo type="max"/>
        <color rgb="FFE06666"/>
        <color rgb="FFFFFFFF"/>
      </colorScale>
    </cfRule>
  </conditionalFormatting>
  <dataValidations>
    <dataValidation type="list" allowBlank="1" showErrorMessage="1" sqref="C1">
      <formula1>"Todos,2024,2025"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4.0"/>
    <col customWidth="1" min="3" max="3" width="8.38"/>
    <col customWidth="1" min="4" max="4" width="9.88"/>
    <col customWidth="1" min="5" max="5" width="20.13"/>
    <col customWidth="1" min="6" max="6" width="7.5"/>
    <col customWidth="1" min="7" max="7" width="8.63"/>
    <col customWidth="1" min="8" max="8" width="16.13"/>
    <col customWidth="1" min="9" max="9" width="17.25"/>
    <col customWidth="1" min="10" max="10" width="13.25"/>
    <col customWidth="1" min="11" max="11" width="8.88"/>
    <col customWidth="1" min="12" max="12" width="10.75"/>
    <col customWidth="1" min="13" max="23" width="18.5"/>
  </cols>
  <sheetData>
    <row r="1">
      <c r="A1" s="127" t="s">
        <v>0</v>
      </c>
      <c r="B1" s="128" t="s">
        <v>103</v>
      </c>
      <c r="C1" s="23" t="s">
        <v>104</v>
      </c>
      <c r="D1" s="23" t="s">
        <v>105</v>
      </c>
      <c r="E1" s="23" t="s">
        <v>1</v>
      </c>
      <c r="F1" s="130" t="s">
        <v>2</v>
      </c>
      <c r="G1" s="130" t="s">
        <v>3</v>
      </c>
      <c r="H1" s="23" t="s">
        <v>29</v>
      </c>
      <c r="I1" s="131" t="s">
        <v>106</v>
      </c>
      <c r="J1" s="130" t="s">
        <v>5</v>
      </c>
      <c r="K1" s="130" t="s">
        <v>7</v>
      </c>
      <c r="L1" s="23" t="s">
        <v>107</v>
      </c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</row>
    <row r="2">
      <c r="A2" s="28" t="str">
        <f t="array" ref="A2">XLOOKUP($E2,'Maestro de productos 2024'!$A$3:$A$163,'Maestro de productos 2024'!$B$3:$B$163,0)</f>
        <v>ID-3824</v>
      </c>
      <c r="B2" s="133">
        <v>45373.0</v>
      </c>
      <c r="C2" s="134">
        <f t="shared" ref="C2:C78" si="1">YEAR(B2)</f>
        <v>2024</v>
      </c>
      <c r="D2" s="135">
        <f t="shared" ref="D2:D78" si="2">MONTH(B2)</f>
        <v>3</v>
      </c>
      <c r="E2" s="136" t="s">
        <v>34</v>
      </c>
      <c r="F2" s="137">
        <f t="array" ref="F2">XLOOKUP(E2,'Maestro de productos 2024'!$B$189:$B$196,'Maestro de productos 2024'!$D$189:$D$196,"No encontrado",0)</f>
        <v>10</v>
      </c>
      <c r="G2" s="137">
        <f t="array" ref="G2">XLOOKUP(E2,'Maestro de productos 2024'!$B$189:$B$196,'Maestro de productos 2024'!$E$189:$E$196,"No encontrado",0)</f>
        <v>3.337551282</v>
      </c>
      <c r="H2" s="138">
        <v>32.0</v>
      </c>
      <c r="I2" s="134" t="str">
        <f t="array" ref="I2">IF((XLOOKUP($E2,'Maestro de productos 2024'!$B$189:$B$196,'Maestro de productos 2024'!$C$189:$C$196,"No encontrado",0)-H2)&lt;=0,"0",(VLOOKUP($E2,'Maestro de productos 2024'!$B$189:$C$196,2,0)-$H2))</f>
        <v>0</v>
      </c>
      <c r="J2" s="137">
        <f t="shared" ref="J2:J78" si="3">($H2*$G2)</f>
        <v>106.801641</v>
      </c>
      <c r="K2" s="137">
        <f t="shared" ref="K2:K78" si="4">$F2*$H2</f>
        <v>320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</row>
    <row r="3">
      <c r="A3" s="28" t="str">
        <f t="array" ref="A3">XLOOKUP($E3,'Maestro de productos 2024'!$A$3:$A$163,'Maestro de productos 2024'!$B$3:$B$163,0)</f>
        <v>ID-3824</v>
      </c>
      <c r="B3" s="133">
        <v>45380.0</v>
      </c>
      <c r="C3" s="134">
        <f t="shared" si="1"/>
        <v>2024</v>
      </c>
      <c r="D3" s="135">
        <f t="shared" si="2"/>
        <v>3</v>
      </c>
      <c r="E3" s="136" t="s">
        <v>34</v>
      </c>
      <c r="F3" s="137">
        <f t="array" ref="F3">XLOOKUP(E3,'Maestro de productos 2024'!$B$189:$B$196,'Maestro de productos 2024'!$D$189:$D$196,"No encontrado",0)</f>
        <v>10</v>
      </c>
      <c r="G3" s="137">
        <f t="array" ref="G3">XLOOKUP(E3,'Maestro de productos 2024'!$B$189:$B$196,'Maestro de productos 2024'!$E$189:$E$196,"No encontrado",0)</f>
        <v>3.337551282</v>
      </c>
      <c r="H3" s="138">
        <v>64.0</v>
      </c>
      <c r="I3" s="134" t="str">
        <f t="array" ref="I3">IF((XLOOKUP($E3,'Maestro de productos 2024'!$B$189:$B$196,'Maestro de productos 2024'!$C$189:$C$196,"No encontrado",0)-H3)&lt;=0,"0",(VLOOKUP($E3,'Maestro de productos 2024'!$B$189:$C$196,2,0)-$H3))</f>
        <v>0</v>
      </c>
      <c r="J3" s="137">
        <f t="shared" si="3"/>
        <v>213.6032821</v>
      </c>
      <c r="K3" s="137">
        <f t="shared" si="4"/>
        <v>640</v>
      </c>
      <c r="L3" s="132" t="str">
        <f>IF((F3*I3)=0," ",(F3*I3))</f>
        <v> </v>
      </c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</row>
    <row r="4">
      <c r="A4" s="28" t="str">
        <f t="array" ref="A4">XLOOKUP($E4,'Maestro de productos 2024'!$A$3:$A$163,'Maestro de productos 2024'!$B$3:$B$163,0)</f>
        <v>ID-3826</v>
      </c>
      <c r="B4" s="133">
        <v>45387.0</v>
      </c>
      <c r="C4" s="134">
        <f t="shared" si="1"/>
        <v>2024</v>
      </c>
      <c r="D4" s="135">
        <f t="shared" si="2"/>
        <v>4</v>
      </c>
      <c r="E4" s="136" t="s">
        <v>35</v>
      </c>
      <c r="F4" s="137">
        <f t="array" ref="F4">XLOOKUP(E4,'Maestro de productos 2024'!$B$189:$B$196,'Maestro de productos 2024'!$D$189:$D$196,"No encontrado",0)</f>
        <v>20</v>
      </c>
      <c r="G4" s="137">
        <f t="array" ref="G4">XLOOKUP(E4,'Maestro de productos 2024'!$B$189:$B$196,'Maestro de productos 2024'!$E$189:$E$196,"No encontrado",0)</f>
        <v>7.103972222</v>
      </c>
      <c r="H4" s="138">
        <v>18.0</v>
      </c>
      <c r="I4" s="134" t="str">
        <f t="array" ref="I4">IF((XLOOKUP($E4,'Maestro de productos 2024'!$B$189:$B$196,'Maestro de productos 2024'!$C$189:$C$196,"No encontrado",0)-H4)&lt;=0,"0",(VLOOKUP($E4,'Maestro de productos 2024'!$B$189:$C$196,2,0)-$H4))</f>
        <v>0</v>
      </c>
      <c r="J4" s="137">
        <f t="shared" si="3"/>
        <v>127.8715</v>
      </c>
      <c r="K4" s="137">
        <f t="shared" si="4"/>
        <v>360</v>
      </c>
      <c r="L4" s="132"/>
      <c r="M4" s="136"/>
      <c r="N4" s="132"/>
      <c r="O4" s="132"/>
      <c r="P4" s="132"/>
      <c r="Q4" s="132"/>
      <c r="R4" s="132"/>
      <c r="S4" s="132"/>
      <c r="T4" s="132"/>
      <c r="U4" s="132"/>
      <c r="V4" s="132"/>
      <c r="W4" s="132"/>
    </row>
    <row r="5">
      <c r="A5" s="28" t="str">
        <f t="array" ref="A5">XLOOKUP($E5,'Maestro de productos 2024'!$A$3:$A$163,'Maestro de productos 2024'!$B$3:$B$163,0)</f>
        <v>ID-3827</v>
      </c>
      <c r="B5" s="133">
        <v>45394.0</v>
      </c>
      <c r="C5" s="134">
        <f t="shared" si="1"/>
        <v>2024</v>
      </c>
      <c r="D5" s="135">
        <f t="shared" si="2"/>
        <v>4</v>
      </c>
      <c r="E5" s="136" t="s">
        <v>36</v>
      </c>
      <c r="F5" s="137">
        <f t="array" ref="F5">XLOOKUP(E5,'Maestro de productos 2024'!$B$189:$B$196,'Maestro de productos 2024'!$D$189:$D$196,"No encontrado",0)</f>
        <v>7</v>
      </c>
      <c r="G5" s="137">
        <f t="array" ref="G5">XLOOKUP(E5,'Maestro de productos 2024'!$B$189:$B$196,'Maestro de productos 2024'!$E$189:$E$196,"No encontrado",0)</f>
        <v>2.623460073</v>
      </c>
      <c r="H5" s="138">
        <v>35.0</v>
      </c>
      <c r="I5" s="134" t="str">
        <f t="array" ref="I5">IF((XLOOKUP($E5,'Maestro de productos 2024'!$B$189:$B$196,'Maestro de productos 2024'!$C$189:$C$196,"No encontrado",0)-H5)&lt;=0,"0",(VLOOKUP($E5,'Maestro de productos 2024'!$B$189:$C$196,2,0)-$H5))</f>
        <v>0</v>
      </c>
      <c r="J5" s="137">
        <f t="shared" si="3"/>
        <v>91.82110256</v>
      </c>
      <c r="K5" s="137">
        <f t="shared" si="4"/>
        <v>245</v>
      </c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</row>
    <row r="6">
      <c r="A6" s="28" t="str">
        <f t="array" ref="A6">XLOOKUP($E6,'Maestro de productos 2024'!$A$3:$A$163,'Maestro de productos 2024'!$B$3:$B$163,0)</f>
        <v>ID-3824</v>
      </c>
      <c r="B6" s="133">
        <v>45399.0</v>
      </c>
      <c r="C6" s="134">
        <f t="shared" si="1"/>
        <v>2024</v>
      </c>
      <c r="D6" s="135">
        <f t="shared" si="2"/>
        <v>4</v>
      </c>
      <c r="E6" s="136" t="s">
        <v>34</v>
      </c>
      <c r="F6" s="137">
        <f t="array" ref="F6">XLOOKUP(E6,'Maestro de productos 2024'!$B$189:$B$196,'Maestro de productos 2024'!$D$189:$D$196,"No encontrado",0)</f>
        <v>10</v>
      </c>
      <c r="G6" s="137">
        <f t="array" ref="G6">XLOOKUP(E6,'Maestro de productos 2024'!$B$189:$B$196,'Maestro de productos 2024'!$E$189:$E$196,"No encontrado",0)</f>
        <v>3.337551282</v>
      </c>
      <c r="H6" s="138">
        <v>64.0</v>
      </c>
      <c r="I6" s="134" t="str">
        <f t="array" ref="I6">IF((XLOOKUP($E6,'Maestro de productos 2024'!$B$189:$B$196,'Maestro de productos 2024'!$C$189:$C$196,"No encontrado",0)-H6)&lt;=0,"0",(VLOOKUP($E6,'Maestro de productos 2024'!$B$189:$C$196,2,0)-$H6))</f>
        <v>0</v>
      </c>
      <c r="J6" s="137">
        <f t="shared" si="3"/>
        <v>213.6032821</v>
      </c>
      <c r="K6" s="137">
        <f t="shared" si="4"/>
        <v>640</v>
      </c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</row>
    <row r="7">
      <c r="A7" s="28" t="str">
        <f t="array" ref="A7">XLOOKUP($E7,'Maestro de productos 2024'!$A$3:$A$163,'Maestro de productos 2024'!$B$3:$B$163,0)</f>
        <v>ID-3825</v>
      </c>
      <c r="B7" s="133">
        <v>45401.0</v>
      </c>
      <c r="C7" s="134">
        <f t="shared" si="1"/>
        <v>2024</v>
      </c>
      <c r="D7" s="135">
        <f t="shared" si="2"/>
        <v>4</v>
      </c>
      <c r="E7" s="136" t="s">
        <v>37</v>
      </c>
      <c r="F7" s="137">
        <f t="array" ref="F7">XLOOKUP(E7,'Maestro de productos 2024'!$B$189:$B$196,'Maestro de productos 2024'!$D$189:$D$196,"No encontrado",0)</f>
        <v>20</v>
      </c>
      <c r="G7" s="137">
        <f t="array" ref="G7">XLOOKUP(E7,'Maestro de productos 2024'!$B$189:$B$196,'Maestro de productos 2024'!$E$189:$E$196,"No encontrado",0)</f>
        <v>7.609146242</v>
      </c>
      <c r="H7" s="138">
        <v>16.0</v>
      </c>
      <c r="I7" s="134" t="str">
        <f t="array" ref="I7">IF((XLOOKUP($E7,'Maestro de productos 2024'!$B$189:$B$196,'Maestro de productos 2024'!$C$189:$C$196,"No encontrado",0)-H7)&lt;=0,"0",(VLOOKUP($E7,'Maestro de productos 2024'!$B$189:$C$196,2,0)-$H7))</f>
        <v>0</v>
      </c>
      <c r="J7" s="137">
        <f t="shared" si="3"/>
        <v>121.7463399</v>
      </c>
      <c r="K7" s="137">
        <f t="shared" si="4"/>
        <v>320</v>
      </c>
      <c r="L7" s="132" t="str">
        <f t="shared" ref="L7:L78" si="5">IF((F7*I7)=0," ",(F7*I7))</f>
        <v> </v>
      </c>
      <c r="M7" s="136"/>
      <c r="N7" s="132"/>
      <c r="O7" s="132"/>
      <c r="P7" s="132"/>
      <c r="Q7" s="132"/>
      <c r="R7" s="132"/>
      <c r="S7" s="132"/>
      <c r="T7" s="132"/>
      <c r="U7" s="132"/>
      <c r="V7" s="132"/>
      <c r="W7" s="132"/>
    </row>
    <row r="8">
      <c r="A8" s="28" t="str">
        <f t="array" ref="A8">XLOOKUP($E8,'Maestro de productos 2024'!$A$3:$A$163,'Maestro de productos 2024'!$B$3:$B$163,0)</f>
        <v>ID-3826</v>
      </c>
      <c r="B8" s="133">
        <v>45406.0</v>
      </c>
      <c r="C8" s="134">
        <f t="shared" si="1"/>
        <v>2024</v>
      </c>
      <c r="D8" s="135">
        <f t="shared" si="2"/>
        <v>4</v>
      </c>
      <c r="E8" s="136" t="s">
        <v>35</v>
      </c>
      <c r="F8" s="137">
        <f t="array" ref="F8">XLOOKUP(E8,'Maestro de productos 2024'!$B$189:$B$196,'Maestro de productos 2024'!$D$189:$D$196,"No encontrado",0)</f>
        <v>20</v>
      </c>
      <c r="G8" s="137">
        <f t="array" ref="G8">XLOOKUP(E8,'Maestro de productos 2024'!$B$189:$B$196,'Maestro de productos 2024'!$E$189:$E$196,"No encontrado",0)</f>
        <v>7.103972222</v>
      </c>
      <c r="H8" s="138">
        <v>36.0</v>
      </c>
      <c r="I8" s="134" t="str">
        <f t="array" ref="I8">IF((XLOOKUP($E8,'Maestro de productos 2024'!$B$189:$B$196,'Maestro de productos 2024'!$C$189:$C$196,"No encontrado",0)-H8)&lt;=0,"0",(VLOOKUP($E8,'Maestro de productos 2024'!$B$189:$C$196,2,0)-$H8))</f>
        <v>0</v>
      </c>
      <c r="J8" s="137">
        <f t="shared" si="3"/>
        <v>255.743</v>
      </c>
      <c r="K8" s="137">
        <f t="shared" si="4"/>
        <v>720</v>
      </c>
      <c r="L8" s="132" t="str">
        <f t="shared" si="5"/>
        <v> </v>
      </c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</row>
    <row r="9">
      <c r="A9" s="28" t="str">
        <f t="array" ref="A9">XLOOKUP($E9,'Maestro de productos 2024'!$A$3:$A$163,'Maestro de productos 2024'!$B$3:$B$163,0)</f>
        <v>ID-3827</v>
      </c>
      <c r="B9" s="133">
        <v>45408.0</v>
      </c>
      <c r="C9" s="134">
        <f t="shared" si="1"/>
        <v>2024</v>
      </c>
      <c r="D9" s="135">
        <f t="shared" si="2"/>
        <v>4</v>
      </c>
      <c r="E9" s="136" t="s">
        <v>36</v>
      </c>
      <c r="F9" s="137">
        <f t="array" ref="F9">XLOOKUP(E9,'Maestro de productos 2024'!$B$189:$B$196,'Maestro de productos 2024'!$D$189:$D$196,"No encontrado",0)</f>
        <v>7</v>
      </c>
      <c r="G9" s="137">
        <f t="array" ref="G9">XLOOKUP(E9,'Maestro de productos 2024'!$B$189:$B$196,'Maestro de productos 2024'!$E$189:$E$196,"No encontrado",0)</f>
        <v>2.623460073</v>
      </c>
      <c r="H9" s="138">
        <v>35.0</v>
      </c>
      <c r="I9" s="134" t="str">
        <f t="array" ref="I9">IF((XLOOKUP($E9,'Maestro de productos 2024'!$B$189:$B$196,'Maestro de productos 2024'!$C$189:$C$196,"No encontrado",0)-H9)&lt;=0,"0",(VLOOKUP($E9,'Maestro de productos 2024'!$B$189:$C$196,2,0)-$H9))</f>
        <v>0</v>
      </c>
      <c r="J9" s="137">
        <f t="shared" si="3"/>
        <v>91.82110256</v>
      </c>
      <c r="K9" s="137">
        <f t="shared" si="4"/>
        <v>245</v>
      </c>
      <c r="L9" s="132" t="str">
        <f t="shared" si="5"/>
        <v> </v>
      </c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</row>
    <row r="10">
      <c r="A10" s="28" t="str">
        <f t="array" ref="A10">XLOOKUP($E10,'Maestro de productos 2024'!$A$3:$A$163,'Maestro de productos 2024'!$B$3:$B$163,0)</f>
        <v>ID-3828</v>
      </c>
      <c r="B10" s="133">
        <v>45413.0</v>
      </c>
      <c r="C10" s="134">
        <f t="shared" si="1"/>
        <v>2024</v>
      </c>
      <c r="D10" s="135">
        <f t="shared" si="2"/>
        <v>5</v>
      </c>
      <c r="E10" s="136" t="s">
        <v>38</v>
      </c>
      <c r="F10" s="137">
        <f t="array" ref="F10">XLOOKUP(E10,'Maestro de productos 2024'!$B$189:$B$196,'Maestro de productos 2024'!$D$189:$D$196,"No encontrado",0)</f>
        <v>20</v>
      </c>
      <c r="G10" s="137">
        <f t="array" ref="G10">XLOOKUP(E10,'Maestro de productos 2024'!$B$189:$B$196,'Maestro de productos 2024'!$E$189:$E$196,"No encontrado",0)</f>
        <v>7.301064103</v>
      </c>
      <c r="H10" s="138">
        <v>24.0</v>
      </c>
      <c r="I10" s="134" t="str">
        <f t="array" ref="I10">IF((XLOOKUP($E10,'Maestro de productos 2024'!$B$189:$B$196,'Maestro de productos 2024'!$C$189:$C$196,"No encontrado",0)-H10)&lt;=0,"0",(VLOOKUP($E10,'Maestro de productos 2024'!$B$189:$C$196,2,0)-$H10))</f>
        <v>0</v>
      </c>
      <c r="J10" s="137">
        <f t="shared" si="3"/>
        <v>175.2255385</v>
      </c>
      <c r="K10" s="137">
        <f t="shared" si="4"/>
        <v>480</v>
      </c>
      <c r="L10" s="132" t="str">
        <f t="shared" si="5"/>
        <v> </v>
      </c>
      <c r="M10" s="136"/>
      <c r="N10" s="132"/>
      <c r="O10" s="132"/>
      <c r="P10" s="132"/>
      <c r="Q10" s="132"/>
      <c r="R10" s="132"/>
      <c r="S10" s="132"/>
      <c r="T10" s="132"/>
      <c r="U10" s="132"/>
      <c r="V10" s="132"/>
      <c r="W10" s="132"/>
    </row>
    <row r="11">
      <c r="A11" s="28" t="str">
        <f t="array" ref="A11">XLOOKUP($E11,'Maestro de productos 2024'!$A$3:$A$163,'Maestro de productos 2024'!$B$3:$B$163,0)</f>
        <v>ID-3824</v>
      </c>
      <c r="B11" s="133">
        <v>45415.0</v>
      </c>
      <c r="C11" s="134">
        <f t="shared" si="1"/>
        <v>2024</v>
      </c>
      <c r="D11" s="135">
        <f t="shared" si="2"/>
        <v>5</v>
      </c>
      <c r="E11" s="136" t="s">
        <v>34</v>
      </c>
      <c r="F11" s="137">
        <f t="array" ref="F11">XLOOKUP(E11,'Maestro de productos 2024'!$B$189:$B$196,'Maestro de productos 2024'!$D$189:$D$196,"No encontrado",0)</f>
        <v>10</v>
      </c>
      <c r="G11" s="137">
        <f t="array" ref="G11">XLOOKUP(E11,'Maestro de productos 2024'!$B$189:$B$196,'Maestro de productos 2024'!$E$189:$E$196,"No encontrado",0)</f>
        <v>3.337551282</v>
      </c>
      <c r="H11" s="138">
        <v>30.0</v>
      </c>
      <c r="I11" s="144">
        <f t="array" ref="I11">IF((XLOOKUP($E11,'Maestro de productos 2024'!$B$189:$B$196,'Maestro de productos 2024'!$C$189:$C$196,"No encontrado",0)-H11)&lt;=0,"0",(VLOOKUP($E11,'Maestro de productos 2024'!$B$189:$C$196,2,0)-$H11))</f>
        <v>2</v>
      </c>
      <c r="J11" s="137">
        <f t="shared" si="3"/>
        <v>100.1265385</v>
      </c>
      <c r="K11" s="137">
        <f t="shared" si="4"/>
        <v>300</v>
      </c>
      <c r="L11" s="132">
        <f t="shared" si="5"/>
        <v>20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</row>
    <row r="12">
      <c r="A12" s="28" t="str">
        <f t="array" ref="A12">XLOOKUP($E12,'Maestro de productos 2024'!$A$3:$A$163,'Maestro de productos 2024'!$B$3:$B$163,0)</f>
        <v>ID-3825</v>
      </c>
      <c r="B12" s="133">
        <v>45420.0</v>
      </c>
      <c r="C12" s="134">
        <f t="shared" si="1"/>
        <v>2024</v>
      </c>
      <c r="D12" s="135">
        <f t="shared" si="2"/>
        <v>5</v>
      </c>
      <c r="E12" s="136" t="s">
        <v>37</v>
      </c>
      <c r="F12" s="137">
        <f t="array" ref="F12">XLOOKUP(E12,'Maestro de productos 2024'!$B$189:$B$196,'Maestro de productos 2024'!$D$189:$D$196,"No encontrado",0)</f>
        <v>20</v>
      </c>
      <c r="G12" s="137">
        <f t="array" ref="G12">XLOOKUP(E12,'Maestro de productos 2024'!$B$189:$B$196,'Maestro de productos 2024'!$E$189:$E$196,"No encontrado",0)</f>
        <v>7.609146242</v>
      </c>
      <c r="H12" s="138">
        <v>16.0</v>
      </c>
      <c r="I12" s="134" t="str">
        <f t="array" ref="I12">IF((XLOOKUP($E12,'Maestro de productos 2024'!$B$189:$B$196,'Maestro de productos 2024'!$C$189:$C$196,"No encontrado",0)-H12)&lt;=0,"0",(VLOOKUP($E12,'Maestro de productos 2024'!$B$189:$C$196,2,0)-$H12))</f>
        <v>0</v>
      </c>
      <c r="J12" s="137">
        <f t="shared" si="3"/>
        <v>121.7463399</v>
      </c>
      <c r="K12" s="137">
        <f t="shared" si="4"/>
        <v>320</v>
      </c>
      <c r="L12" s="132" t="str">
        <f t="shared" si="5"/>
        <v> </v>
      </c>
      <c r="M12" s="136"/>
      <c r="N12" s="132"/>
      <c r="O12" s="132"/>
      <c r="P12" s="132"/>
      <c r="Q12" s="132"/>
      <c r="R12" s="132"/>
      <c r="S12" s="132"/>
      <c r="T12" s="132"/>
      <c r="U12" s="132"/>
      <c r="V12" s="132"/>
      <c r="W12" s="132"/>
    </row>
    <row r="13">
      <c r="A13" s="28" t="str">
        <f t="array" ref="A13">XLOOKUP($E13,'Maestro de productos 2024'!$A$3:$A$163,'Maestro de productos 2024'!$B$3:$B$163,0)</f>
        <v>ID-3824</v>
      </c>
      <c r="B13" s="133">
        <v>45422.0</v>
      </c>
      <c r="C13" s="134">
        <f t="shared" si="1"/>
        <v>2024</v>
      </c>
      <c r="D13" s="135">
        <f t="shared" si="2"/>
        <v>5</v>
      </c>
      <c r="E13" s="136" t="s">
        <v>34</v>
      </c>
      <c r="F13" s="137">
        <f t="array" ref="F13">XLOOKUP(E13,'Maestro de productos 2024'!$B$189:$B$196,'Maestro de productos 2024'!$D$189:$D$196,"No encontrado",0)</f>
        <v>10</v>
      </c>
      <c r="G13" s="137">
        <f t="array" ref="G13">XLOOKUP(E13,'Maestro de productos 2024'!$B$189:$B$196,'Maestro de productos 2024'!$E$189:$E$196,"No encontrado",0)</f>
        <v>3.337551282</v>
      </c>
      <c r="H13" s="138">
        <v>32.0</v>
      </c>
      <c r="I13" s="134" t="str">
        <f t="array" ref="I13">IF((XLOOKUP($E13,'Maestro de productos 2024'!$B$189:$B$196,'Maestro de productos 2024'!$C$189:$C$196,"No encontrado",0)-H13)&lt;=0,"0",(VLOOKUP($E13,'Maestro de productos 2024'!$B$189:$C$196,2,0)-$H13))</f>
        <v>0</v>
      </c>
      <c r="J13" s="137">
        <f t="shared" si="3"/>
        <v>106.801641</v>
      </c>
      <c r="K13" s="137">
        <f t="shared" si="4"/>
        <v>320</v>
      </c>
      <c r="L13" s="132" t="str">
        <f t="shared" si="5"/>
        <v> </v>
      </c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</row>
    <row r="14">
      <c r="A14" s="28" t="str">
        <f t="array" ref="A14">XLOOKUP($E14,'Maestro de productos 2024'!$A$3:$A$163,'Maestro de productos 2024'!$B$3:$B$163,0)</f>
        <v>ID-3826</v>
      </c>
      <c r="B14" s="133">
        <v>45427.0</v>
      </c>
      <c r="C14" s="134">
        <f t="shared" si="1"/>
        <v>2024</v>
      </c>
      <c r="D14" s="135">
        <f t="shared" si="2"/>
        <v>5</v>
      </c>
      <c r="E14" s="136" t="s">
        <v>35</v>
      </c>
      <c r="F14" s="137">
        <f t="array" ref="F14">XLOOKUP(E14,'Maestro de productos 2024'!$B$189:$B$196,'Maestro de productos 2024'!$D$189:$D$196,"No encontrado",0)</f>
        <v>20</v>
      </c>
      <c r="G14" s="137">
        <f t="array" ref="G14">XLOOKUP(E14,'Maestro de productos 2024'!$B$189:$B$196,'Maestro de productos 2024'!$E$189:$E$196,"No encontrado",0)</f>
        <v>7.103972222</v>
      </c>
      <c r="H14" s="138">
        <v>18.0</v>
      </c>
      <c r="I14" s="134" t="str">
        <f t="array" ref="I14">IF((XLOOKUP($E14,'Maestro de productos 2024'!$B$189:$B$196,'Maestro de productos 2024'!$C$189:$C$196,"No encontrado",0)-H14)&lt;=0,"0",(VLOOKUP($E14,'Maestro de productos 2024'!$B$189:$C$196,2,0)-$H14))</f>
        <v>0</v>
      </c>
      <c r="J14" s="137">
        <f t="shared" si="3"/>
        <v>127.8715</v>
      </c>
      <c r="K14" s="137">
        <f t="shared" si="4"/>
        <v>360</v>
      </c>
      <c r="L14" s="132" t="str">
        <f t="shared" si="5"/>
        <v> </v>
      </c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</row>
    <row r="15">
      <c r="A15" s="28" t="str">
        <f t="array" ref="A15">XLOOKUP($E15,'Maestro de productos 2024'!$A$3:$A$163,'Maestro de productos 2024'!$B$3:$B$163,0)</f>
        <v>ID-3828</v>
      </c>
      <c r="B15" s="133">
        <v>45429.0</v>
      </c>
      <c r="C15" s="134">
        <f t="shared" si="1"/>
        <v>2024</v>
      </c>
      <c r="D15" s="135">
        <f t="shared" si="2"/>
        <v>5</v>
      </c>
      <c r="E15" s="136" t="s">
        <v>38</v>
      </c>
      <c r="F15" s="137">
        <f t="array" ref="F15">XLOOKUP(E15,'Maestro de productos 2024'!$B$189:$B$196,'Maestro de productos 2024'!$D$189:$D$196,"No encontrado",0)</f>
        <v>20</v>
      </c>
      <c r="G15" s="137">
        <f t="array" ref="G15">XLOOKUP(E15,'Maestro de productos 2024'!$B$189:$B$196,'Maestro de productos 2024'!$E$189:$E$196,"No encontrado",0)</f>
        <v>7.301064103</v>
      </c>
      <c r="H15" s="138">
        <v>24.0</v>
      </c>
      <c r="I15" s="134" t="str">
        <f t="array" ref="I15">IF((XLOOKUP($E15,'Maestro de productos 2024'!$B$189:$B$196,'Maestro de productos 2024'!$C$189:$C$196,"No encontrado",0)-H15)&lt;=0,"0",(VLOOKUP($E15,'Maestro de productos 2024'!$B$189:$C$196,2,0)-$H15))</f>
        <v>0</v>
      </c>
      <c r="J15" s="137">
        <f t="shared" si="3"/>
        <v>175.2255385</v>
      </c>
      <c r="K15" s="137">
        <f t="shared" si="4"/>
        <v>480</v>
      </c>
      <c r="L15" s="132" t="str">
        <f t="shared" si="5"/>
        <v> </v>
      </c>
      <c r="M15" s="136"/>
      <c r="N15" s="132"/>
      <c r="O15" s="132"/>
      <c r="P15" s="132"/>
      <c r="Q15" s="132"/>
      <c r="R15" s="132"/>
      <c r="S15" s="132"/>
      <c r="T15" s="132"/>
      <c r="U15" s="132"/>
      <c r="V15" s="132"/>
      <c r="W15" s="132"/>
    </row>
    <row r="16">
      <c r="A16" s="28" t="str">
        <f t="array" ref="A16">XLOOKUP($E16,'Maestro de productos 2024'!$A$3:$A$163,'Maestro de productos 2024'!$B$3:$B$163,0)</f>
        <v>ID-3828</v>
      </c>
      <c r="B16" s="133">
        <v>45434.0</v>
      </c>
      <c r="C16" s="134">
        <f t="shared" si="1"/>
        <v>2024</v>
      </c>
      <c r="D16" s="135">
        <f t="shared" si="2"/>
        <v>5</v>
      </c>
      <c r="E16" s="136" t="s">
        <v>38</v>
      </c>
      <c r="F16" s="137">
        <f t="array" ref="F16">XLOOKUP(E16,'Maestro de productos 2024'!$B$189:$B$196,'Maestro de productos 2024'!$D$189:$D$196,"No encontrado",0)</f>
        <v>20</v>
      </c>
      <c r="G16" s="137">
        <f t="array" ref="G16">XLOOKUP(E16,'Maestro de productos 2024'!$B$189:$B$196,'Maestro de productos 2024'!$E$189:$E$196,"No encontrado",0)</f>
        <v>7.301064103</v>
      </c>
      <c r="H16" s="138">
        <v>12.0</v>
      </c>
      <c r="I16" s="134" t="str">
        <f t="array" ref="I16">IF((XLOOKUP($E16,'Maestro de productos 2024'!$B$189:$B$196,'Maestro de productos 2024'!$C$189:$C$196,"No encontrado",0)-H16)&lt;=0,"0",(VLOOKUP($E16,'Maestro de productos 2024'!$B$189:$C$196,2,0)-$H16))</f>
        <v>0</v>
      </c>
      <c r="J16" s="137">
        <f t="shared" si="3"/>
        <v>87.61276923</v>
      </c>
      <c r="K16" s="137">
        <f t="shared" si="4"/>
        <v>240</v>
      </c>
      <c r="L16" s="132" t="str">
        <f t="shared" si="5"/>
        <v> </v>
      </c>
      <c r="M16" s="136"/>
      <c r="N16" s="132"/>
      <c r="O16" s="132"/>
      <c r="P16" s="132"/>
      <c r="Q16" s="132"/>
      <c r="R16" s="132"/>
      <c r="S16" s="132"/>
      <c r="T16" s="132"/>
      <c r="U16" s="132"/>
      <c r="V16" s="132"/>
      <c r="W16" s="132"/>
    </row>
    <row r="17">
      <c r="A17" s="28" t="str">
        <f t="array" ref="A17">XLOOKUP($E17,'Maestro de productos 2024'!$A$3:$A$163,'Maestro de productos 2024'!$B$3:$B$163,0)</f>
        <v>ID-3824</v>
      </c>
      <c r="B17" s="133">
        <v>45436.0</v>
      </c>
      <c r="C17" s="134">
        <f t="shared" si="1"/>
        <v>2024</v>
      </c>
      <c r="D17" s="135">
        <f t="shared" si="2"/>
        <v>5</v>
      </c>
      <c r="E17" s="136" t="s">
        <v>34</v>
      </c>
      <c r="F17" s="137">
        <f t="array" ref="F17">XLOOKUP(E17,'Maestro de productos 2024'!$B$189:$B$196,'Maestro de productos 2024'!$D$189:$D$196,"No encontrado",0)</f>
        <v>10</v>
      </c>
      <c r="G17" s="137">
        <f t="array" ref="G17">XLOOKUP(E17,'Maestro de productos 2024'!$B$189:$B$196,'Maestro de productos 2024'!$E$189:$E$196,"No encontrado",0)</f>
        <v>3.337551282</v>
      </c>
      <c r="H17" s="138">
        <v>29.0</v>
      </c>
      <c r="I17" s="144">
        <f t="array" ref="I17">IF((XLOOKUP($E17,'Maestro de productos 2024'!$B$189:$B$196,'Maestro de productos 2024'!$C$189:$C$196,"No encontrado",0)-H17)&lt;=0,"0",(VLOOKUP($E17,'Maestro de productos 2024'!$B$189:$C$196,2,0)-$H17))</f>
        <v>3</v>
      </c>
      <c r="J17" s="137">
        <f t="shared" si="3"/>
        <v>96.78898718</v>
      </c>
      <c r="K17" s="137">
        <f t="shared" si="4"/>
        <v>290</v>
      </c>
      <c r="L17" s="132">
        <f t="shared" si="5"/>
        <v>30</v>
      </c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</row>
    <row r="18">
      <c r="A18" s="28" t="str">
        <f t="array" ref="A18">XLOOKUP($E18,'Maestro de productos 2024'!$A$3:$A$163,'Maestro de productos 2024'!$B$3:$B$163,0)</f>
        <v>ID-3825</v>
      </c>
      <c r="B18" s="133">
        <v>45441.0</v>
      </c>
      <c r="C18" s="134">
        <f t="shared" si="1"/>
        <v>2024</v>
      </c>
      <c r="D18" s="135">
        <f t="shared" si="2"/>
        <v>5</v>
      </c>
      <c r="E18" s="136" t="s">
        <v>37</v>
      </c>
      <c r="F18" s="137">
        <f t="array" ref="F18">XLOOKUP(E18,'Maestro de productos 2024'!$B$189:$B$196,'Maestro de productos 2024'!$D$189:$D$196,"No encontrado",0)</f>
        <v>20</v>
      </c>
      <c r="G18" s="137">
        <f t="array" ref="G18">XLOOKUP(E18,'Maestro de productos 2024'!$B$189:$B$196,'Maestro de productos 2024'!$E$189:$E$196,"No encontrado",0)</f>
        <v>7.609146242</v>
      </c>
      <c r="H18" s="138">
        <v>14.0</v>
      </c>
      <c r="I18" s="144">
        <f t="array" ref="I18">IF((XLOOKUP($E18,'Maestro de productos 2024'!$B$189:$B$196,'Maestro de productos 2024'!$C$189:$C$196,"No encontrado",0)-H18)&lt;=0,"0",(VLOOKUP($E18,'Maestro de productos 2024'!$B$189:$C$196,2,0)-$H18))</f>
        <v>2</v>
      </c>
      <c r="J18" s="137">
        <f t="shared" si="3"/>
        <v>106.5280474</v>
      </c>
      <c r="K18" s="137">
        <f t="shared" si="4"/>
        <v>280</v>
      </c>
      <c r="L18" s="132">
        <f t="shared" si="5"/>
        <v>40</v>
      </c>
      <c r="M18" s="136"/>
      <c r="N18" s="132"/>
      <c r="O18" s="132"/>
      <c r="P18" s="132"/>
      <c r="Q18" s="132"/>
      <c r="R18" s="132"/>
      <c r="S18" s="132"/>
      <c r="T18" s="132"/>
      <c r="U18" s="132"/>
      <c r="V18" s="132"/>
      <c r="W18" s="132"/>
    </row>
    <row r="19">
      <c r="A19" s="28" t="str">
        <f t="array" ref="A19">XLOOKUP($E19,'Maestro de productos 2024'!$A$3:$A$163,'Maestro de productos 2024'!$B$3:$B$163,0)</f>
        <v>ID-3827</v>
      </c>
      <c r="B19" s="133">
        <v>45443.0</v>
      </c>
      <c r="C19" s="134">
        <f t="shared" si="1"/>
        <v>2024</v>
      </c>
      <c r="D19" s="135">
        <f t="shared" si="2"/>
        <v>5</v>
      </c>
      <c r="E19" s="136" t="s">
        <v>36</v>
      </c>
      <c r="F19" s="137">
        <f t="array" ref="F19">XLOOKUP(E19,'Maestro de productos 2024'!$B$189:$B$196,'Maestro de productos 2024'!$D$189:$D$196,"No encontrado",0)</f>
        <v>7</v>
      </c>
      <c r="G19" s="137">
        <f t="array" ref="G19">XLOOKUP(E19,'Maestro de productos 2024'!$B$189:$B$196,'Maestro de productos 2024'!$E$189:$E$196,"No encontrado",0)</f>
        <v>2.623460073</v>
      </c>
      <c r="H19" s="138">
        <v>35.0</v>
      </c>
      <c r="I19" s="134" t="str">
        <f t="array" ref="I19">IF((XLOOKUP($E19,'Maestro de productos 2024'!$B$189:$B$196,'Maestro de productos 2024'!$C$189:$C$196,"No encontrado",0)-H19)&lt;=0,"0",(VLOOKUP($E19,'Maestro de productos 2024'!$B$189:$C$196,2,0)-$H19))</f>
        <v>0</v>
      </c>
      <c r="J19" s="137">
        <f t="shared" si="3"/>
        <v>91.82110256</v>
      </c>
      <c r="K19" s="137">
        <f t="shared" si="4"/>
        <v>245</v>
      </c>
      <c r="L19" s="132" t="str">
        <f t="shared" si="5"/>
        <v> </v>
      </c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</row>
    <row r="20">
      <c r="A20" s="28" t="str">
        <f t="array" ref="A20">XLOOKUP($E20,'Maestro de productos 2024'!$A$3:$A$163,'Maestro de productos 2024'!$B$3:$B$163,0)</f>
        <v>ID-3827</v>
      </c>
      <c r="B20" s="133">
        <v>45448.0</v>
      </c>
      <c r="C20" s="134">
        <f t="shared" si="1"/>
        <v>2024</v>
      </c>
      <c r="D20" s="135">
        <f t="shared" si="2"/>
        <v>6</v>
      </c>
      <c r="E20" s="136" t="s">
        <v>36</v>
      </c>
      <c r="F20" s="137">
        <f t="array" ref="F20">XLOOKUP(E20,'Maestro de productos 2024'!$B$189:$B$196,'Maestro de productos 2024'!$D$189:$D$196,"No encontrado",0)</f>
        <v>7</v>
      </c>
      <c r="G20" s="137">
        <f t="array" ref="G20">XLOOKUP(E20,'Maestro de productos 2024'!$B$189:$B$196,'Maestro de productos 2024'!$E$189:$E$196,"No encontrado",0)</f>
        <v>2.623460073</v>
      </c>
      <c r="H20" s="138">
        <v>34.0</v>
      </c>
      <c r="I20" s="144">
        <f t="array" ref="I20">IF((XLOOKUP($E20,'Maestro de productos 2024'!$B$189:$B$196,'Maestro de productos 2024'!$C$189:$C$196,"No encontrado",0)-H20)&lt;=0,"0",(VLOOKUP($E20,'Maestro de productos 2024'!$B$189:$C$196,2,0)-$H20))</f>
        <v>1</v>
      </c>
      <c r="J20" s="137">
        <f t="shared" si="3"/>
        <v>89.19764249</v>
      </c>
      <c r="K20" s="137">
        <f t="shared" si="4"/>
        <v>238</v>
      </c>
      <c r="L20" s="132">
        <f t="shared" si="5"/>
        <v>7</v>
      </c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</row>
    <row r="21">
      <c r="A21" s="28" t="str">
        <f t="array" ref="A21">XLOOKUP($E21,'Maestro de productos 2024'!$A$3:$A$163,'Maestro de productos 2024'!$B$3:$B$163,0)</f>
        <v>ID-3826</v>
      </c>
      <c r="B21" s="133">
        <v>45450.0</v>
      </c>
      <c r="C21" s="134">
        <f t="shared" si="1"/>
        <v>2024</v>
      </c>
      <c r="D21" s="135">
        <f t="shared" si="2"/>
        <v>6</v>
      </c>
      <c r="E21" s="136" t="s">
        <v>35</v>
      </c>
      <c r="F21" s="137">
        <f t="array" ref="F21">XLOOKUP(E21,'Maestro de productos 2024'!$B$189:$B$196,'Maestro de productos 2024'!$D$189:$D$196,"No encontrado",0)</f>
        <v>20</v>
      </c>
      <c r="G21" s="137">
        <f t="array" ref="G21">XLOOKUP(E21,'Maestro de productos 2024'!$B$189:$B$196,'Maestro de productos 2024'!$E$189:$E$196,"No encontrado",0)</f>
        <v>7.103972222</v>
      </c>
      <c r="H21" s="138">
        <v>18.0</v>
      </c>
      <c r="I21" s="134" t="str">
        <f t="array" ref="I21">IF((XLOOKUP($E21,'Maestro de productos 2024'!$B$189:$B$196,'Maestro de productos 2024'!$C$189:$C$196,"No encontrado",0)-H21)&lt;=0,"0",(VLOOKUP($E21,'Maestro de productos 2024'!$B$189:$C$196,2,0)-$H21))</f>
        <v>0</v>
      </c>
      <c r="J21" s="137">
        <f t="shared" si="3"/>
        <v>127.8715</v>
      </c>
      <c r="K21" s="137">
        <f t="shared" si="4"/>
        <v>360</v>
      </c>
      <c r="L21" s="132" t="str">
        <f t="shared" si="5"/>
        <v> </v>
      </c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</row>
    <row r="22">
      <c r="A22" s="28" t="str">
        <f t="array" ref="A22">XLOOKUP($E22,'Maestro de productos 2024'!$A$3:$A$163,'Maestro de productos 2024'!$B$3:$B$163,0)</f>
        <v>ID-3828</v>
      </c>
      <c r="B22" s="133">
        <v>45455.0</v>
      </c>
      <c r="C22" s="134">
        <f t="shared" si="1"/>
        <v>2024</v>
      </c>
      <c r="D22" s="135">
        <f t="shared" si="2"/>
        <v>6</v>
      </c>
      <c r="E22" s="136" t="s">
        <v>38</v>
      </c>
      <c r="F22" s="137">
        <f t="array" ref="F22">XLOOKUP(E22,'Maestro de productos 2024'!$B$189:$B$196,'Maestro de productos 2024'!$D$189:$D$196,"No encontrado",0)</f>
        <v>20</v>
      </c>
      <c r="G22" s="137">
        <f t="array" ref="G22">XLOOKUP(E22,'Maestro de productos 2024'!$B$189:$B$196,'Maestro de productos 2024'!$E$189:$E$196,"No encontrado",0)</f>
        <v>7.301064103</v>
      </c>
      <c r="H22" s="138">
        <v>24.0</v>
      </c>
      <c r="I22" s="134" t="str">
        <f t="array" ref="I22">IF((XLOOKUP($E22,'Maestro de productos 2024'!$B$189:$B$196,'Maestro de productos 2024'!$C$189:$C$196,"No encontrado",0)-H22)&lt;=0,"0",(VLOOKUP($E22,'Maestro de productos 2024'!$B$189:$C$196,2,0)-$H22))</f>
        <v>0</v>
      </c>
      <c r="J22" s="137">
        <f t="shared" si="3"/>
        <v>175.2255385</v>
      </c>
      <c r="K22" s="137">
        <f t="shared" si="4"/>
        <v>480</v>
      </c>
      <c r="L22" s="132" t="str">
        <f t="shared" si="5"/>
        <v> </v>
      </c>
      <c r="M22" s="136"/>
      <c r="N22" s="132"/>
      <c r="O22" s="132"/>
      <c r="P22" s="132"/>
      <c r="Q22" s="132"/>
      <c r="R22" s="132"/>
      <c r="S22" s="132"/>
      <c r="T22" s="132"/>
      <c r="U22" s="132"/>
      <c r="V22" s="132"/>
      <c r="W22" s="132"/>
    </row>
    <row r="23">
      <c r="A23" s="28" t="str">
        <f t="array" ref="A23">XLOOKUP($E23,'Maestro de productos 2024'!$A$3:$A$163,'Maestro de productos 2024'!$B$3:$B$163,0)</f>
        <v>ID-3824</v>
      </c>
      <c r="B23" s="133">
        <v>45457.0</v>
      </c>
      <c r="C23" s="134">
        <f t="shared" si="1"/>
        <v>2024</v>
      </c>
      <c r="D23" s="135">
        <f t="shared" si="2"/>
        <v>6</v>
      </c>
      <c r="E23" s="136" t="s">
        <v>34</v>
      </c>
      <c r="F23" s="137">
        <f t="array" ref="F23">XLOOKUP(E23,'Maestro de productos 2024'!$B$189:$B$196,'Maestro de productos 2024'!$D$189:$D$196,"No encontrado",0)</f>
        <v>10</v>
      </c>
      <c r="G23" s="137">
        <f t="array" ref="G23">XLOOKUP(E23,'Maestro de productos 2024'!$B$189:$B$196,'Maestro de productos 2024'!$E$189:$E$196,"No encontrado",0)</f>
        <v>3.337551282</v>
      </c>
      <c r="H23" s="138">
        <v>32.0</v>
      </c>
      <c r="I23" s="134" t="str">
        <f t="array" ref="I23">IF((XLOOKUP($E23,'Maestro de productos 2024'!$B$189:$B$196,'Maestro de productos 2024'!$C$189:$C$196,"No encontrado",0)-H23)&lt;=0,"0",(VLOOKUP($E23,'Maestro de productos 2024'!$B$189:$C$196,2,0)-$H23))</f>
        <v>0</v>
      </c>
      <c r="J23" s="137">
        <f t="shared" si="3"/>
        <v>106.801641</v>
      </c>
      <c r="K23" s="137">
        <f t="shared" si="4"/>
        <v>320</v>
      </c>
      <c r="L23" s="132" t="str">
        <f t="shared" si="5"/>
        <v> </v>
      </c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</row>
    <row r="24">
      <c r="A24" s="28" t="str">
        <f t="array" ref="A24">XLOOKUP($E24,'Maestro de productos 2024'!$A$3:$A$163,'Maestro de productos 2024'!$B$3:$B$163,0)</f>
        <v>ID-3826</v>
      </c>
      <c r="B24" s="133">
        <v>45462.0</v>
      </c>
      <c r="C24" s="134">
        <f t="shared" si="1"/>
        <v>2024</v>
      </c>
      <c r="D24" s="135">
        <f t="shared" si="2"/>
        <v>6</v>
      </c>
      <c r="E24" s="136" t="s">
        <v>35</v>
      </c>
      <c r="F24" s="137">
        <f t="array" ref="F24">XLOOKUP(E24,'Maestro de productos 2024'!$B$189:$B$196,'Maestro de productos 2024'!$D$189:$D$196,"No encontrado",0)</f>
        <v>20</v>
      </c>
      <c r="G24" s="137">
        <f t="array" ref="G24">XLOOKUP(E24,'Maestro de productos 2024'!$B$189:$B$196,'Maestro de productos 2024'!$E$189:$E$196,"No encontrado",0)</f>
        <v>7.103972222</v>
      </c>
      <c r="H24" s="138">
        <v>36.0</v>
      </c>
      <c r="I24" s="134" t="str">
        <f t="array" ref="I24">IF((XLOOKUP($E24,'Maestro de productos 2024'!$B$189:$B$196,'Maestro de productos 2024'!$C$189:$C$196,"No encontrado",0)-H24)&lt;=0,"0",(VLOOKUP($E24,'Maestro de productos 2024'!$B$189:$C$196,2,0)-$H24))</f>
        <v>0</v>
      </c>
      <c r="J24" s="137">
        <f t="shared" si="3"/>
        <v>255.743</v>
      </c>
      <c r="K24" s="137">
        <f t="shared" si="4"/>
        <v>720</v>
      </c>
      <c r="L24" s="132" t="str">
        <f t="shared" si="5"/>
        <v> </v>
      </c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</row>
    <row r="25">
      <c r="A25" s="28" t="str">
        <f t="array" ref="A25">XLOOKUP($E25,'Maestro de productos 2024'!$A$3:$A$163,'Maestro de productos 2024'!$B$3:$B$163,0)</f>
        <v>ID-3829</v>
      </c>
      <c r="B25" s="133">
        <v>45464.0</v>
      </c>
      <c r="C25" s="134">
        <f t="shared" si="1"/>
        <v>2024</v>
      </c>
      <c r="D25" s="135">
        <f t="shared" si="2"/>
        <v>6</v>
      </c>
      <c r="E25" s="136" t="s">
        <v>97</v>
      </c>
      <c r="F25" s="137">
        <f t="array" ref="F25">XLOOKUP(E25,'Maestro de productos 2024'!$B$189:$B$196,'Maestro de productos 2024'!$D$189:$D$196,"No encontrado",0)</f>
        <v>7</v>
      </c>
      <c r="G25" s="137">
        <f t="array" ref="G25">XLOOKUP(E25,'Maestro de productos 2024'!$B$189:$B$196,'Maestro de productos 2024'!$E$189:$E$196,"No encontrado",0)</f>
        <v>2.98984359</v>
      </c>
      <c r="H25" s="138">
        <v>50.0</v>
      </c>
      <c r="I25" s="134" t="str">
        <f t="array" ref="I25">IF((XLOOKUP($E25,'Maestro de productos 2024'!$B$189:$B$196,'Maestro de productos 2024'!$C$189:$C$196,"No encontrado",0)-H25)&lt;=0,"0",(VLOOKUP($E25,'Maestro de productos 2024'!$B$189:$C$196,2,0)-$H25))</f>
        <v>0</v>
      </c>
      <c r="J25" s="137">
        <f t="shared" si="3"/>
        <v>149.4921795</v>
      </c>
      <c r="K25" s="137">
        <f t="shared" si="4"/>
        <v>350</v>
      </c>
      <c r="L25" s="132" t="str">
        <f t="shared" si="5"/>
        <v> </v>
      </c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</row>
    <row r="26">
      <c r="A26" s="28" t="str">
        <f t="array" ref="A26">XLOOKUP($E26,'Maestro de productos 2024'!$A$3:$A$163,'Maestro de productos 2024'!$B$3:$B$163,0)</f>
        <v>ID-3828</v>
      </c>
      <c r="B26" s="133">
        <v>45469.0</v>
      </c>
      <c r="C26" s="134">
        <f t="shared" si="1"/>
        <v>2024</v>
      </c>
      <c r="D26" s="135">
        <f t="shared" si="2"/>
        <v>6</v>
      </c>
      <c r="E26" s="136" t="s">
        <v>38</v>
      </c>
      <c r="F26" s="137">
        <f t="array" ref="F26">XLOOKUP(E26,'Maestro de productos 2024'!$B$189:$B$196,'Maestro de productos 2024'!$D$189:$D$196,"No encontrado",0)</f>
        <v>20</v>
      </c>
      <c r="G26" s="137">
        <f t="array" ref="G26">XLOOKUP(E26,'Maestro de productos 2024'!$B$189:$B$196,'Maestro de productos 2024'!$E$189:$E$196,"No encontrado",0)</f>
        <v>7.301064103</v>
      </c>
      <c r="H26" s="138">
        <v>24.0</v>
      </c>
      <c r="I26" s="134" t="str">
        <f t="array" ref="I26">IF((XLOOKUP($E26,'Maestro de productos 2024'!$B$189:$B$196,'Maestro de productos 2024'!$C$189:$C$196,"No encontrado",0)-H26)&lt;=0,"0",(VLOOKUP($E26,'Maestro de productos 2024'!$B$189:$C$196,2,0)-$H26))</f>
        <v>0</v>
      </c>
      <c r="J26" s="137">
        <f t="shared" si="3"/>
        <v>175.2255385</v>
      </c>
      <c r="K26" s="137">
        <f t="shared" si="4"/>
        <v>480</v>
      </c>
      <c r="L26" s="132" t="str">
        <f t="shared" si="5"/>
        <v> </v>
      </c>
      <c r="M26" s="136"/>
      <c r="N26" s="132"/>
      <c r="O26" s="132"/>
      <c r="P26" s="132"/>
      <c r="Q26" s="132"/>
      <c r="R26" s="132"/>
      <c r="S26" s="132"/>
      <c r="T26" s="132"/>
      <c r="U26" s="132"/>
      <c r="V26" s="132"/>
      <c r="W26" s="132"/>
    </row>
    <row r="27">
      <c r="A27" s="28" t="str">
        <f t="array" ref="A27">XLOOKUP($E27,'Maestro de productos 2024'!$A$3:$A$163,'Maestro de productos 2024'!$B$3:$B$163,0)</f>
        <v>ID-3826</v>
      </c>
      <c r="B27" s="133">
        <v>45471.0</v>
      </c>
      <c r="C27" s="134">
        <f t="shared" si="1"/>
        <v>2024</v>
      </c>
      <c r="D27" s="135">
        <f t="shared" si="2"/>
        <v>6</v>
      </c>
      <c r="E27" s="136" t="s">
        <v>35</v>
      </c>
      <c r="F27" s="137">
        <f t="array" ref="F27">XLOOKUP(E27,'Maestro de productos 2024'!$B$189:$B$196,'Maestro de productos 2024'!$D$189:$D$196,"No encontrado",0)</f>
        <v>20</v>
      </c>
      <c r="G27" s="137">
        <f t="array" ref="G27">XLOOKUP(E27,'Maestro de productos 2024'!$B$189:$B$196,'Maestro de productos 2024'!$E$189:$E$196,"No encontrado",0)</f>
        <v>7.103972222</v>
      </c>
      <c r="H27" s="138">
        <v>15.0</v>
      </c>
      <c r="I27" s="144">
        <f t="array" ref="I27">IF((XLOOKUP($E27,'Maestro de productos 2024'!$B$189:$B$196,'Maestro de productos 2024'!$C$189:$C$196,"No encontrado",0)-H27)&lt;=0,"0",(VLOOKUP($E27,'Maestro de productos 2024'!$B$189:$C$196,2,0)-$H27))</f>
        <v>3</v>
      </c>
      <c r="J27" s="137">
        <f t="shared" si="3"/>
        <v>106.5595833</v>
      </c>
      <c r="K27" s="137">
        <f t="shared" si="4"/>
        <v>300</v>
      </c>
      <c r="L27" s="132">
        <f t="shared" si="5"/>
        <v>60</v>
      </c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</row>
    <row r="28">
      <c r="A28" s="28" t="str">
        <f t="array" ref="A28">XLOOKUP($E28,'Maestro de productos 2024'!$A$3:$A$163,'Maestro de productos 2024'!$B$3:$B$163,0)</f>
        <v>ID-3827</v>
      </c>
      <c r="B28" s="133">
        <v>45476.0</v>
      </c>
      <c r="C28" s="134">
        <f t="shared" si="1"/>
        <v>2024</v>
      </c>
      <c r="D28" s="135">
        <f t="shared" si="2"/>
        <v>7</v>
      </c>
      <c r="E28" s="136" t="s">
        <v>36</v>
      </c>
      <c r="F28" s="137">
        <f t="array" ref="F28">XLOOKUP(E28,'Maestro de productos 2024'!$B$189:$B$196,'Maestro de productos 2024'!$D$189:$D$196,"No encontrado",0)</f>
        <v>7</v>
      </c>
      <c r="G28" s="137">
        <f t="array" ref="G28">XLOOKUP(E28,'Maestro de productos 2024'!$B$189:$B$196,'Maestro de productos 2024'!$E$189:$E$196,"No encontrado",0)</f>
        <v>2.623460073</v>
      </c>
      <c r="H28" s="138">
        <v>29.0</v>
      </c>
      <c r="I28" s="144">
        <f t="array" ref="I28">IF((XLOOKUP($E28,'Maestro de productos 2024'!$B$189:$B$196,'Maestro de productos 2024'!$C$189:$C$196,"No encontrado",0)-H28)&lt;=0,"0",(VLOOKUP($E28,'Maestro de productos 2024'!$B$189:$C$196,2,0)-$H28))</f>
        <v>6</v>
      </c>
      <c r="J28" s="137">
        <f t="shared" si="3"/>
        <v>76.08034212</v>
      </c>
      <c r="K28" s="137">
        <f t="shared" si="4"/>
        <v>203</v>
      </c>
      <c r="L28" s="132">
        <f t="shared" si="5"/>
        <v>42</v>
      </c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</row>
    <row r="29">
      <c r="A29" s="28" t="str">
        <f t="array" ref="A29">XLOOKUP($E29,'Maestro de productos 2024'!$A$3:$A$163,'Maestro de productos 2024'!$B$3:$B$163,0)</f>
        <v>ID-3825</v>
      </c>
      <c r="B29" s="133">
        <v>45478.0</v>
      </c>
      <c r="C29" s="134">
        <f t="shared" si="1"/>
        <v>2024</v>
      </c>
      <c r="D29" s="135">
        <f t="shared" si="2"/>
        <v>7</v>
      </c>
      <c r="E29" s="136" t="s">
        <v>37</v>
      </c>
      <c r="F29" s="137">
        <f t="array" ref="F29">XLOOKUP(E29,'Maestro de productos 2024'!$B$189:$B$196,'Maestro de productos 2024'!$D$189:$D$196,"No encontrado",0)</f>
        <v>20</v>
      </c>
      <c r="G29" s="137">
        <f t="array" ref="G29">XLOOKUP(E29,'Maestro de productos 2024'!$B$189:$B$196,'Maestro de productos 2024'!$E$189:$E$196,"No encontrado",0)</f>
        <v>7.609146242</v>
      </c>
      <c r="H29" s="138">
        <v>16.0</v>
      </c>
      <c r="I29" s="134" t="str">
        <f t="array" ref="I29">IF((XLOOKUP($E29,'Maestro de productos 2024'!$B$189:$B$196,'Maestro de productos 2024'!$C$189:$C$196,"No encontrado",0)-H29)&lt;=0,"0",(VLOOKUP($E29,'Maestro de productos 2024'!$B$189:$C$196,2,0)-$H29))</f>
        <v>0</v>
      </c>
      <c r="J29" s="137">
        <f t="shared" si="3"/>
        <v>121.7463399</v>
      </c>
      <c r="K29" s="137">
        <f t="shared" si="4"/>
        <v>320</v>
      </c>
      <c r="L29" s="132" t="str">
        <f t="shared" si="5"/>
        <v> </v>
      </c>
      <c r="M29" s="136"/>
      <c r="N29" s="132"/>
      <c r="O29" s="132"/>
      <c r="P29" s="132"/>
      <c r="Q29" s="132"/>
      <c r="R29" s="132"/>
      <c r="S29" s="132"/>
      <c r="T29" s="132"/>
      <c r="U29" s="132"/>
      <c r="V29" s="132"/>
      <c r="W29" s="132"/>
    </row>
    <row r="30">
      <c r="A30" s="28" t="str">
        <f t="array" ref="A30">XLOOKUP($E30,'Maestro de productos 2024'!$A$3:$A$163,'Maestro de productos 2024'!$B$3:$B$163,0)</f>
        <v>ID-3824</v>
      </c>
      <c r="B30" s="133">
        <v>45483.0</v>
      </c>
      <c r="C30" s="134">
        <f t="shared" si="1"/>
        <v>2024</v>
      </c>
      <c r="D30" s="135">
        <f t="shared" si="2"/>
        <v>7</v>
      </c>
      <c r="E30" s="136" t="s">
        <v>34</v>
      </c>
      <c r="F30" s="137">
        <f t="array" ref="F30">XLOOKUP(E30,'Maestro de productos 2024'!$B$189:$B$196,'Maestro de productos 2024'!$D$189:$D$196,"No encontrado",0)</f>
        <v>10</v>
      </c>
      <c r="G30" s="137">
        <f t="array" ref="G30">XLOOKUP(E30,'Maestro de productos 2024'!$B$189:$B$196,'Maestro de productos 2024'!$E$189:$E$196,"No encontrado",0)</f>
        <v>3.337551282</v>
      </c>
      <c r="H30" s="138">
        <v>32.0</v>
      </c>
      <c r="I30" s="134" t="str">
        <f t="array" ref="I30">IF((XLOOKUP($E30,'Maestro de productos 2024'!$B$189:$B$196,'Maestro de productos 2024'!$C$189:$C$196,"No encontrado",0)-H30)&lt;=0,"0",(VLOOKUP($E30,'Maestro de productos 2024'!$B$189:$C$196,2,0)-$H30))</f>
        <v>0</v>
      </c>
      <c r="J30" s="137">
        <f t="shared" si="3"/>
        <v>106.801641</v>
      </c>
      <c r="K30" s="137">
        <f t="shared" si="4"/>
        <v>320</v>
      </c>
      <c r="L30" s="132" t="str">
        <f t="shared" si="5"/>
        <v> </v>
      </c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</row>
    <row r="31">
      <c r="A31" s="28" t="str">
        <f t="array" ref="A31">XLOOKUP($E31,'Maestro de productos 2024'!$A$3:$A$163,'Maestro de productos 2024'!$B$3:$B$163,0)</f>
        <v>ID-3829</v>
      </c>
      <c r="B31" s="133">
        <v>45485.0</v>
      </c>
      <c r="C31" s="134">
        <f t="shared" si="1"/>
        <v>2024</v>
      </c>
      <c r="D31" s="135">
        <f t="shared" si="2"/>
        <v>7</v>
      </c>
      <c r="E31" s="136" t="s">
        <v>97</v>
      </c>
      <c r="F31" s="137">
        <f t="array" ref="F31">XLOOKUP(E31,'Maestro de productos 2024'!$B$189:$B$196,'Maestro de productos 2024'!$D$189:$D$196,"No encontrado",0)</f>
        <v>7</v>
      </c>
      <c r="G31" s="137">
        <f t="array" ref="G31">XLOOKUP(E31,'Maestro de productos 2024'!$B$189:$B$196,'Maestro de productos 2024'!$E$189:$E$196,"No encontrado",0)</f>
        <v>2.98984359</v>
      </c>
      <c r="H31" s="138">
        <v>45.0</v>
      </c>
      <c r="I31" s="144">
        <f t="array" ref="I31">IF((XLOOKUP($E31,'Maestro de productos 2024'!$B$189:$B$196,'Maestro de productos 2024'!$C$189:$C$196,"No encontrado",0)-H31)&lt;=0,"0",(VLOOKUP($E31,'Maestro de productos 2024'!$B$189:$C$196,2,0)-$H31))</f>
        <v>5</v>
      </c>
      <c r="J31" s="137">
        <f t="shared" si="3"/>
        <v>134.5429615</v>
      </c>
      <c r="K31" s="137">
        <f t="shared" si="4"/>
        <v>315</v>
      </c>
      <c r="L31" s="132">
        <f t="shared" si="5"/>
        <v>35</v>
      </c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</row>
    <row r="32">
      <c r="A32" s="28" t="str">
        <f t="array" ref="A32">XLOOKUP($E32,'Maestro de productos 2024'!$A$3:$A$163,'Maestro de productos 2024'!$B$3:$B$163,0)</f>
        <v>ID-3828</v>
      </c>
      <c r="B32" s="133">
        <v>45490.0</v>
      </c>
      <c r="C32" s="134">
        <f t="shared" si="1"/>
        <v>2024</v>
      </c>
      <c r="D32" s="135">
        <f t="shared" si="2"/>
        <v>7</v>
      </c>
      <c r="E32" s="136" t="s">
        <v>38</v>
      </c>
      <c r="F32" s="137">
        <f t="array" ref="F32">XLOOKUP(E32,'Maestro de productos 2024'!$B$189:$B$196,'Maestro de productos 2024'!$D$189:$D$196,"No encontrado",0)</f>
        <v>20</v>
      </c>
      <c r="G32" s="137">
        <f t="array" ref="G32">XLOOKUP(E32,'Maestro de productos 2024'!$B$189:$B$196,'Maestro de productos 2024'!$E$189:$E$196,"No encontrado",0)</f>
        <v>7.301064103</v>
      </c>
      <c r="H32" s="138">
        <v>24.0</v>
      </c>
      <c r="I32" s="134" t="str">
        <f t="array" ref="I32">IF((XLOOKUP($E32,'Maestro de productos 2024'!$B$189:$B$196,'Maestro de productos 2024'!$C$189:$C$196,"No encontrado",0)-H32)&lt;=0,"0",(VLOOKUP($E32,'Maestro de productos 2024'!$B$189:$C$196,2,0)-$H32))</f>
        <v>0</v>
      </c>
      <c r="J32" s="137">
        <f t="shared" si="3"/>
        <v>175.2255385</v>
      </c>
      <c r="K32" s="137">
        <f t="shared" si="4"/>
        <v>480</v>
      </c>
      <c r="L32" s="132" t="str">
        <f t="shared" si="5"/>
        <v> </v>
      </c>
      <c r="M32" s="136"/>
      <c r="N32" s="132"/>
      <c r="O32" s="132"/>
      <c r="P32" s="132"/>
      <c r="Q32" s="132"/>
      <c r="R32" s="132"/>
      <c r="S32" s="132"/>
      <c r="T32" s="132"/>
      <c r="U32" s="132"/>
      <c r="V32" s="132"/>
      <c r="W32" s="132"/>
    </row>
    <row r="33">
      <c r="A33" s="28" t="str">
        <f t="array" ref="A33">XLOOKUP($E33,'Maestro de productos 2024'!$A$3:$A$163,'Maestro de productos 2024'!$B$3:$B$163,0)</f>
        <v>ID-3826</v>
      </c>
      <c r="B33" s="133">
        <v>45492.0</v>
      </c>
      <c r="C33" s="134">
        <f t="shared" si="1"/>
        <v>2024</v>
      </c>
      <c r="D33" s="135">
        <f t="shared" si="2"/>
        <v>7</v>
      </c>
      <c r="E33" s="136" t="s">
        <v>35</v>
      </c>
      <c r="F33" s="137">
        <f t="array" ref="F33">XLOOKUP(E33,'Maestro de productos 2024'!$B$189:$B$196,'Maestro de productos 2024'!$D$189:$D$196,"No encontrado",0)</f>
        <v>20</v>
      </c>
      <c r="G33" s="137">
        <f t="array" ref="G33">XLOOKUP(E33,'Maestro de productos 2024'!$B$189:$B$196,'Maestro de productos 2024'!$E$189:$E$196,"No encontrado",0)</f>
        <v>7.103972222</v>
      </c>
      <c r="H33" s="138">
        <v>16.0</v>
      </c>
      <c r="I33" s="144">
        <f t="array" ref="I33">IF((XLOOKUP($E33,'Maestro de productos 2024'!$B$189:$B$196,'Maestro de productos 2024'!$C$189:$C$196,"No encontrado",0)-H33)&lt;=0,"0",(VLOOKUP($E33,'Maestro de productos 2024'!$B$189:$C$196,2,0)-$H33))</f>
        <v>2</v>
      </c>
      <c r="J33" s="137">
        <f t="shared" si="3"/>
        <v>113.6635556</v>
      </c>
      <c r="K33" s="137">
        <f t="shared" si="4"/>
        <v>320</v>
      </c>
      <c r="L33" s="132">
        <f t="shared" si="5"/>
        <v>40</v>
      </c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</row>
    <row r="34">
      <c r="A34" s="28" t="str">
        <f t="array" ref="A34">XLOOKUP($E34,'Maestro de productos 2024'!$A$3:$A$163,'Maestro de productos 2024'!$B$3:$B$163,0)</f>
        <v>ID-3830</v>
      </c>
      <c r="B34" s="133">
        <v>45497.0</v>
      </c>
      <c r="C34" s="134">
        <f t="shared" si="1"/>
        <v>2024</v>
      </c>
      <c r="D34" s="135">
        <f t="shared" si="2"/>
        <v>7</v>
      </c>
      <c r="E34" s="136" t="s">
        <v>108</v>
      </c>
      <c r="F34" s="137">
        <f t="array" ref="F34">XLOOKUP(E34,'Maestro de productos 2024'!$B$189:$B$196,'Maestro de productos 2024'!$D$189:$D$196,"No encontrado",0)</f>
        <v>25</v>
      </c>
      <c r="G34" s="137">
        <f t="array" ref="G34">XLOOKUP(E34,'Maestro de productos 2024'!$B$189:$B$196,'Maestro de productos 2024'!$E$189:$E$196,"No encontrado",0)</f>
        <v>10.93666667</v>
      </c>
      <c r="H34" s="138">
        <v>18.0</v>
      </c>
      <c r="I34" s="134" t="str">
        <f t="array" ref="I34">IF((XLOOKUP($E34,'Maestro de productos 2024'!$B$189:$B$196,'Maestro de productos 2024'!$C$189:$C$196,"No encontrado",0)-H34)&lt;=0,"0",(VLOOKUP($E34,'Maestro de productos 2024'!$B$189:$C$196,2,0)-$H34))</f>
        <v>0</v>
      </c>
      <c r="J34" s="137">
        <f t="shared" si="3"/>
        <v>196.86</v>
      </c>
      <c r="K34" s="137">
        <f t="shared" si="4"/>
        <v>450</v>
      </c>
      <c r="L34" s="132" t="str">
        <f t="shared" si="5"/>
        <v> </v>
      </c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</row>
    <row r="35">
      <c r="A35" s="28" t="str">
        <f t="array" ref="A35">XLOOKUP($E35,'Maestro de productos 2024'!$A$3:$A$163,'Maestro de productos 2024'!$B$3:$B$163,0)</f>
        <v>ID-3827</v>
      </c>
      <c r="B35" s="133">
        <v>45499.0</v>
      </c>
      <c r="C35" s="134">
        <f t="shared" si="1"/>
        <v>2024</v>
      </c>
      <c r="D35" s="135">
        <f t="shared" si="2"/>
        <v>7</v>
      </c>
      <c r="E35" s="136" t="s">
        <v>36</v>
      </c>
      <c r="F35" s="137">
        <f t="array" ref="F35">XLOOKUP(E35,'Maestro de productos 2024'!$B$189:$B$196,'Maestro de productos 2024'!$D$189:$D$196,"No encontrado",0)</f>
        <v>7</v>
      </c>
      <c r="G35" s="137">
        <f t="array" ref="G35">XLOOKUP(E35,'Maestro de productos 2024'!$B$189:$B$196,'Maestro de productos 2024'!$E$189:$E$196,"No encontrado",0)</f>
        <v>2.623460073</v>
      </c>
      <c r="H35" s="138">
        <v>30.0</v>
      </c>
      <c r="I35" s="144">
        <f t="array" ref="I35">IF((XLOOKUP($E35,'Maestro de productos 2024'!$B$189:$B$196,'Maestro de productos 2024'!$C$189:$C$196,"No encontrado",0)-H35)&lt;=0,"0",(VLOOKUP($E35,'Maestro de productos 2024'!$B$189:$C$196,2,0)-$H35))</f>
        <v>5</v>
      </c>
      <c r="J35" s="137">
        <f t="shared" si="3"/>
        <v>78.7038022</v>
      </c>
      <c r="K35" s="137">
        <f t="shared" si="4"/>
        <v>210</v>
      </c>
      <c r="L35" s="132">
        <f t="shared" si="5"/>
        <v>35</v>
      </c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</row>
    <row r="36">
      <c r="A36" s="28" t="str">
        <f t="array" ref="A36">XLOOKUP($E36,'Maestro de productos 2024'!$A$3:$A$163,'Maestro de productos 2024'!$B$3:$B$163,0)</f>
        <v>ID-3825</v>
      </c>
      <c r="B36" s="133">
        <v>45504.0</v>
      </c>
      <c r="C36" s="134">
        <f t="shared" si="1"/>
        <v>2024</v>
      </c>
      <c r="D36" s="135">
        <f t="shared" si="2"/>
        <v>7</v>
      </c>
      <c r="E36" s="136" t="s">
        <v>37</v>
      </c>
      <c r="F36" s="137">
        <f t="array" ref="F36">XLOOKUP(E36,'Maestro de productos 2024'!$B$189:$B$196,'Maestro de productos 2024'!$D$189:$D$196,"No encontrado",0)</f>
        <v>20</v>
      </c>
      <c r="G36" s="137">
        <f t="array" ref="G36">XLOOKUP(E36,'Maestro de productos 2024'!$B$189:$B$196,'Maestro de productos 2024'!$E$189:$E$196,"No encontrado",0)</f>
        <v>7.609146242</v>
      </c>
      <c r="H36" s="138">
        <v>16.0</v>
      </c>
      <c r="I36" s="134" t="str">
        <f t="array" ref="I36">IF((XLOOKUP($E36,'Maestro de productos 2024'!$B$189:$B$196,'Maestro de productos 2024'!$C$189:$C$196,"No encontrado",0)-H36)&lt;=0,"0",(VLOOKUP($E36,'Maestro de productos 2024'!$B$189:$C$196,2,0)-$H36))</f>
        <v>0</v>
      </c>
      <c r="J36" s="137">
        <f t="shared" si="3"/>
        <v>121.7463399</v>
      </c>
      <c r="K36" s="137">
        <f t="shared" si="4"/>
        <v>320</v>
      </c>
      <c r="L36" s="132" t="str">
        <f t="shared" si="5"/>
        <v> </v>
      </c>
      <c r="M36" s="136"/>
      <c r="N36" s="132"/>
      <c r="O36" s="132"/>
      <c r="P36" s="132"/>
      <c r="Q36" s="132"/>
      <c r="R36" s="132"/>
      <c r="S36" s="132"/>
      <c r="T36" s="132"/>
      <c r="U36" s="132"/>
      <c r="V36" s="132"/>
      <c r="W36" s="132"/>
    </row>
    <row r="37">
      <c r="A37" s="28" t="str">
        <f t="array" ref="A37">XLOOKUP($E37,'Maestro de productos 2024'!$A$3:$A$163,'Maestro de productos 2024'!$B$3:$B$163,0)</f>
        <v>ID-3829</v>
      </c>
      <c r="B37" s="133">
        <v>45506.0</v>
      </c>
      <c r="C37" s="134">
        <f t="shared" si="1"/>
        <v>2024</v>
      </c>
      <c r="D37" s="135">
        <f t="shared" si="2"/>
        <v>8</v>
      </c>
      <c r="E37" s="136" t="s">
        <v>97</v>
      </c>
      <c r="F37" s="137">
        <f t="array" ref="F37">XLOOKUP(E37,'Maestro de productos 2024'!$B$189:$B$196,'Maestro de productos 2024'!$D$189:$D$196,"No encontrado",0)</f>
        <v>7</v>
      </c>
      <c r="G37" s="137">
        <f t="array" ref="G37">XLOOKUP(E37,'Maestro de productos 2024'!$B$189:$B$196,'Maestro de productos 2024'!$E$189:$E$196,"No encontrado",0)</f>
        <v>2.98984359</v>
      </c>
      <c r="H37" s="138">
        <v>50.0</v>
      </c>
      <c r="I37" s="134" t="str">
        <f t="array" ref="I37">IF((XLOOKUP($E37,'Maestro de productos 2024'!$B$189:$B$196,'Maestro de productos 2024'!$C$189:$C$196,"No encontrado",0)-H37)&lt;=0,"0",(VLOOKUP($E37,'Maestro de productos 2024'!$B$189:$C$196,2,0)-$H37))</f>
        <v>0</v>
      </c>
      <c r="J37" s="137">
        <f t="shared" si="3"/>
        <v>149.4921795</v>
      </c>
      <c r="K37" s="137">
        <f t="shared" si="4"/>
        <v>350</v>
      </c>
      <c r="L37" s="132" t="str">
        <f t="shared" si="5"/>
        <v> </v>
      </c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</row>
    <row r="38">
      <c r="A38" s="28" t="str">
        <f t="array" ref="A38">XLOOKUP($E38,'Maestro de productos 2024'!$A$3:$A$163,'Maestro de productos 2024'!$B$3:$B$163,0)</f>
        <v>ID-3824</v>
      </c>
      <c r="B38" s="133">
        <v>45511.0</v>
      </c>
      <c r="C38" s="134">
        <f t="shared" si="1"/>
        <v>2024</v>
      </c>
      <c r="D38" s="135">
        <f t="shared" si="2"/>
        <v>8</v>
      </c>
      <c r="E38" s="136" t="s">
        <v>34</v>
      </c>
      <c r="F38" s="137">
        <f t="array" ref="F38">XLOOKUP(E38,'Maestro de productos 2024'!$B$189:$B$196,'Maestro de productos 2024'!$D$189:$D$196,"No encontrado",0)</f>
        <v>10</v>
      </c>
      <c r="G38" s="137">
        <f t="array" ref="G38">XLOOKUP(E38,'Maestro de productos 2024'!$B$189:$B$196,'Maestro de productos 2024'!$E$189:$E$196,"No encontrado",0)</f>
        <v>3.337551282</v>
      </c>
      <c r="H38" s="138">
        <v>32.0</v>
      </c>
      <c r="I38" s="134" t="str">
        <f t="array" ref="I38">IF((XLOOKUP($E38,'Maestro de productos 2024'!$B$189:$B$196,'Maestro de productos 2024'!$C$189:$C$196,"No encontrado",0)-H38)&lt;=0,"0",(VLOOKUP($E38,'Maestro de productos 2024'!$B$189:$C$196,2,0)-$H38))</f>
        <v>0</v>
      </c>
      <c r="J38" s="137">
        <f t="shared" si="3"/>
        <v>106.801641</v>
      </c>
      <c r="K38" s="137">
        <f t="shared" si="4"/>
        <v>320</v>
      </c>
      <c r="L38" s="132" t="str">
        <f t="shared" si="5"/>
        <v> </v>
      </c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</row>
    <row r="39">
      <c r="A39" s="28" t="str">
        <f t="array" ref="A39">XLOOKUP($E39,'Maestro de productos 2024'!$A$3:$A$163,'Maestro de productos 2024'!$B$3:$B$163,0)</f>
        <v>ID-3828</v>
      </c>
      <c r="B39" s="133">
        <v>45513.0</v>
      </c>
      <c r="C39" s="134">
        <f t="shared" si="1"/>
        <v>2024</v>
      </c>
      <c r="D39" s="135">
        <f t="shared" si="2"/>
        <v>8</v>
      </c>
      <c r="E39" s="136" t="s">
        <v>38</v>
      </c>
      <c r="F39" s="137">
        <f t="array" ref="F39">XLOOKUP(E39,'Maestro de productos 2024'!$B$189:$B$196,'Maestro de productos 2024'!$D$189:$D$196,"No encontrado",0)</f>
        <v>20</v>
      </c>
      <c r="G39" s="137">
        <f t="array" ref="G39">XLOOKUP(E39,'Maestro de productos 2024'!$B$189:$B$196,'Maestro de productos 2024'!$E$189:$E$196,"No encontrado",0)</f>
        <v>7.301064103</v>
      </c>
      <c r="H39" s="138">
        <v>24.0</v>
      </c>
      <c r="I39" s="134" t="str">
        <f t="array" ref="I39">IF((XLOOKUP($E39,'Maestro de productos 2024'!$B$189:$B$196,'Maestro de productos 2024'!$C$189:$C$196,"No encontrado",0)-H39)&lt;=0,"0",(VLOOKUP($E39,'Maestro de productos 2024'!$B$189:$C$196,2,0)-$H39))</f>
        <v>0</v>
      </c>
      <c r="J39" s="137">
        <f t="shared" si="3"/>
        <v>175.2255385</v>
      </c>
      <c r="K39" s="137">
        <f t="shared" si="4"/>
        <v>480</v>
      </c>
      <c r="L39" s="132" t="str">
        <f t="shared" si="5"/>
        <v> </v>
      </c>
      <c r="M39" s="136"/>
      <c r="N39" s="132"/>
      <c r="O39" s="132"/>
      <c r="P39" s="132"/>
      <c r="Q39" s="132"/>
      <c r="R39" s="132"/>
      <c r="S39" s="132"/>
      <c r="T39" s="132"/>
      <c r="U39" s="132"/>
      <c r="V39" s="132"/>
      <c r="W39" s="132"/>
    </row>
    <row r="40">
      <c r="A40" s="28" t="str">
        <f t="array" ref="A40">XLOOKUP($E40,'Maestro de productos 2024'!$A$3:$A$163,'Maestro de productos 2024'!$B$3:$B$163,0)</f>
        <v>ID-3826</v>
      </c>
      <c r="B40" s="133">
        <v>45518.0</v>
      </c>
      <c r="C40" s="134">
        <f t="shared" si="1"/>
        <v>2024</v>
      </c>
      <c r="D40" s="135">
        <f t="shared" si="2"/>
        <v>8</v>
      </c>
      <c r="E40" s="136" t="s">
        <v>35</v>
      </c>
      <c r="F40" s="137">
        <f t="array" ref="F40">XLOOKUP(E40,'Maestro de productos 2024'!$B$189:$B$196,'Maestro de productos 2024'!$D$189:$D$196,"No encontrado",0)</f>
        <v>20</v>
      </c>
      <c r="G40" s="137">
        <f t="array" ref="G40">XLOOKUP(E40,'Maestro de productos 2024'!$B$189:$B$196,'Maestro de productos 2024'!$E$189:$E$196,"No encontrado",0)</f>
        <v>7.103972222</v>
      </c>
      <c r="H40" s="138">
        <v>18.0</v>
      </c>
      <c r="I40" s="134" t="str">
        <f t="array" ref="I40">IF((XLOOKUP($E40,'Maestro de productos 2024'!$B$189:$B$196,'Maestro de productos 2024'!$C$189:$C$196,"No encontrado",0)-H40)&lt;=0,"0",(VLOOKUP($E40,'Maestro de productos 2024'!$B$189:$C$196,2,0)-$H40))</f>
        <v>0</v>
      </c>
      <c r="J40" s="137">
        <f t="shared" si="3"/>
        <v>127.8715</v>
      </c>
      <c r="K40" s="137">
        <f t="shared" si="4"/>
        <v>360</v>
      </c>
      <c r="L40" s="132" t="str">
        <f t="shared" si="5"/>
        <v> </v>
      </c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</row>
    <row r="41">
      <c r="A41" s="28" t="str">
        <f t="array" ref="A41">XLOOKUP($E41,'Maestro de productos 2024'!$A$3:$A$163,'Maestro de productos 2024'!$B$3:$B$163,0)</f>
        <v>ID-3830</v>
      </c>
      <c r="B41" s="133">
        <v>45520.0</v>
      </c>
      <c r="C41" s="134">
        <f t="shared" si="1"/>
        <v>2024</v>
      </c>
      <c r="D41" s="135">
        <f t="shared" si="2"/>
        <v>8</v>
      </c>
      <c r="E41" s="136" t="s">
        <v>108</v>
      </c>
      <c r="F41" s="137">
        <f t="array" ref="F41">XLOOKUP(E41,'Maestro de productos 2024'!$B$189:$B$196,'Maestro de productos 2024'!$D$189:$D$196,"No encontrado",0)</f>
        <v>25</v>
      </c>
      <c r="G41" s="137">
        <f t="array" ref="G41">XLOOKUP(E41,'Maestro de productos 2024'!$B$189:$B$196,'Maestro de productos 2024'!$E$189:$E$196,"No encontrado",0)</f>
        <v>10.93666667</v>
      </c>
      <c r="H41" s="138">
        <v>16.0</v>
      </c>
      <c r="I41" s="144">
        <f t="array" ref="I41">IF((XLOOKUP($E41,'Maestro de productos 2024'!$B$189:$B$196,'Maestro de productos 2024'!$C$189:$C$196,"No encontrado",0)-H41)&lt;=0,"0",(VLOOKUP($E41,'Maestro de productos 2024'!$B$189:$C$196,2,0)-$H41))</f>
        <v>2</v>
      </c>
      <c r="J41" s="137">
        <f t="shared" si="3"/>
        <v>174.9866667</v>
      </c>
      <c r="K41" s="137">
        <f t="shared" si="4"/>
        <v>400</v>
      </c>
      <c r="L41" s="132">
        <f t="shared" si="5"/>
        <v>50</v>
      </c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</row>
    <row r="42">
      <c r="A42" s="28" t="str">
        <f t="array" ref="A42">XLOOKUP($E42,'Maestro de productos 2024'!$A$3:$A$163,'Maestro de productos 2024'!$B$3:$B$163,0)</f>
        <v>ID-3825</v>
      </c>
      <c r="B42" s="133">
        <v>45525.0</v>
      </c>
      <c r="C42" s="134">
        <f t="shared" si="1"/>
        <v>2024</v>
      </c>
      <c r="D42" s="135">
        <f t="shared" si="2"/>
        <v>8</v>
      </c>
      <c r="E42" s="136" t="s">
        <v>37</v>
      </c>
      <c r="F42" s="137">
        <f t="array" ref="F42">XLOOKUP(E42,'Maestro de productos 2024'!$B$189:$B$196,'Maestro de productos 2024'!$D$189:$D$196,"No encontrado",0)</f>
        <v>20</v>
      </c>
      <c r="G42" s="137">
        <f t="array" ref="G42">XLOOKUP(E42,'Maestro de productos 2024'!$B$189:$B$196,'Maestro de productos 2024'!$E$189:$E$196,"No encontrado",0)</f>
        <v>7.609146242</v>
      </c>
      <c r="H42" s="138">
        <v>16.0</v>
      </c>
      <c r="I42" s="134" t="str">
        <f t="array" ref="I42">IF((XLOOKUP($E42,'Maestro de productos 2024'!$B$189:$B$196,'Maestro de productos 2024'!$C$189:$C$196,"No encontrado",0)-H42)&lt;=0,"0",(VLOOKUP($E42,'Maestro de productos 2024'!$B$189:$C$196,2,0)-$H42))</f>
        <v>0</v>
      </c>
      <c r="J42" s="137">
        <f t="shared" si="3"/>
        <v>121.7463399</v>
      </c>
      <c r="K42" s="137">
        <f t="shared" si="4"/>
        <v>320</v>
      </c>
      <c r="L42" s="132" t="str">
        <f t="shared" si="5"/>
        <v> </v>
      </c>
      <c r="M42" s="136"/>
      <c r="N42" s="132"/>
      <c r="O42" s="132"/>
      <c r="P42" s="132"/>
      <c r="Q42" s="132"/>
      <c r="R42" s="132"/>
      <c r="S42" s="132"/>
      <c r="T42" s="132"/>
      <c r="U42" s="132"/>
      <c r="V42" s="132"/>
      <c r="W42" s="132"/>
    </row>
    <row r="43">
      <c r="A43" s="28" t="str">
        <f t="array" ref="A43">XLOOKUP($E43,'Maestro de productos 2024'!$A$3:$A$163,'Maestro de productos 2024'!$B$3:$B$163,0)</f>
        <v>ID-3828</v>
      </c>
      <c r="B43" s="133">
        <v>45527.0</v>
      </c>
      <c r="C43" s="134">
        <f t="shared" si="1"/>
        <v>2024</v>
      </c>
      <c r="D43" s="135">
        <f t="shared" si="2"/>
        <v>8</v>
      </c>
      <c r="E43" s="136" t="s">
        <v>38</v>
      </c>
      <c r="F43" s="137">
        <f t="array" ref="F43">XLOOKUP(E43,'Maestro de productos 2024'!$B$189:$B$196,'Maestro de productos 2024'!$D$189:$D$196,"No encontrado",0)</f>
        <v>20</v>
      </c>
      <c r="G43" s="137">
        <f t="array" ref="G43">XLOOKUP(E43,'Maestro de productos 2024'!$B$189:$B$196,'Maestro de productos 2024'!$E$189:$E$196,"No encontrado",0)</f>
        <v>7.301064103</v>
      </c>
      <c r="H43" s="138">
        <v>24.0</v>
      </c>
      <c r="I43" s="134" t="str">
        <f t="array" ref="I43">IF((XLOOKUP($E43,'Maestro de productos 2024'!$B$189:$B$196,'Maestro de productos 2024'!$C$189:$C$196,"No encontrado",0)-H43)&lt;=0,"0",(VLOOKUP($E43,'Maestro de productos 2024'!$B$189:$C$196,2,0)-$H43))</f>
        <v>0</v>
      </c>
      <c r="J43" s="137">
        <f t="shared" si="3"/>
        <v>175.2255385</v>
      </c>
      <c r="K43" s="137">
        <f t="shared" si="4"/>
        <v>480</v>
      </c>
      <c r="L43" s="132" t="str">
        <f t="shared" si="5"/>
        <v> </v>
      </c>
      <c r="M43" s="136"/>
      <c r="N43" s="132"/>
      <c r="O43" s="132"/>
      <c r="P43" s="132"/>
      <c r="Q43" s="132"/>
      <c r="R43" s="132"/>
      <c r="S43" s="132"/>
      <c r="T43" s="132"/>
      <c r="U43" s="132"/>
      <c r="V43" s="132"/>
      <c r="W43" s="132"/>
    </row>
    <row r="44">
      <c r="A44" s="28" t="str">
        <f t="array" ref="A44">XLOOKUP($E44,'Maestro de productos 2024'!$A$3:$A$163,'Maestro de productos 2024'!$B$3:$B$163,0)</f>
        <v>ID-3829</v>
      </c>
      <c r="B44" s="133">
        <v>45532.0</v>
      </c>
      <c r="C44" s="134">
        <f t="shared" si="1"/>
        <v>2024</v>
      </c>
      <c r="D44" s="135">
        <f t="shared" si="2"/>
        <v>8</v>
      </c>
      <c r="E44" s="136" t="s">
        <v>97</v>
      </c>
      <c r="F44" s="137">
        <f t="array" ref="F44">XLOOKUP(E44,'Maestro de productos 2024'!$B$189:$B$196,'Maestro de productos 2024'!$D$189:$D$196,"No encontrado",0)</f>
        <v>7</v>
      </c>
      <c r="G44" s="137">
        <f t="array" ref="G44">XLOOKUP(E44,'Maestro de productos 2024'!$B$189:$B$196,'Maestro de productos 2024'!$E$189:$E$196,"No encontrado",0)</f>
        <v>2.98984359</v>
      </c>
      <c r="H44" s="138">
        <v>50.0</v>
      </c>
      <c r="I44" s="134" t="str">
        <f t="array" ref="I44">IF((XLOOKUP($E44,'Maestro de productos 2024'!$B$189:$B$196,'Maestro de productos 2024'!$C$189:$C$196,"No encontrado",0)-H44)&lt;=0,"0",(VLOOKUP($E44,'Maestro de productos 2024'!$B$189:$C$196,2,0)-$H44))</f>
        <v>0</v>
      </c>
      <c r="J44" s="137">
        <f t="shared" si="3"/>
        <v>149.4921795</v>
      </c>
      <c r="K44" s="137">
        <f t="shared" si="4"/>
        <v>350</v>
      </c>
      <c r="L44" s="132" t="str">
        <f t="shared" si="5"/>
        <v> </v>
      </c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</row>
    <row r="45">
      <c r="A45" s="28" t="str">
        <f t="array" ref="A45">XLOOKUP($E45,'Maestro de productos 2024'!$A$3:$A$163,'Maestro de productos 2024'!$B$3:$B$163,0)</f>
        <v>ID-3827</v>
      </c>
      <c r="B45" s="133">
        <v>45534.0</v>
      </c>
      <c r="C45" s="134">
        <f t="shared" si="1"/>
        <v>2024</v>
      </c>
      <c r="D45" s="135">
        <f t="shared" si="2"/>
        <v>8</v>
      </c>
      <c r="E45" s="136" t="s">
        <v>36</v>
      </c>
      <c r="F45" s="137">
        <f t="array" ref="F45">XLOOKUP(E45,'Maestro de productos 2024'!$B$189:$B$196,'Maestro de productos 2024'!$D$189:$D$196,"No encontrado",0)</f>
        <v>7</v>
      </c>
      <c r="G45" s="137">
        <f t="array" ref="G45">XLOOKUP(E45,'Maestro de productos 2024'!$B$189:$B$196,'Maestro de productos 2024'!$E$189:$E$196,"No encontrado",0)</f>
        <v>2.623460073</v>
      </c>
      <c r="H45" s="138">
        <v>33.0</v>
      </c>
      <c r="I45" s="144">
        <f t="array" ref="I45">IF((XLOOKUP($E45,'Maestro de productos 2024'!$B$189:$B$196,'Maestro de productos 2024'!$C$189:$C$196,"No encontrado",0)-H45)&lt;=0,"0",(VLOOKUP($E45,'Maestro de productos 2024'!$B$189:$C$196,2,0)-$H45))</f>
        <v>2</v>
      </c>
      <c r="J45" s="137">
        <f t="shared" si="3"/>
        <v>86.57418242</v>
      </c>
      <c r="K45" s="137">
        <f t="shared" si="4"/>
        <v>231</v>
      </c>
      <c r="L45" s="132">
        <f t="shared" si="5"/>
        <v>14</v>
      </c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</row>
    <row r="46">
      <c r="A46" s="28" t="str">
        <f t="array" ref="A46">XLOOKUP($E46,'Maestro de productos 2024'!$A$3:$A$163,'Maestro de productos 2024'!$B$3:$B$163,0)</f>
        <v>ID-3824</v>
      </c>
      <c r="B46" s="133">
        <v>45539.0</v>
      </c>
      <c r="C46" s="134">
        <f t="shared" si="1"/>
        <v>2024</v>
      </c>
      <c r="D46" s="135">
        <f t="shared" si="2"/>
        <v>9</v>
      </c>
      <c r="E46" s="136" t="s">
        <v>34</v>
      </c>
      <c r="F46" s="137">
        <f t="array" ref="F46">XLOOKUP(E46,'Maestro de productos 2024'!$B$189:$B$196,'Maestro de productos 2024'!$D$189:$D$196,"No encontrado",0)</f>
        <v>10</v>
      </c>
      <c r="G46" s="137">
        <f t="array" ref="G46">XLOOKUP(E46,'Maestro de productos 2024'!$B$189:$B$196,'Maestro de productos 2024'!$E$189:$E$196,"No encontrado",0)</f>
        <v>3.337551282</v>
      </c>
      <c r="H46" s="138">
        <v>28.0</v>
      </c>
      <c r="I46" s="144">
        <f t="array" ref="I46">IF((XLOOKUP($E46,'Maestro de productos 2024'!$B$189:$B$196,'Maestro de productos 2024'!$C$189:$C$196,"No encontrado",0)-H46)&lt;=0,"0",(VLOOKUP($E46,'Maestro de productos 2024'!$B$189:$C$196,2,0)-$H46))</f>
        <v>4</v>
      </c>
      <c r="J46" s="137">
        <f t="shared" si="3"/>
        <v>93.4514359</v>
      </c>
      <c r="K46" s="137">
        <f t="shared" si="4"/>
        <v>280</v>
      </c>
      <c r="L46" s="132">
        <f t="shared" si="5"/>
        <v>40</v>
      </c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</row>
    <row r="47">
      <c r="A47" s="28" t="str">
        <f t="array" ref="A47">XLOOKUP($E47,'Maestro de productos 2024'!$A$3:$A$163,'Maestro de productos 2024'!$B$3:$B$163,0)</f>
        <v>ID-3825</v>
      </c>
      <c r="B47" s="133">
        <v>45541.0</v>
      </c>
      <c r="C47" s="134">
        <f t="shared" si="1"/>
        <v>2024</v>
      </c>
      <c r="D47" s="135">
        <f t="shared" si="2"/>
        <v>9</v>
      </c>
      <c r="E47" s="136" t="s">
        <v>37</v>
      </c>
      <c r="F47" s="137">
        <f t="array" ref="F47">XLOOKUP(E47,'Maestro de productos 2024'!$B$189:$B$196,'Maestro de productos 2024'!$D$189:$D$196,"No encontrado",0)</f>
        <v>20</v>
      </c>
      <c r="G47" s="137">
        <f t="array" ref="G47">XLOOKUP(E47,'Maestro de productos 2024'!$B$189:$B$196,'Maestro de productos 2024'!$E$189:$E$196,"No encontrado",0)</f>
        <v>7.609146242</v>
      </c>
      <c r="H47" s="138">
        <v>14.0</v>
      </c>
      <c r="I47" s="144">
        <f t="array" ref="I47">IF((XLOOKUP($E47,'Maestro de productos 2024'!$B$189:$B$196,'Maestro de productos 2024'!$C$189:$C$196,"No encontrado",0)-H47)&lt;=0,"0",(VLOOKUP($E47,'Maestro de productos 2024'!$B$189:$C$196,2,0)-$H47))</f>
        <v>2</v>
      </c>
      <c r="J47" s="137">
        <f t="shared" si="3"/>
        <v>106.5280474</v>
      </c>
      <c r="K47" s="137">
        <f t="shared" si="4"/>
        <v>280</v>
      </c>
      <c r="L47" s="132">
        <f t="shared" si="5"/>
        <v>40</v>
      </c>
      <c r="M47" s="136"/>
      <c r="N47" s="132"/>
      <c r="O47" s="132"/>
      <c r="P47" s="132"/>
      <c r="Q47" s="132"/>
      <c r="R47" s="132"/>
      <c r="S47" s="132"/>
      <c r="T47" s="132"/>
      <c r="U47" s="132"/>
      <c r="V47" s="132"/>
      <c r="W47" s="132"/>
    </row>
    <row r="48">
      <c r="A48" s="28" t="str">
        <f t="array" ref="A48">XLOOKUP($E48,'Maestro de productos 2024'!$A$3:$A$163,'Maestro de productos 2024'!$B$3:$B$163,0)</f>
        <v>ID-3831</v>
      </c>
      <c r="B48" s="133">
        <v>45546.0</v>
      </c>
      <c r="C48" s="134">
        <f t="shared" si="1"/>
        <v>2024</v>
      </c>
      <c r="D48" s="135">
        <f t="shared" si="2"/>
        <v>9</v>
      </c>
      <c r="E48" s="136" t="s">
        <v>109</v>
      </c>
      <c r="F48" s="137">
        <f t="array" ref="F48">XLOOKUP(E48,'Maestro de productos 2024'!$B$189:$B$196,'Maestro de productos 2024'!$D$189:$D$196,"No encontrado",0)</f>
        <v>20</v>
      </c>
      <c r="G48" s="137">
        <f t="array" ref="G48">XLOOKUP(E48,'Maestro de productos 2024'!$B$189:$B$196,'Maestro de productos 2024'!$E$189:$E$196,"No encontrado",0)</f>
        <v>7.05492674</v>
      </c>
      <c r="H48" s="138">
        <v>28.0</v>
      </c>
      <c r="I48" s="134" t="str">
        <f t="array" ref="I48">IF((XLOOKUP($E48,'Maestro de productos 2024'!$B$189:$B$196,'Maestro de productos 2024'!$C$189:$C$196,"No encontrado",0)-H48)&lt;=0,"0",(VLOOKUP($E48,'Maestro de productos 2024'!$B$189:$C$196,2,0)-$H48))</f>
        <v>0</v>
      </c>
      <c r="J48" s="137">
        <f t="shared" si="3"/>
        <v>197.5379487</v>
      </c>
      <c r="K48" s="137">
        <f t="shared" si="4"/>
        <v>560</v>
      </c>
      <c r="L48" s="132" t="str">
        <f t="shared" si="5"/>
        <v> </v>
      </c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</row>
    <row r="49">
      <c r="A49" s="28" t="str">
        <f t="array" ref="A49">XLOOKUP($E49,'Maestro de productos 2024'!$A$3:$A$163,'Maestro de productos 2024'!$B$3:$B$163,0)</f>
        <v>ID-3826</v>
      </c>
      <c r="B49" s="133">
        <v>45548.0</v>
      </c>
      <c r="C49" s="134">
        <f t="shared" si="1"/>
        <v>2024</v>
      </c>
      <c r="D49" s="135">
        <f t="shared" si="2"/>
        <v>9</v>
      </c>
      <c r="E49" s="136" t="s">
        <v>35</v>
      </c>
      <c r="F49" s="137">
        <f t="array" ref="F49">XLOOKUP(E49,'Maestro de productos 2024'!$B$189:$B$196,'Maestro de productos 2024'!$D$189:$D$196,"No encontrado",0)</f>
        <v>20</v>
      </c>
      <c r="G49" s="137">
        <f t="array" ref="G49">XLOOKUP(E49,'Maestro de productos 2024'!$B$189:$B$196,'Maestro de productos 2024'!$E$189:$E$196,"No encontrado",0)</f>
        <v>7.103972222</v>
      </c>
      <c r="H49" s="138">
        <v>18.0</v>
      </c>
      <c r="I49" s="134" t="str">
        <f t="array" ref="I49">IF((XLOOKUP($E49,'Maestro de productos 2024'!$B$189:$B$196,'Maestro de productos 2024'!$C$189:$C$196,"No encontrado",0)-H49)&lt;=0,"0",(VLOOKUP($E49,'Maestro de productos 2024'!$B$189:$C$196,2,0)-$H49))</f>
        <v>0</v>
      </c>
      <c r="J49" s="137">
        <f t="shared" si="3"/>
        <v>127.8715</v>
      </c>
      <c r="K49" s="137">
        <f t="shared" si="4"/>
        <v>360</v>
      </c>
      <c r="L49" s="132" t="str">
        <f t="shared" si="5"/>
        <v> </v>
      </c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</row>
    <row r="50">
      <c r="A50" s="28" t="str">
        <f t="array" ref="A50">XLOOKUP($E50,'Maestro de productos 2024'!$A$3:$A$163,'Maestro de productos 2024'!$B$3:$B$163,0)</f>
        <v>ID-3828</v>
      </c>
      <c r="B50" s="133">
        <v>45553.0</v>
      </c>
      <c r="C50" s="134">
        <f t="shared" si="1"/>
        <v>2024</v>
      </c>
      <c r="D50" s="135">
        <f t="shared" si="2"/>
        <v>9</v>
      </c>
      <c r="E50" s="136" t="s">
        <v>38</v>
      </c>
      <c r="F50" s="137">
        <f t="array" ref="F50">XLOOKUP(E50,'Maestro de productos 2024'!$B$189:$B$196,'Maestro de productos 2024'!$D$189:$D$196,"No encontrado",0)</f>
        <v>20</v>
      </c>
      <c r="G50" s="137">
        <f t="array" ref="G50">XLOOKUP(E50,'Maestro de productos 2024'!$B$189:$B$196,'Maestro de productos 2024'!$E$189:$E$196,"No encontrado",0)</f>
        <v>7.301064103</v>
      </c>
      <c r="H50" s="138">
        <v>12.0</v>
      </c>
      <c r="I50" s="134" t="str">
        <f t="array" ref="I50">IF((XLOOKUP($E50,'Maestro de productos 2024'!$B$189:$B$196,'Maestro de productos 2024'!$C$189:$C$196,"No encontrado",0)-H50)&lt;=0,"0",(VLOOKUP($E50,'Maestro de productos 2024'!$B$189:$C$196,2,0)-$H50))</f>
        <v>0</v>
      </c>
      <c r="J50" s="137">
        <f t="shared" si="3"/>
        <v>87.61276923</v>
      </c>
      <c r="K50" s="137">
        <f t="shared" si="4"/>
        <v>240</v>
      </c>
      <c r="L50" s="132" t="str">
        <f t="shared" si="5"/>
        <v> </v>
      </c>
      <c r="M50" s="136"/>
      <c r="N50" s="132"/>
      <c r="O50" s="132"/>
      <c r="P50" s="132"/>
      <c r="Q50" s="132"/>
      <c r="R50" s="132"/>
      <c r="S50" s="132"/>
      <c r="T50" s="132"/>
      <c r="U50" s="132"/>
      <c r="V50" s="132"/>
      <c r="W50" s="132"/>
    </row>
    <row r="51">
      <c r="A51" s="28" t="str">
        <f t="array" ref="A51">XLOOKUP($E51,'Maestro de productos 2024'!$A$3:$A$163,'Maestro de productos 2024'!$B$3:$B$163,0)</f>
        <v>ID-3827</v>
      </c>
      <c r="B51" s="133">
        <v>45555.0</v>
      </c>
      <c r="C51" s="134">
        <f t="shared" si="1"/>
        <v>2024</v>
      </c>
      <c r="D51" s="135">
        <f t="shared" si="2"/>
        <v>9</v>
      </c>
      <c r="E51" s="136" t="s">
        <v>36</v>
      </c>
      <c r="F51" s="137">
        <f t="array" ref="F51">XLOOKUP(E51,'Maestro de productos 2024'!$B$189:$B$196,'Maestro de productos 2024'!$D$189:$D$196,"No encontrado",0)</f>
        <v>7</v>
      </c>
      <c r="G51" s="137">
        <f t="array" ref="G51">XLOOKUP(E51,'Maestro de productos 2024'!$B$189:$B$196,'Maestro de productos 2024'!$E$189:$E$196,"No encontrado",0)</f>
        <v>2.623460073</v>
      </c>
      <c r="H51" s="138">
        <v>30.0</v>
      </c>
      <c r="I51" s="144">
        <f t="array" ref="I51">IF((XLOOKUP($E51,'Maestro de productos 2024'!$B$189:$B$196,'Maestro de productos 2024'!$C$189:$C$196,"No encontrado",0)-H51)&lt;=0,"0",(VLOOKUP($E51,'Maestro de productos 2024'!$B$189:$C$196,2,0)-$H51))</f>
        <v>5</v>
      </c>
      <c r="J51" s="137">
        <f t="shared" si="3"/>
        <v>78.7038022</v>
      </c>
      <c r="K51" s="137">
        <f t="shared" si="4"/>
        <v>210</v>
      </c>
      <c r="L51" s="132">
        <f t="shared" si="5"/>
        <v>35</v>
      </c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</row>
    <row r="52">
      <c r="A52" s="28" t="str">
        <f t="array" ref="A52">XLOOKUP($E52,'Maestro de productos 2024'!$A$3:$A$163,'Maestro de productos 2024'!$B$3:$B$163,0)</f>
        <v>ID-3824</v>
      </c>
      <c r="B52" s="133">
        <v>45560.0</v>
      </c>
      <c r="C52" s="134">
        <f t="shared" si="1"/>
        <v>2024</v>
      </c>
      <c r="D52" s="135">
        <f t="shared" si="2"/>
        <v>9</v>
      </c>
      <c r="E52" s="136" t="s">
        <v>34</v>
      </c>
      <c r="F52" s="137">
        <f t="array" ref="F52">XLOOKUP(E52,'Maestro de productos 2024'!$B$189:$B$196,'Maestro de productos 2024'!$D$189:$D$196,"No encontrado",0)</f>
        <v>10</v>
      </c>
      <c r="G52" s="137">
        <f t="array" ref="G52">XLOOKUP(E52,'Maestro de productos 2024'!$B$189:$B$196,'Maestro de productos 2024'!$E$189:$E$196,"No encontrado",0)</f>
        <v>3.337551282</v>
      </c>
      <c r="H52" s="138">
        <v>32.0</v>
      </c>
      <c r="I52" s="134" t="str">
        <f t="array" ref="I52">IF((XLOOKUP($E52,'Maestro de productos 2024'!$B$189:$B$196,'Maestro de productos 2024'!$C$189:$C$196,"No encontrado",0)-H52)&lt;=0,"0",(VLOOKUP($E52,'Maestro de productos 2024'!$B$189:$C$196,2,0)-$H52))</f>
        <v>0</v>
      </c>
      <c r="J52" s="137">
        <f t="shared" si="3"/>
        <v>106.801641</v>
      </c>
      <c r="K52" s="137">
        <f t="shared" si="4"/>
        <v>320</v>
      </c>
      <c r="L52" s="132" t="str">
        <f t="shared" si="5"/>
        <v> </v>
      </c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</row>
    <row r="53">
      <c r="A53" s="28" t="str">
        <f t="array" ref="A53">XLOOKUP($E53,'Maestro de productos 2024'!$A$3:$A$163,'Maestro de productos 2024'!$B$3:$B$163,0)</f>
        <v>ID-3830</v>
      </c>
      <c r="B53" s="133">
        <v>45562.0</v>
      </c>
      <c r="C53" s="134">
        <f t="shared" si="1"/>
        <v>2024</v>
      </c>
      <c r="D53" s="135">
        <f t="shared" si="2"/>
        <v>9</v>
      </c>
      <c r="E53" s="136" t="s">
        <v>108</v>
      </c>
      <c r="F53" s="137">
        <f t="array" ref="F53">XLOOKUP(E53,'Maestro de productos 2024'!$B$189:$B$196,'Maestro de productos 2024'!$D$189:$D$196,"No encontrado",0)</f>
        <v>25</v>
      </c>
      <c r="G53" s="137">
        <f t="array" ref="G53">XLOOKUP(E53,'Maestro de productos 2024'!$B$189:$B$196,'Maestro de productos 2024'!$E$189:$E$196,"No encontrado",0)</f>
        <v>10.93666667</v>
      </c>
      <c r="H53" s="138">
        <v>15.0</v>
      </c>
      <c r="I53" s="144">
        <f t="array" ref="I53">IF((XLOOKUP($E53,'Maestro de productos 2024'!$B$189:$B$196,'Maestro de productos 2024'!$C$189:$C$196,"No encontrado",0)-H53)&lt;=0,"0",(VLOOKUP($E53,'Maestro de productos 2024'!$B$189:$C$196,2,0)-$H53))</f>
        <v>3</v>
      </c>
      <c r="J53" s="137">
        <f t="shared" si="3"/>
        <v>164.05</v>
      </c>
      <c r="K53" s="137">
        <f t="shared" si="4"/>
        <v>375</v>
      </c>
      <c r="L53" s="132">
        <f t="shared" si="5"/>
        <v>75</v>
      </c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</row>
    <row r="54">
      <c r="A54" s="28" t="str">
        <f t="array" ref="A54">XLOOKUP($E54,'Maestro de productos 2024'!$A$3:$A$163,'Maestro de productos 2024'!$B$3:$B$163,0)</f>
        <v>ID-3829</v>
      </c>
      <c r="B54" s="133">
        <v>45567.0</v>
      </c>
      <c r="C54" s="134">
        <f t="shared" si="1"/>
        <v>2024</v>
      </c>
      <c r="D54" s="135">
        <f t="shared" si="2"/>
        <v>10</v>
      </c>
      <c r="E54" s="136" t="s">
        <v>97</v>
      </c>
      <c r="F54" s="137">
        <f t="array" ref="F54">XLOOKUP(E54,'Maestro de productos 2024'!$B$189:$B$196,'Maestro de productos 2024'!$D$189:$D$196,"No encontrado",0)</f>
        <v>7</v>
      </c>
      <c r="G54" s="137">
        <f t="array" ref="G54">XLOOKUP(E54,'Maestro de productos 2024'!$B$189:$B$196,'Maestro de productos 2024'!$E$189:$E$196,"No encontrado",0)</f>
        <v>2.98984359</v>
      </c>
      <c r="H54" s="138">
        <v>48.0</v>
      </c>
      <c r="I54" s="144">
        <f t="array" ref="I54">IF((XLOOKUP($E54,'Maestro de productos 2024'!$B$189:$B$196,'Maestro de productos 2024'!$C$189:$C$196,"No encontrado",0)-H54)&lt;=0,"0",(VLOOKUP($E54,'Maestro de productos 2024'!$B$189:$C$196,2,0)-$H54))</f>
        <v>2</v>
      </c>
      <c r="J54" s="137">
        <f t="shared" si="3"/>
        <v>143.5124923</v>
      </c>
      <c r="K54" s="137">
        <f t="shared" si="4"/>
        <v>336</v>
      </c>
      <c r="L54" s="132">
        <f t="shared" si="5"/>
        <v>14</v>
      </c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</row>
    <row r="55">
      <c r="A55" s="28" t="str">
        <f t="array" ref="A55">XLOOKUP($E55,'Maestro de productos 2024'!$A$3:$A$163,'Maestro de productos 2024'!$B$3:$B$163,0)</f>
        <v>ID-3824</v>
      </c>
      <c r="B55" s="133">
        <v>45569.0</v>
      </c>
      <c r="C55" s="134">
        <f t="shared" si="1"/>
        <v>2024</v>
      </c>
      <c r="D55" s="135">
        <f t="shared" si="2"/>
        <v>10</v>
      </c>
      <c r="E55" s="136" t="s">
        <v>34</v>
      </c>
      <c r="F55" s="137">
        <f t="array" ref="F55">XLOOKUP(E55,'Maestro de productos 2024'!$B$189:$B$196,'Maestro de productos 2024'!$D$189:$D$196,"No encontrado",0)</f>
        <v>10</v>
      </c>
      <c r="G55" s="137">
        <f t="array" ref="G55">XLOOKUP(E55,'Maestro de productos 2024'!$B$189:$B$196,'Maestro de productos 2024'!$E$189:$E$196,"No encontrado",0)</f>
        <v>3.337551282</v>
      </c>
      <c r="H55" s="138">
        <v>32.0</v>
      </c>
      <c r="I55" s="134" t="str">
        <f t="array" ref="I55">IF((XLOOKUP($E55,'Maestro de productos 2024'!$B$189:$B$196,'Maestro de productos 2024'!$C$189:$C$196,"No encontrado",0)-H55)&lt;=0,"0",(VLOOKUP($E55,'Maestro de productos 2024'!$B$189:$C$196,2,0)-$H55))</f>
        <v>0</v>
      </c>
      <c r="J55" s="137">
        <f t="shared" si="3"/>
        <v>106.801641</v>
      </c>
      <c r="K55" s="137">
        <f t="shared" si="4"/>
        <v>320</v>
      </c>
      <c r="L55" s="132" t="str">
        <f t="shared" si="5"/>
        <v> </v>
      </c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</row>
    <row r="56">
      <c r="A56" s="28" t="str">
        <f t="array" ref="A56">XLOOKUP($E56,'Maestro de productos 2024'!$A$3:$A$163,'Maestro de productos 2024'!$B$3:$B$163,0)</f>
        <v>ID-3828</v>
      </c>
      <c r="B56" s="133">
        <v>45574.0</v>
      </c>
      <c r="C56" s="134">
        <f t="shared" si="1"/>
        <v>2024</v>
      </c>
      <c r="D56" s="135">
        <f t="shared" si="2"/>
        <v>10</v>
      </c>
      <c r="E56" s="136" t="s">
        <v>38</v>
      </c>
      <c r="F56" s="137">
        <f t="array" ref="F56">XLOOKUP(E56,'Maestro de productos 2024'!$B$189:$B$196,'Maestro de productos 2024'!$D$189:$D$196,"No encontrado",0)</f>
        <v>20</v>
      </c>
      <c r="G56" s="137">
        <f t="array" ref="G56">XLOOKUP(E56,'Maestro de productos 2024'!$B$189:$B$196,'Maestro de productos 2024'!$E$189:$E$196,"No encontrado",0)</f>
        <v>7.301064103</v>
      </c>
      <c r="H56" s="138">
        <v>24.0</v>
      </c>
      <c r="I56" s="134" t="str">
        <f t="array" ref="I56">IF((XLOOKUP($E56,'Maestro de productos 2024'!$B$189:$B$196,'Maestro de productos 2024'!$C$189:$C$196,"No encontrado",0)-H56)&lt;=0,"0",(VLOOKUP($E56,'Maestro de productos 2024'!$B$189:$C$196,2,0)-$H56))</f>
        <v>0</v>
      </c>
      <c r="J56" s="137">
        <f t="shared" si="3"/>
        <v>175.2255385</v>
      </c>
      <c r="K56" s="137">
        <f t="shared" si="4"/>
        <v>480</v>
      </c>
      <c r="L56" s="132" t="str">
        <f t="shared" si="5"/>
        <v> </v>
      </c>
      <c r="M56" s="136"/>
      <c r="N56" s="132"/>
      <c r="O56" s="132"/>
      <c r="P56" s="132"/>
      <c r="Q56" s="132"/>
      <c r="R56" s="132"/>
      <c r="S56" s="132"/>
      <c r="T56" s="132"/>
      <c r="U56" s="132"/>
      <c r="V56" s="132"/>
      <c r="W56" s="132"/>
    </row>
    <row r="57">
      <c r="A57" s="28" t="str">
        <f t="array" ref="A57">XLOOKUP($E57,'Maestro de productos 2024'!$A$3:$A$163,'Maestro de productos 2024'!$B$3:$B$163,0)</f>
        <v>ID-3826</v>
      </c>
      <c r="B57" s="133">
        <v>45576.0</v>
      </c>
      <c r="C57" s="134">
        <f t="shared" si="1"/>
        <v>2024</v>
      </c>
      <c r="D57" s="135">
        <f t="shared" si="2"/>
        <v>10</v>
      </c>
      <c r="E57" s="136" t="s">
        <v>35</v>
      </c>
      <c r="F57" s="137">
        <f t="array" ref="F57">XLOOKUP(E57,'Maestro de productos 2024'!$B$189:$B$196,'Maestro de productos 2024'!$D$189:$D$196,"No encontrado",0)</f>
        <v>20</v>
      </c>
      <c r="G57" s="137">
        <f t="array" ref="G57">XLOOKUP(E57,'Maestro de productos 2024'!$B$189:$B$196,'Maestro de productos 2024'!$E$189:$E$196,"No encontrado",0)</f>
        <v>7.103972222</v>
      </c>
      <c r="H57" s="138">
        <v>18.0</v>
      </c>
      <c r="I57" s="134" t="str">
        <f t="array" ref="I57">IF((XLOOKUP($E57,'Maestro de productos 2024'!$B$189:$B$196,'Maestro de productos 2024'!$C$189:$C$196,"No encontrado",0)-H57)&lt;=0,"0",(VLOOKUP($E57,'Maestro de productos 2024'!$B$189:$C$196,2,0)-$H57))</f>
        <v>0</v>
      </c>
      <c r="J57" s="137">
        <f t="shared" si="3"/>
        <v>127.8715</v>
      </c>
      <c r="K57" s="137">
        <f t="shared" si="4"/>
        <v>360</v>
      </c>
      <c r="L57" s="132" t="str">
        <f t="shared" si="5"/>
        <v> </v>
      </c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</row>
    <row r="58">
      <c r="A58" s="28" t="str">
        <f t="array" ref="A58">XLOOKUP($E58,'Maestro de productos 2024'!$A$3:$A$163,'Maestro de productos 2024'!$B$3:$B$163,0)</f>
        <v>ID-3828</v>
      </c>
      <c r="B58" s="133">
        <v>45581.0</v>
      </c>
      <c r="C58" s="134">
        <f t="shared" si="1"/>
        <v>2024</v>
      </c>
      <c r="D58" s="135">
        <f t="shared" si="2"/>
        <v>10</v>
      </c>
      <c r="E58" s="136" t="s">
        <v>38</v>
      </c>
      <c r="F58" s="137">
        <f t="array" ref="F58">XLOOKUP(E58,'Maestro de productos 2024'!$B$189:$B$196,'Maestro de productos 2024'!$D$189:$D$196,"No encontrado",0)</f>
        <v>20</v>
      </c>
      <c r="G58" s="137">
        <f t="array" ref="G58">XLOOKUP(E58,'Maestro de productos 2024'!$B$189:$B$196,'Maestro de productos 2024'!$E$189:$E$196,"No encontrado",0)</f>
        <v>7.301064103</v>
      </c>
      <c r="H58" s="138">
        <v>12.0</v>
      </c>
      <c r="I58" s="134" t="str">
        <f t="array" ref="I58">IF((XLOOKUP($E58,'Maestro de productos 2024'!$B$189:$B$196,'Maestro de productos 2024'!$C$189:$C$196,"No encontrado",0)-H58)&lt;=0,"0",(VLOOKUP($E58,'Maestro de productos 2024'!$B$189:$C$196,2,0)-$H58))</f>
        <v>0</v>
      </c>
      <c r="J58" s="137">
        <f t="shared" si="3"/>
        <v>87.61276923</v>
      </c>
      <c r="K58" s="137">
        <f t="shared" si="4"/>
        <v>240</v>
      </c>
      <c r="L58" s="132" t="str">
        <f t="shared" si="5"/>
        <v> </v>
      </c>
      <c r="M58" s="136"/>
      <c r="N58" s="132"/>
      <c r="O58" s="132"/>
      <c r="P58" s="132"/>
      <c r="Q58" s="132"/>
      <c r="R58" s="132"/>
      <c r="S58" s="132"/>
      <c r="T58" s="132"/>
      <c r="U58" s="132"/>
      <c r="V58" s="132"/>
      <c r="W58" s="132"/>
    </row>
    <row r="59">
      <c r="A59" s="28" t="str">
        <f t="array" ref="A59">XLOOKUP($E59,'Maestro de productos 2024'!$A$3:$A$163,'Maestro de productos 2024'!$B$3:$B$163,0)</f>
        <v>ID-3824</v>
      </c>
      <c r="B59" s="133">
        <v>45583.0</v>
      </c>
      <c r="C59" s="134">
        <f t="shared" si="1"/>
        <v>2024</v>
      </c>
      <c r="D59" s="135">
        <f t="shared" si="2"/>
        <v>10</v>
      </c>
      <c r="E59" s="136" t="s">
        <v>34</v>
      </c>
      <c r="F59" s="137">
        <f t="array" ref="F59">XLOOKUP(E59,'Maestro de productos 2024'!$B$189:$B$196,'Maestro de productos 2024'!$D$189:$D$196,"No encontrado",0)</f>
        <v>10</v>
      </c>
      <c r="G59" s="137">
        <f t="array" ref="G59">XLOOKUP(E59,'Maestro de productos 2024'!$B$189:$B$196,'Maestro de productos 2024'!$E$189:$E$196,"No encontrado",0)</f>
        <v>3.337551282</v>
      </c>
      <c r="H59" s="138">
        <v>32.0</v>
      </c>
      <c r="I59" s="134" t="str">
        <f t="array" ref="I59">IF((XLOOKUP($E59,'Maestro de productos 2024'!$B$189:$B$196,'Maestro de productos 2024'!$C$189:$C$196,"No encontrado",0)-H59)&lt;=0,"0",(VLOOKUP($E59,'Maestro de productos 2024'!$B$189:$C$196,2,0)-$H59))</f>
        <v>0</v>
      </c>
      <c r="J59" s="137">
        <f t="shared" si="3"/>
        <v>106.801641</v>
      </c>
      <c r="K59" s="137">
        <f t="shared" si="4"/>
        <v>320</v>
      </c>
      <c r="L59" s="132" t="str">
        <f t="shared" si="5"/>
        <v> </v>
      </c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</row>
    <row r="60">
      <c r="A60" s="28" t="str">
        <f t="array" ref="A60">XLOOKUP($E60,'Maestro de productos 2024'!$A$3:$A$163,'Maestro de productos 2024'!$B$3:$B$163,0)</f>
        <v>ID-3829</v>
      </c>
      <c r="B60" s="133">
        <v>45588.0</v>
      </c>
      <c r="C60" s="134">
        <f t="shared" si="1"/>
        <v>2024</v>
      </c>
      <c r="D60" s="135">
        <f t="shared" si="2"/>
        <v>10</v>
      </c>
      <c r="E60" s="136" t="s">
        <v>97</v>
      </c>
      <c r="F60" s="137">
        <f t="array" ref="F60">XLOOKUP(E60,'Maestro de productos 2024'!$B$189:$B$196,'Maestro de productos 2024'!$D$189:$D$196,"No encontrado",0)</f>
        <v>7</v>
      </c>
      <c r="G60" s="137">
        <f t="array" ref="G60">XLOOKUP(E60,'Maestro de productos 2024'!$B$189:$B$196,'Maestro de productos 2024'!$E$189:$E$196,"No encontrado",0)</f>
        <v>2.98984359</v>
      </c>
      <c r="H60" s="138">
        <v>48.0</v>
      </c>
      <c r="I60" s="144">
        <f t="array" ref="I60">IF((XLOOKUP($E60,'Maestro de productos 2024'!$B$189:$B$196,'Maestro de productos 2024'!$C$189:$C$196,"No encontrado",0)-H60)&lt;=0,"0",(VLOOKUP($E60,'Maestro de productos 2024'!$B$189:$C$196,2,0)-$H60))</f>
        <v>2</v>
      </c>
      <c r="J60" s="137">
        <f t="shared" si="3"/>
        <v>143.5124923</v>
      </c>
      <c r="K60" s="137">
        <f t="shared" si="4"/>
        <v>336</v>
      </c>
      <c r="L60" s="132">
        <f t="shared" si="5"/>
        <v>14</v>
      </c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</row>
    <row r="61">
      <c r="A61" s="28" t="str">
        <f t="array" ref="A61">XLOOKUP($E61,'Maestro de productos 2024'!$A$3:$A$163,'Maestro de productos 2024'!$B$3:$B$163,0)</f>
        <v>ID-3825</v>
      </c>
      <c r="B61" s="133">
        <v>45590.0</v>
      </c>
      <c r="C61" s="134">
        <f t="shared" si="1"/>
        <v>2024</v>
      </c>
      <c r="D61" s="135">
        <f t="shared" si="2"/>
        <v>10</v>
      </c>
      <c r="E61" s="136" t="s">
        <v>37</v>
      </c>
      <c r="F61" s="137">
        <f t="array" ref="F61">XLOOKUP(E61,'Maestro de productos 2024'!$B$189:$B$196,'Maestro de productos 2024'!$D$189:$D$196,"No encontrado",0)</f>
        <v>20</v>
      </c>
      <c r="G61" s="137">
        <f t="array" ref="G61">XLOOKUP(E61,'Maestro de productos 2024'!$B$189:$B$196,'Maestro de productos 2024'!$E$189:$E$196,"No encontrado",0)</f>
        <v>7.609146242</v>
      </c>
      <c r="H61" s="138">
        <v>16.0</v>
      </c>
      <c r="I61" s="134" t="str">
        <f t="array" ref="I61">IF((XLOOKUP($E61,'Maestro de productos 2024'!$B$189:$B$196,'Maestro de productos 2024'!$C$189:$C$196,"No encontrado",0)-H61)&lt;=0,"0",(VLOOKUP($E61,'Maestro de productos 2024'!$B$189:$C$196,2,0)-$H61))</f>
        <v>0</v>
      </c>
      <c r="J61" s="137">
        <f t="shared" si="3"/>
        <v>121.7463399</v>
      </c>
      <c r="K61" s="137">
        <f t="shared" si="4"/>
        <v>320</v>
      </c>
      <c r="L61" s="132" t="str">
        <f t="shared" si="5"/>
        <v> </v>
      </c>
      <c r="M61" s="136"/>
      <c r="N61" s="132"/>
      <c r="O61" s="132"/>
      <c r="P61" s="132"/>
      <c r="Q61" s="132"/>
      <c r="R61" s="132"/>
      <c r="S61" s="132"/>
      <c r="T61" s="132"/>
      <c r="U61" s="132"/>
      <c r="V61" s="132"/>
      <c r="W61" s="132"/>
    </row>
    <row r="62">
      <c r="A62" s="28" t="str">
        <f t="array" ref="A62">XLOOKUP($E62,'Maestro de productos 2024'!$A$3:$A$163,'Maestro de productos 2024'!$B$3:$B$163,0)</f>
        <v>ID-3824</v>
      </c>
      <c r="B62" s="133">
        <v>45595.0</v>
      </c>
      <c r="C62" s="134">
        <f t="shared" si="1"/>
        <v>2024</v>
      </c>
      <c r="D62" s="135">
        <f t="shared" si="2"/>
        <v>10</v>
      </c>
      <c r="E62" s="136" t="s">
        <v>34</v>
      </c>
      <c r="F62" s="137">
        <f t="array" ref="F62">XLOOKUP(E62,'Maestro de productos 2024'!$B$189:$B$196,'Maestro de productos 2024'!$D$189:$D$196,"No encontrado",0)</f>
        <v>10</v>
      </c>
      <c r="G62" s="137">
        <f t="array" ref="G62">XLOOKUP(E62,'Maestro de productos 2024'!$B$189:$B$196,'Maestro de productos 2024'!$E$189:$E$196,"No encontrado",0)</f>
        <v>3.337551282</v>
      </c>
      <c r="H62" s="138">
        <v>30.0</v>
      </c>
      <c r="I62" s="144">
        <f t="array" ref="I62">IF((XLOOKUP($E62,'Maestro de productos 2024'!$B$189:$B$196,'Maestro de productos 2024'!$C$189:$C$196,"No encontrado",0)-H62)&lt;=0,"0",(VLOOKUP($E62,'Maestro de productos 2024'!$B$189:$C$196,2,0)-$H62))</f>
        <v>2</v>
      </c>
      <c r="J62" s="137">
        <f t="shared" si="3"/>
        <v>100.1265385</v>
      </c>
      <c r="K62" s="137">
        <f t="shared" si="4"/>
        <v>300</v>
      </c>
      <c r="L62" s="132">
        <f t="shared" si="5"/>
        <v>20</v>
      </c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</row>
    <row r="63">
      <c r="A63" s="28" t="str">
        <f t="array" ref="A63">XLOOKUP($E63,'Maestro de productos 2024'!$A$3:$A$163,'Maestro de productos 2024'!$B$3:$B$163,0)</f>
        <v>ID-3828</v>
      </c>
      <c r="B63" s="133">
        <v>45597.0</v>
      </c>
      <c r="C63" s="134">
        <f t="shared" si="1"/>
        <v>2024</v>
      </c>
      <c r="D63" s="135">
        <f t="shared" si="2"/>
        <v>11</v>
      </c>
      <c r="E63" s="136" t="s">
        <v>38</v>
      </c>
      <c r="F63" s="137">
        <f t="array" ref="F63">XLOOKUP(E63,'Maestro de productos 2024'!$B$189:$B$196,'Maestro de productos 2024'!$D$189:$D$196,"No encontrado",0)</f>
        <v>20</v>
      </c>
      <c r="G63" s="137">
        <f t="array" ref="G63">XLOOKUP(E63,'Maestro de productos 2024'!$B$189:$B$196,'Maestro de productos 2024'!$E$189:$E$196,"No encontrado",0)</f>
        <v>7.301064103</v>
      </c>
      <c r="H63" s="138">
        <v>24.0</v>
      </c>
      <c r="I63" s="134" t="str">
        <f t="array" ref="I63">IF((XLOOKUP($E63,'Maestro de productos 2024'!$B$189:$B$196,'Maestro de productos 2024'!$C$189:$C$196,"No encontrado",0)-H63)&lt;=0,"0",(VLOOKUP($E63,'Maestro de productos 2024'!$B$189:$C$196,2,0)-$H63))</f>
        <v>0</v>
      </c>
      <c r="J63" s="137">
        <f t="shared" si="3"/>
        <v>175.2255385</v>
      </c>
      <c r="K63" s="137">
        <f t="shared" si="4"/>
        <v>480</v>
      </c>
      <c r="L63" s="132" t="str">
        <f t="shared" si="5"/>
        <v> </v>
      </c>
      <c r="M63" s="136"/>
      <c r="N63" s="132"/>
      <c r="O63" s="132"/>
      <c r="P63" s="132"/>
      <c r="Q63" s="132"/>
      <c r="R63" s="132"/>
      <c r="S63" s="132"/>
      <c r="T63" s="132"/>
      <c r="U63" s="132"/>
      <c r="V63" s="132"/>
      <c r="W63" s="132"/>
    </row>
    <row r="64">
      <c r="A64" s="28" t="str">
        <f t="array" ref="A64">XLOOKUP($E64,'Maestro de productos 2024'!$A$3:$A$163,'Maestro de productos 2024'!$B$3:$B$163,0)</f>
        <v>ID-3827</v>
      </c>
      <c r="B64" s="133">
        <v>45602.0</v>
      </c>
      <c r="C64" s="134">
        <f t="shared" si="1"/>
        <v>2024</v>
      </c>
      <c r="D64" s="135">
        <f t="shared" si="2"/>
        <v>11</v>
      </c>
      <c r="E64" s="136" t="s">
        <v>36</v>
      </c>
      <c r="F64" s="137">
        <f t="array" ref="F64">XLOOKUP(E64,'Maestro de productos 2024'!$B$189:$B$196,'Maestro de productos 2024'!$D$189:$D$196,"No encontrado",0)</f>
        <v>7</v>
      </c>
      <c r="G64" s="137">
        <f t="array" ref="G64">XLOOKUP(E64,'Maestro de productos 2024'!$B$189:$B$196,'Maestro de productos 2024'!$E$189:$E$196,"No encontrado",0)</f>
        <v>2.623460073</v>
      </c>
      <c r="H64" s="138">
        <v>33.0</v>
      </c>
      <c r="I64" s="144">
        <f t="array" ref="I64">IF((XLOOKUP($E64,'Maestro de productos 2024'!$B$189:$B$196,'Maestro de productos 2024'!$C$189:$C$196,"No encontrado",0)-H64)&lt;=0,"0",(VLOOKUP($E64,'Maestro de productos 2024'!$B$189:$C$196,2,0)-$H64))</f>
        <v>2</v>
      </c>
      <c r="J64" s="137">
        <f t="shared" si="3"/>
        <v>86.57418242</v>
      </c>
      <c r="K64" s="137">
        <f t="shared" si="4"/>
        <v>231</v>
      </c>
      <c r="L64" s="132">
        <f t="shared" si="5"/>
        <v>14</v>
      </c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</row>
    <row r="65">
      <c r="A65" s="28" t="str">
        <f t="array" ref="A65">XLOOKUP($E65,'Maestro de productos 2024'!$A$3:$A$163,'Maestro de productos 2024'!$B$3:$B$163,0)</f>
        <v>ID-3826</v>
      </c>
      <c r="B65" s="133">
        <v>45604.0</v>
      </c>
      <c r="C65" s="134">
        <f t="shared" si="1"/>
        <v>2024</v>
      </c>
      <c r="D65" s="135">
        <f t="shared" si="2"/>
        <v>11</v>
      </c>
      <c r="E65" s="136" t="s">
        <v>35</v>
      </c>
      <c r="F65" s="137">
        <f t="array" ref="F65">XLOOKUP(E65,'Maestro de productos 2024'!$B$189:$B$196,'Maestro de productos 2024'!$D$189:$D$196,"No encontrado",0)</f>
        <v>20</v>
      </c>
      <c r="G65" s="137">
        <f t="array" ref="G65">XLOOKUP(E65,'Maestro de productos 2024'!$B$189:$B$196,'Maestro de productos 2024'!$E$189:$E$196,"No encontrado",0)</f>
        <v>7.103972222</v>
      </c>
      <c r="H65" s="138">
        <v>18.0</v>
      </c>
      <c r="I65" s="134" t="str">
        <f t="array" ref="I65">IF((XLOOKUP($E65,'Maestro de productos 2024'!$B$189:$B$196,'Maestro de productos 2024'!$C$189:$C$196,"No encontrado",0)-H65)&lt;=0,"0",(VLOOKUP($E65,'Maestro de productos 2024'!$B$189:$C$196,2,0)-$H65))</f>
        <v>0</v>
      </c>
      <c r="J65" s="137">
        <f t="shared" si="3"/>
        <v>127.8715</v>
      </c>
      <c r="K65" s="137">
        <f t="shared" si="4"/>
        <v>360</v>
      </c>
      <c r="L65" s="132" t="str">
        <f t="shared" si="5"/>
        <v> </v>
      </c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</row>
    <row r="66">
      <c r="A66" s="28" t="str">
        <f t="array" ref="A66">XLOOKUP($E66,'Maestro de productos 2024'!$A$3:$A$163,'Maestro de productos 2024'!$B$3:$B$163,0)</f>
        <v>ID-3831</v>
      </c>
      <c r="B66" s="133">
        <v>45609.0</v>
      </c>
      <c r="C66" s="134">
        <f t="shared" si="1"/>
        <v>2024</v>
      </c>
      <c r="D66" s="135">
        <f t="shared" si="2"/>
        <v>11</v>
      </c>
      <c r="E66" s="136" t="s">
        <v>109</v>
      </c>
      <c r="F66" s="137">
        <f t="array" ref="F66">XLOOKUP(E66,'Maestro de productos 2024'!$B$189:$B$196,'Maestro de productos 2024'!$D$189:$D$196,"No encontrado",0)</f>
        <v>20</v>
      </c>
      <c r="G66" s="137">
        <f t="array" ref="G66">XLOOKUP(E66,'Maestro de productos 2024'!$B$189:$B$196,'Maestro de productos 2024'!$E$189:$E$196,"No encontrado",0)</f>
        <v>7.05492674</v>
      </c>
      <c r="H66" s="138">
        <v>14.0</v>
      </c>
      <c r="I66" s="134" t="str">
        <f t="array" ref="I66">IF((XLOOKUP($E66,'Maestro de productos 2024'!$B$189:$B$196,'Maestro de productos 2024'!$C$189:$C$196,"No encontrado",0)-H66)&lt;=0,"0",(VLOOKUP($E66,'Maestro de productos 2024'!$B$189:$C$196,2,0)-$H66))</f>
        <v>0</v>
      </c>
      <c r="J66" s="137">
        <f t="shared" si="3"/>
        <v>98.76897436</v>
      </c>
      <c r="K66" s="137">
        <f t="shared" si="4"/>
        <v>280</v>
      </c>
      <c r="L66" s="132" t="str">
        <f t="shared" si="5"/>
        <v> </v>
      </c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</row>
    <row r="67">
      <c r="A67" s="28" t="str">
        <f t="array" ref="A67">XLOOKUP($E67,'Maestro de productos 2024'!$A$3:$A$163,'Maestro de productos 2024'!$B$3:$B$163,0)</f>
        <v>ID-3828</v>
      </c>
      <c r="B67" s="133">
        <v>45611.0</v>
      </c>
      <c r="C67" s="134">
        <f t="shared" si="1"/>
        <v>2024</v>
      </c>
      <c r="D67" s="135">
        <f t="shared" si="2"/>
        <v>11</v>
      </c>
      <c r="E67" s="136" t="s">
        <v>38</v>
      </c>
      <c r="F67" s="137">
        <f t="array" ref="F67">XLOOKUP(E67,'Maestro de productos 2024'!$B$189:$B$196,'Maestro de productos 2024'!$D$189:$D$196,"No encontrado",0)</f>
        <v>20</v>
      </c>
      <c r="G67" s="137">
        <f t="array" ref="G67">XLOOKUP(E67,'Maestro de productos 2024'!$B$189:$B$196,'Maestro de productos 2024'!$E$189:$E$196,"No encontrado",0)</f>
        <v>7.301064103</v>
      </c>
      <c r="H67" s="138">
        <v>24.0</v>
      </c>
      <c r="I67" s="134" t="str">
        <f t="array" ref="I67">IF((XLOOKUP($E67,'Maestro de productos 2024'!$B$189:$B$196,'Maestro de productos 2024'!$C$189:$C$196,"No encontrado",0)-H67)&lt;=0,"0",(VLOOKUP($E67,'Maestro de productos 2024'!$B$189:$C$196,2,0)-$H67))</f>
        <v>0</v>
      </c>
      <c r="J67" s="137">
        <f t="shared" si="3"/>
        <v>175.2255385</v>
      </c>
      <c r="K67" s="137">
        <f t="shared" si="4"/>
        <v>480</v>
      </c>
      <c r="L67" s="132" t="str">
        <f t="shared" si="5"/>
        <v> </v>
      </c>
      <c r="M67" s="136"/>
      <c r="N67" s="132"/>
      <c r="O67" s="132"/>
      <c r="P67" s="132"/>
      <c r="Q67" s="132"/>
      <c r="R67" s="132"/>
      <c r="S67" s="132"/>
      <c r="T67" s="132"/>
      <c r="U67" s="132"/>
      <c r="V67" s="132"/>
      <c r="W67" s="132"/>
    </row>
    <row r="68">
      <c r="A68" s="28" t="str">
        <f t="array" ref="A68">XLOOKUP($E68,'Maestro de productos 2024'!$A$3:$A$163,'Maestro de productos 2024'!$B$3:$B$163,0)</f>
        <v>ID-3824</v>
      </c>
      <c r="B68" s="133">
        <v>45616.0</v>
      </c>
      <c r="C68" s="134">
        <f t="shared" si="1"/>
        <v>2024</v>
      </c>
      <c r="D68" s="135">
        <f t="shared" si="2"/>
        <v>11</v>
      </c>
      <c r="E68" s="136" t="s">
        <v>34</v>
      </c>
      <c r="F68" s="137">
        <f t="array" ref="F68">XLOOKUP(E68,'Maestro de productos 2024'!$B$189:$B$196,'Maestro de productos 2024'!$D$189:$D$196,"No encontrado",0)</f>
        <v>10</v>
      </c>
      <c r="G68" s="137">
        <f t="array" ref="G68">XLOOKUP(E68,'Maestro de productos 2024'!$B$189:$B$196,'Maestro de productos 2024'!$E$189:$E$196,"No encontrado",0)</f>
        <v>3.337551282</v>
      </c>
      <c r="H68" s="138">
        <v>32.0</v>
      </c>
      <c r="I68" s="134" t="str">
        <f t="array" ref="I68">IF((XLOOKUP($E68,'Maestro de productos 2024'!$B$189:$B$196,'Maestro de productos 2024'!$C$189:$C$196,"No encontrado",0)-H68)&lt;=0,"0",(VLOOKUP($E68,'Maestro de productos 2024'!$B$189:$C$196,2,0)-$H68))</f>
        <v>0</v>
      </c>
      <c r="J68" s="137">
        <f t="shared" si="3"/>
        <v>106.801641</v>
      </c>
      <c r="K68" s="137">
        <f t="shared" si="4"/>
        <v>320</v>
      </c>
      <c r="L68" s="132" t="str">
        <f t="shared" si="5"/>
        <v> </v>
      </c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</row>
    <row r="69">
      <c r="A69" s="28" t="str">
        <f t="array" ref="A69">XLOOKUP($E69,'Maestro de productos 2024'!$A$3:$A$163,'Maestro de productos 2024'!$B$3:$B$163,0)</f>
        <v>ID-3830</v>
      </c>
      <c r="B69" s="133">
        <v>45618.0</v>
      </c>
      <c r="C69" s="134">
        <f t="shared" si="1"/>
        <v>2024</v>
      </c>
      <c r="D69" s="135">
        <f t="shared" si="2"/>
        <v>11</v>
      </c>
      <c r="E69" s="136" t="s">
        <v>108</v>
      </c>
      <c r="F69" s="137">
        <f t="array" ref="F69">XLOOKUP(E69,'Maestro de productos 2024'!$B$189:$B$196,'Maestro de productos 2024'!$D$189:$D$196,"No encontrado",0)</f>
        <v>25</v>
      </c>
      <c r="G69" s="137">
        <f t="array" ref="G69">XLOOKUP(E69,'Maestro de productos 2024'!$B$189:$B$196,'Maestro de productos 2024'!$E$189:$E$196,"No encontrado",0)</f>
        <v>10.93666667</v>
      </c>
      <c r="H69" s="138">
        <v>18.0</v>
      </c>
      <c r="I69" s="134" t="str">
        <f t="array" ref="I69">IF((XLOOKUP($E69,'Maestro de productos 2024'!$B$189:$B$196,'Maestro de productos 2024'!$C$189:$C$196,"No encontrado",0)-H69)&lt;=0,"0",(VLOOKUP($E69,'Maestro de productos 2024'!$B$189:$C$196,2,0)-$H69))</f>
        <v>0</v>
      </c>
      <c r="J69" s="137">
        <f t="shared" si="3"/>
        <v>196.86</v>
      </c>
      <c r="K69" s="137">
        <f t="shared" si="4"/>
        <v>450</v>
      </c>
      <c r="L69" s="132" t="str">
        <f t="shared" si="5"/>
        <v> </v>
      </c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</row>
    <row r="70">
      <c r="A70" s="28" t="str">
        <f t="array" ref="A70">XLOOKUP($E70,'Maestro de productos 2024'!$A$3:$A$163,'Maestro de productos 2024'!$B$3:$B$163,0)</f>
        <v>ID-3828</v>
      </c>
      <c r="B70" s="133">
        <v>45623.0</v>
      </c>
      <c r="C70" s="134">
        <f t="shared" si="1"/>
        <v>2024</v>
      </c>
      <c r="D70" s="135">
        <f t="shared" si="2"/>
        <v>11</v>
      </c>
      <c r="E70" s="136" t="s">
        <v>38</v>
      </c>
      <c r="F70" s="137">
        <f t="array" ref="F70">XLOOKUP(E70,'Maestro de productos 2024'!$B$189:$B$196,'Maestro de productos 2024'!$D$189:$D$196,"No encontrado",0)</f>
        <v>20</v>
      </c>
      <c r="G70" s="137">
        <f t="array" ref="G70">XLOOKUP(E70,'Maestro de productos 2024'!$B$189:$B$196,'Maestro de productos 2024'!$E$189:$E$196,"No encontrado",0)</f>
        <v>7.301064103</v>
      </c>
      <c r="H70" s="138">
        <v>12.0</v>
      </c>
      <c r="I70" s="134" t="str">
        <f t="array" ref="I70">IF((XLOOKUP($E70,'Maestro de productos 2024'!$B$189:$B$196,'Maestro de productos 2024'!$C$189:$C$196,"No encontrado",0)-H70)&lt;=0,"0",(VLOOKUP($E70,'Maestro de productos 2024'!$B$189:$C$196,2,0)-$H70))</f>
        <v>0</v>
      </c>
      <c r="J70" s="137">
        <f t="shared" si="3"/>
        <v>87.61276923</v>
      </c>
      <c r="K70" s="137">
        <f t="shared" si="4"/>
        <v>240</v>
      </c>
      <c r="L70" s="132" t="str">
        <f t="shared" si="5"/>
        <v> </v>
      </c>
      <c r="M70" s="136"/>
      <c r="N70" s="132"/>
      <c r="O70" s="132"/>
      <c r="P70" s="132"/>
      <c r="Q70" s="132"/>
      <c r="R70" s="132"/>
      <c r="S70" s="132"/>
      <c r="T70" s="132"/>
      <c r="U70" s="132"/>
      <c r="V70" s="132"/>
      <c r="W70" s="132"/>
    </row>
    <row r="71">
      <c r="A71" s="28" t="str">
        <f t="array" ref="A71">XLOOKUP($E71,'Maestro de productos 2024'!$A$3:$A$163,'Maestro de productos 2024'!$B$3:$B$163,0)</f>
        <v>ID-3825</v>
      </c>
      <c r="B71" s="133">
        <v>45625.0</v>
      </c>
      <c r="C71" s="134">
        <f t="shared" si="1"/>
        <v>2024</v>
      </c>
      <c r="D71" s="135">
        <f t="shared" si="2"/>
        <v>11</v>
      </c>
      <c r="E71" s="136" t="s">
        <v>37</v>
      </c>
      <c r="F71" s="137">
        <f t="array" ref="F71">XLOOKUP(E71,'Maestro de productos 2024'!$B$189:$B$196,'Maestro de productos 2024'!$D$189:$D$196,"No encontrado",0)</f>
        <v>20</v>
      </c>
      <c r="G71" s="137">
        <f t="array" ref="G71">XLOOKUP(E71,'Maestro de productos 2024'!$B$189:$B$196,'Maestro de productos 2024'!$E$189:$E$196,"No encontrado",0)</f>
        <v>7.609146242</v>
      </c>
      <c r="H71" s="138">
        <v>15.0</v>
      </c>
      <c r="I71" s="144">
        <f t="array" ref="I71">IF((XLOOKUP($E71,'Maestro de productos 2024'!$B$189:$B$196,'Maestro de productos 2024'!$C$189:$C$196,"No encontrado",0)-H71)&lt;=0,"0",(VLOOKUP($E71,'Maestro de productos 2024'!$B$189:$C$196,2,0)-$H71))</f>
        <v>1</v>
      </c>
      <c r="J71" s="137">
        <f t="shared" si="3"/>
        <v>114.1371936</v>
      </c>
      <c r="K71" s="137">
        <f t="shared" si="4"/>
        <v>300</v>
      </c>
      <c r="L71" s="132">
        <f t="shared" si="5"/>
        <v>20</v>
      </c>
      <c r="M71" s="136"/>
      <c r="N71" s="132"/>
      <c r="O71" s="132"/>
      <c r="P71" s="132"/>
      <c r="Q71" s="132"/>
      <c r="R71" s="132"/>
      <c r="S71" s="132"/>
      <c r="T71" s="132"/>
      <c r="U71" s="132"/>
      <c r="V71" s="132"/>
      <c r="W71" s="132"/>
    </row>
    <row r="72">
      <c r="A72" s="28" t="str">
        <f t="array" ref="A72">XLOOKUP($E72,'Maestro de productos 2024'!$A$3:$A$163,'Maestro de productos 2024'!$B$3:$B$163,0)</f>
        <v>ID-3829</v>
      </c>
      <c r="B72" s="133">
        <v>45630.0</v>
      </c>
      <c r="C72" s="134">
        <f t="shared" si="1"/>
        <v>2024</v>
      </c>
      <c r="D72" s="135">
        <f t="shared" si="2"/>
        <v>12</v>
      </c>
      <c r="E72" s="136" t="s">
        <v>97</v>
      </c>
      <c r="F72" s="137">
        <f t="array" ref="F72">XLOOKUP(E72,'Maestro de productos 2024'!$B$189:$B$196,'Maestro de productos 2024'!$D$189:$D$196,"No encontrado",0)</f>
        <v>7</v>
      </c>
      <c r="G72" s="137">
        <f t="array" ref="G72">XLOOKUP(E72,'Maestro de productos 2024'!$B$189:$B$196,'Maestro de productos 2024'!$E$189:$E$196,"No encontrado",0)</f>
        <v>2.98984359</v>
      </c>
      <c r="H72" s="138">
        <v>43.0</v>
      </c>
      <c r="I72" s="144">
        <f t="array" ref="I72">IF((XLOOKUP($E72,'Maestro de productos 2024'!$B$189:$B$196,'Maestro de productos 2024'!$C$189:$C$196,"No encontrado",0)-H72)&lt;=0,"0",(VLOOKUP($E72,'Maestro de productos 2024'!$B$189:$C$196,2,0)-$H72))</f>
        <v>7</v>
      </c>
      <c r="J72" s="137">
        <f t="shared" si="3"/>
        <v>128.5632744</v>
      </c>
      <c r="K72" s="137">
        <f t="shared" si="4"/>
        <v>301</v>
      </c>
      <c r="L72" s="132">
        <f t="shared" si="5"/>
        <v>49</v>
      </c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</row>
    <row r="73">
      <c r="A73" s="28" t="str">
        <f t="array" ref="A73">XLOOKUP($E73,'Maestro de productos 2024'!$A$3:$A$163,'Maestro de productos 2024'!$B$3:$B$163,0)</f>
        <v>ID-3824</v>
      </c>
      <c r="B73" s="133">
        <v>45632.0</v>
      </c>
      <c r="C73" s="134">
        <f t="shared" si="1"/>
        <v>2024</v>
      </c>
      <c r="D73" s="135">
        <f t="shared" si="2"/>
        <v>12</v>
      </c>
      <c r="E73" s="136" t="s">
        <v>34</v>
      </c>
      <c r="F73" s="137">
        <f t="array" ref="F73">XLOOKUP(E73,'Maestro de productos 2024'!$B$189:$B$196,'Maestro de productos 2024'!$D$189:$D$196,"No encontrado",0)</f>
        <v>10</v>
      </c>
      <c r="G73" s="137">
        <f t="array" ref="G73">XLOOKUP(E73,'Maestro de productos 2024'!$B$189:$B$196,'Maestro de productos 2024'!$E$189:$E$196,"No encontrado",0)</f>
        <v>3.337551282</v>
      </c>
      <c r="H73" s="138">
        <v>32.0</v>
      </c>
      <c r="I73" s="134" t="str">
        <f t="array" ref="I73">IF((XLOOKUP($E73,'Maestro de productos 2024'!$B$189:$B$196,'Maestro de productos 2024'!$C$189:$C$196,"No encontrado",0)-H73)&lt;=0,"0",(VLOOKUP($E73,'Maestro de productos 2024'!$B$189:$C$196,2,0)-$H73))</f>
        <v>0</v>
      </c>
      <c r="J73" s="137">
        <f t="shared" si="3"/>
        <v>106.801641</v>
      </c>
      <c r="K73" s="137">
        <f t="shared" si="4"/>
        <v>320</v>
      </c>
      <c r="L73" s="132" t="str">
        <f t="shared" si="5"/>
        <v> </v>
      </c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</row>
    <row r="74">
      <c r="A74" s="28" t="str">
        <f t="array" ref="A74">XLOOKUP($E74,'Maestro de productos 2024'!$A$3:$A$163,'Maestro de productos 2024'!$B$3:$B$163,0)</f>
        <v>ID-3826</v>
      </c>
      <c r="B74" s="133">
        <v>45637.0</v>
      </c>
      <c r="C74" s="134">
        <f t="shared" si="1"/>
        <v>2024</v>
      </c>
      <c r="D74" s="135">
        <f t="shared" si="2"/>
        <v>12</v>
      </c>
      <c r="E74" s="136" t="s">
        <v>35</v>
      </c>
      <c r="F74" s="137">
        <f t="array" ref="F74">XLOOKUP(E74,'Maestro de productos 2024'!$B$189:$B$196,'Maestro de productos 2024'!$D$189:$D$196,"No encontrado",0)</f>
        <v>20</v>
      </c>
      <c r="G74" s="137">
        <f t="array" ref="G74">XLOOKUP(E74,'Maestro de productos 2024'!$B$189:$B$196,'Maestro de productos 2024'!$E$189:$E$196,"No encontrado",0)</f>
        <v>7.103972222</v>
      </c>
      <c r="H74" s="138">
        <v>18.0</v>
      </c>
      <c r="I74" s="134" t="str">
        <f t="array" ref="I74">IF((XLOOKUP($E74,'Maestro de productos 2024'!$B$189:$B$196,'Maestro de productos 2024'!$C$189:$C$196,"No encontrado",0)-H74)&lt;=0,"0",(VLOOKUP($E74,'Maestro de productos 2024'!$B$189:$C$196,2,0)-$H74))</f>
        <v>0</v>
      </c>
      <c r="J74" s="137">
        <f t="shared" si="3"/>
        <v>127.8715</v>
      </c>
      <c r="K74" s="137">
        <f t="shared" si="4"/>
        <v>360</v>
      </c>
      <c r="L74" s="132" t="str">
        <f t="shared" si="5"/>
        <v> </v>
      </c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</row>
    <row r="75">
      <c r="A75" s="28" t="str">
        <f t="array" ref="A75">XLOOKUP($E75,'Maestro de productos 2024'!$A$3:$A$163,'Maestro de productos 2024'!$B$3:$B$163,0)</f>
        <v>ID-3829</v>
      </c>
      <c r="B75" s="133">
        <v>45639.0</v>
      </c>
      <c r="C75" s="134">
        <f t="shared" si="1"/>
        <v>2024</v>
      </c>
      <c r="D75" s="135">
        <f t="shared" si="2"/>
        <v>12</v>
      </c>
      <c r="E75" s="136" t="s">
        <v>97</v>
      </c>
      <c r="F75" s="137">
        <f t="array" ref="F75">XLOOKUP(E75,'Maestro de productos 2024'!$B$189:$B$196,'Maestro de productos 2024'!$D$189:$D$196,"No encontrado",0)</f>
        <v>7</v>
      </c>
      <c r="G75" s="137">
        <f t="array" ref="G75">XLOOKUP(E75,'Maestro de productos 2024'!$B$189:$B$196,'Maestro de productos 2024'!$E$189:$E$196,"No encontrado",0)</f>
        <v>2.98984359</v>
      </c>
      <c r="H75" s="138">
        <v>50.0</v>
      </c>
      <c r="I75" s="134" t="str">
        <f t="array" ref="I75">IF((XLOOKUP($E75,'Maestro de productos 2024'!$B$189:$B$196,'Maestro de productos 2024'!$C$189:$C$196,"No encontrado",0)-H75)&lt;=0,"0",(VLOOKUP($E75,'Maestro de productos 2024'!$B$189:$C$196,2,0)-$H75))</f>
        <v>0</v>
      </c>
      <c r="J75" s="137">
        <f t="shared" si="3"/>
        <v>149.4921795</v>
      </c>
      <c r="K75" s="137">
        <f t="shared" si="4"/>
        <v>350</v>
      </c>
      <c r="L75" s="132" t="str">
        <f t="shared" si="5"/>
        <v> </v>
      </c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</row>
    <row r="76">
      <c r="A76" s="28" t="str">
        <f t="array" ref="A76">XLOOKUP($E76,'Maestro de productos 2024'!$A$3:$A$163,'Maestro de productos 2024'!$B$3:$B$163,0)</f>
        <v>ID-3828</v>
      </c>
      <c r="B76" s="133">
        <v>45644.0</v>
      </c>
      <c r="C76" s="134">
        <f t="shared" si="1"/>
        <v>2024</v>
      </c>
      <c r="D76" s="135">
        <f t="shared" si="2"/>
        <v>12</v>
      </c>
      <c r="E76" s="136" t="s">
        <v>38</v>
      </c>
      <c r="F76" s="137">
        <f t="array" ref="F76">XLOOKUP(E76,'Maestro de productos 2024'!$B$189:$B$196,'Maestro de productos 2024'!$D$189:$D$196,"No encontrado",0)</f>
        <v>20</v>
      </c>
      <c r="G76" s="137">
        <f t="array" ref="G76">XLOOKUP(E76,'Maestro de productos 2024'!$B$189:$B$196,'Maestro de productos 2024'!$E$189:$E$196,"No encontrado",0)</f>
        <v>7.301064103</v>
      </c>
      <c r="H76" s="138">
        <v>24.0</v>
      </c>
      <c r="I76" s="134" t="str">
        <f t="array" ref="I76">IF((XLOOKUP($E76,'Maestro de productos 2024'!$B$189:$B$196,'Maestro de productos 2024'!$C$189:$C$196,"No encontrado",0)-H76)&lt;=0,"0",(VLOOKUP($E76,'Maestro de productos 2024'!$B$189:$C$196,2,0)-$H76))</f>
        <v>0</v>
      </c>
      <c r="J76" s="137">
        <f t="shared" si="3"/>
        <v>175.2255385</v>
      </c>
      <c r="K76" s="137">
        <f t="shared" si="4"/>
        <v>480</v>
      </c>
      <c r="L76" s="132" t="str">
        <f t="shared" si="5"/>
        <v> </v>
      </c>
      <c r="M76" s="136"/>
      <c r="N76" s="132"/>
      <c r="O76" s="132"/>
      <c r="P76" s="132"/>
      <c r="Q76" s="132"/>
      <c r="R76" s="132"/>
      <c r="S76" s="132"/>
      <c r="T76" s="132"/>
      <c r="U76" s="132"/>
      <c r="V76" s="132"/>
      <c r="W76" s="132"/>
    </row>
    <row r="77">
      <c r="A77" s="28" t="str">
        <f t="array" ref="A77">XLOOKUP($E77,'Maestro de productos 2024'!$A$3:$A$163,'Maestro de productos 2024'!$B$3:$B$163,0)</f>
        <v>ID-3830</v>
      </c>
      <c r="B77" s="133">
        <v>45646.0</v>
      </c>
      <c r="C77" s="134">
        <f t="shared" si="1"/>
        <v>2024</v>
      </c>
      <c r="D77" s="135">
        <f t="shared" si="2"/>
        <v>12</v>
      </c>
      <c r="E77" s="136" t="s">
        <v>108</v>
      </c>
      <c r="F77" s="137">
        <f t="array" ref="F77">XLOOKUP(E77,'Maestro de productos 2024'!$B$189:$B$196,'Maestro de productos 2024'!$D$189:$D$196,"No encontrado",0)</f>
        <v>25</v>
      </c>
      <c r="G77" s="137">
        <f t="array" ref="G77">XLOOKUP(E77,'Maestro de productos 2024'!$B$189:$B$196,'Maestro de productos 2024'!$E$189:$E$196,"No encontrado",0)</f>
        <v>10.93666667</v>
      </c>
      <c r="H77" s="138">
        <v>16.0</v>
      </c>
      <c r="I77" s="144">
        <f t="array" ref="I77">IF((XLOOKUP($E77,'Maestro de productos 2024'!$B$189:$B$196,'Maestro de productos 2024'!$C$189:$C$196,"No encontrado",0)-H77)&lt;=0,"0",(VLOOKUP($E77,'Maestro de productos 2024'!$B$189:$C$196,2,0)-$H77))</f>
        <v>2</v>
      </c>
      <c r="J77" s="137">
        <f t="shared" si="3"/>
        <v>174.9866667</v>
      </c>
      <c r="K77" s="137">
        <f t="shared" si="4"/>
        <v>400</v>
      </c>
      <c r="L77" s="132">
        <f t="shared" si="5"/>
        <v>50</v>
      </c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</row>
    <row r="78">
      <c r="A78" s="28" t="str">
        <f t="array" ref="A78">XLOOKUP($E78,'Maestro de productos 2024'!$A$3:$A$163,'Maestro de productos 2024'!$B$3:$B$163,0)</f>
        <v>ID-3825</v>
      </c>
      <c r="B78" s="133">
        <v>45653.0</v>
      </c>
      <c r="C78" s="134">
        <f t="shared" si="1"/>
        <v>2024</v>
      </c>
      <c r="D78" s="135">
        <f t="shared" si="2"/>
        <v>12</v>
      </c>
      <c r="E78" s="136" t="s">
        <v>37</v>
      </c>
      <c r="F78" s="137">
        <f t="array" ref="F78">XLOOKUP(E78,'Maestro de productos 2024'!$B$189:$B$196,'Maestro de productos 2024'!$D$189:$D$196,"No encontrado",0)</f>
        <v>20</v>
      </c>
      <c r="G78" s="137">
        <f t="array" ref="G78">XLOOKUP(E78,'Maestro de productos 2024'!$B$189:$B$196,'Maestro de productos 2024'!$E$189:$E$196,"No encontrado",0)</f>
        <v>7.609146242</v>
      </c>
      <c r="H78" s="138">
        <v>16.0</v>
      </c>
      <c r="I78" s="134" t="str">
        <f t="array" ref="I78">IF((XLOOKUP($E78,'Maestro de productos 2024'!$B$189:$B$196,'Maestro de productos 2024'!$C$189:$C$196,"No encontrado",0)-H78)&lt;=0,"0",(VLOOKUP($E78,'Maestro de productos 2024'!$B$189:$C$196,2,0)-$H78))</f>
        <v>0</v>
      </c>
      <c r="J78" s="137">
        <f t="shared" si="3"/>
        <v>121.7463399</v>
      </c>
      <c r="K78" s="137">
        <f t="shared" si="4"/>
        <v>320</v>
      </c>
      <c r="L78" s="132" t="str">
        <f t="shared" si="5"/>
        <v> </v>
      </c>
      <c r="M78" s="136"/>
      <c r="N78" s="132"/>
      <c r="O78" s="132"/>
      <c r="P78" s="132"/>
      <c r="Q78" s="132"/>
      <c r="R78" s="132"/>
      <c r="S78" s="132"/>
      <c r="T78" s="132"/>
      <c r="U78" s="132"/>
      <c r="V78" s="132"/>
      <c r="W78" s="132"/>
    </row>
    <row r="79">
      <c r="A79" s="127" t="s">
        <v>0</v>
      </c>
      <c r="B79" s="128" t="s">
        <v>103</v>
      </c>
      <c r="C79" s="23" t="s">
        <v>104</v>
      </c>
      <c r="D79" s="23" t="s">
        <v>105</v>
      </c>
      <c r="E79" s="23" t="s">
        <v>1</v>
      </c>
      <c r="F79" s="130" t="s">
        <v>2</v>
      </c>
      <c r="G79" s="130" t="s">
        <v>3</v>
      </c>
      <c r="H79" s="23" t="s">
        <v>29</v>
      </c>
      <c r="I79" s="131" t="s">
        <v>106</v>
      </c>
      <c r="J79" s="130" t="s">
        <v>5</v>
      </c>
      <c r="K79" s="130" t="s">
        <v>7</v>
      </c>
      <c r="L79" s="23" t="s">
        <v>107</v>
      </c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</row>
    <row r="80">
      <c r="A80" s="28" t="str">
        <f t="array" ref="A80">XLOOKUP($E80,'Maestro de productos 2024'!$A$3:$A$163,'Maestro de productos 2024'!$B$3:$B$163,0)</f>
        <v>ID-3828</v>
      </c>
      <c r="B80" s="158">
        <v>45660.0</v>
      </c>
      <c r="C80" s="134">
        <f t="shared" ref="C80:C162" si="6">YEAR(B80)</f>
        <v>2025</v>
      </c>
      <c r="D80" s="135">
        <f t="shared" ref="D80:D162" si="7">MONTH(B80)</f>
        <v>1</v>
      </c>
      <c r="E80" s="136" t="s">
        <v>38</v>
      </c>
      <c r="F80" s="137">
        <f t="array" ref="F80">XLOOKUP(E80,'Maestro de productos 2025'!$B$189:$B$196,'Maestro de productos 2025'!$D$189:$D$196,"No encontrado",0)</f>
        <v>21</v>
      </c>
      <c r="G80" s="137">
        <f t="array" ref="G80">XLOOKUP(E80,'Maestro de productos 2025'!$B$189:$B$196,'Maestro de productos 2025'!$E$189:$E$196,"No encontrado",0)</f>
        <v>8.35935114</v>
      </c>
      <c r="H80" s="138">
        <v>24.0</v>
      </c>
      <c r="I80" s="134" t="str">
        <f t="array" ref="I80">IF((XLOOKUP($E80,'Maestro de productos 2025'!$B$189:$B$196,'Maestro de productos 2025'!$C$189:$C$196,"No encontrado",0)-H80)&lt;=0,"0",(VLOOKUP($E80,'Maestro de productos 2025'!$B$189:$C$196,2,0)-$H80))</f>
        <v>0</v>
      </c>
      <c r="J80" s="137">
        <f t="shared" ref="J80:J162" si="8">($H80*$G80)</f>
        <v>200.6244274</v>
      </c>
      <c r="K80" s="137">
        <f t="shared" ref="K80:K162" si="9">$F80*$H80</f>
        <v>504</v>
      </c>
      <c r="L80" s="132" t="str">
        <f t="shared" ref="L80:L162" si="10">IF((F80*I80)=0," ",(F80*I80))</f>
        <v> </v>
      </c>
      <c r="M80" s="136"/>
      <c r="N80" s="132"/>
      <c r="O80" s="132"/>
      <c r="P80" s="132"/>
      <c r="Q80" s="132"/>
      <c r="R80" s="132"/>
      <c r="S80" s="132"/>
      <c r="T80" s="132"/>
      <c r="U80" s="132"/>
      <c r="V80" s="132"/>
      <c r="W80" s="132"/>
    </row>
    <row r="81">
      <c r="A81" s="28" t="str">
        <f t="array" ref="A81">XLOOKUP($E81,'Maestro de productos 2024'!$A$3:$A$163,'Maestro de productos 2024'!$B$3:$B$163,0)</f>
        <v>ID-3831</v>
      </c>
      <c r="B81" s="133">
        <v>45665.0</v>
      </c>
      <c r="C81" s="134">
        <f t="shared" si="6"/>
        <v>2025</v>
      </c>
      <c r="D81" s="135">
        <f t="shared" si="7"/>
        <v>1</v>
      </c>
      <c r="E81" s="136" t="s">
        <v>109</v>
      </c>
      <c r="F81" s="137">
        <f t="array" ref="F81">XLOOKUP(E81,'Maestro de productos 2025'!$B$189:$B$196,'Maestro de productos 2025'!$D$189:$D$196,"No encontrado",0)</f>
        <v>20</v>
      </c>
      <c r="G81" s="137">
        <f t="array" ref="G81">XLOOKUP(E81,'Maestro de productos 2025'!$B$189:$B$196,'Maestro de productos 2025'!$E$189:$E$196,"No encontrado",0)</f>
        <v>7.889760073</v>
      </c>
      <c r="H81" s="138">
        <v>14.0</v>
      </c>
      <c r="I81" s="134" t="str">
        <f t="array" ref="I81">IF((XLOOKUP($E81,'Maestro de productos 2025'!$B$189:$B$196,'Maestro de productos 2025'!$C$189:$C$196,"No encontrado",0)-H81)&lt;=0,"0",(VLOOKUP($E81,'Maestro de productos 2025'!$B$189:$C$196,2,0)-$H81))</f>
        <v>0</v>
      </c>
      <c r="J81" s="137">
        <f t="shared" si="8"/>
        <v>110.456641</v>
      </c>
      <c r="K81" s="137">
        <f t="shared" si="9"/>
        <v>280</v>
      </c>
      <c r="L81" s="132" t="str">
        <f t="shared" si="10"/>
        <v> </v>
      </c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</row>
    <row r="82">
      <c r="A82" s="28" t="str">
        <f t="array" ref="A82">XLOOKUP($E82,'Maestro de productos 2024'!$A$3:$A$163,'Maestro de productos 2024'!$B$3:$B$163,0)</f>
        <v>ID-3825</v>
      </c>
      <c r="B82" s="133">
        <v>45667.0</v>
      </c>
      <c r="C82" s="134">
        <f t="shared" si="6"/>
        <v>2025</v>
      </c>
      <c r="D82" s="135">
        <f t="shared" si="7"/>
        <v>1</v>
      </c>
      <c r="E82" s="136" t="s">
        <v>37</v>
      </c>
      <c r="F82" s="137">
        <f t="array" ref="F82">XLOOKUP(E82,'Maestro de productos 2025'!$B$189:$B$196,'Maestro de productos 2025'!$D$189:$D$196,"No encontrado",0)</f>
        <v>25</v>
      </c>
      <c r="G82" s="137">
        <f t="array" ref="G82">XLOOKUP(E82,'Maestro de productos 2025'!$B$189:$B$196,'Maestro de productos 2025'!$E$189:$E$196,"No encontrado",0)</f>
        <v>10.26450643</v>
      </c>
      <c r="H82" s="138">
        <v>16.0</v>
      </c>
      <c r="I82" s="134" t="str">
        <f t="array" ref="I82">IF((XLOOKUP($E82,'Maestro de productos 2025'!$B$189:$B$196,'Maestro de productos 2025'!$C$189:$C$196,"No encontrado",0)-H82)&lt;=0,"0",(VLOOKUP($E82,'Maestro de productos 2025'!$B$189:$C$196,2,0)-$H82))</f>
        <v>0</v>
      </c>
      <c r="J82" s="137">
        <f t="shared" si="8"/>
        <v>164.2321029</v>
      </c>
      <c r="K82" s="137">
        <f t="shared" si="9"/>
        <v>400</v>
      </c>
      <c r="L82" s="132" t="str">
        <f t="shared" si="10"/>
        <v> </v>
      </c>
      <c r="M82" s="136"/>
      <c r="N82" s="132"/>
      <c r="O82" s="132"/>
      <c r="P82" s="132"/>
      <c r="Q82" s="132"/>
      <c r="R82" s="132"/>
      <c r="S82" s="132"/>
      <c r="T82" s="132"/>
      <c r="U82" s="132"/>
      <c r="V82" s="132"/>
      <c r="W82" s="132"/>
    </row>
    <row r="83">
      <c r="A83" s="28" t="str">
        <f t="array" ref="A83">XLOOKUP($E83,'Maestro de productos 2024'!$A$3:$A$163,'Maestro de productos 2024'!$B$3:$B$163,0)</f>
        <v>ID-3824</v>
      </c>
      <c r="B83" s="133">
        <v>45672.0</v>
      </c>
      <c r="C83" s="134">
        <f t="shared" si="6"/>
        <v>2025</v>
      </c>
      <c r="D83" s="135">
        <f t="shared" si="7"/>
        <v>1</v>
      </c>
      <c r="E83" s="136" t="s">
        <v>34</v>
      </c>
      <c r="F83" s="137">
        <f t="array" ref="F83">XLOOKUP(E83,'Maestro de productos 2025'!$B$189:$B$196,'Maestro de productos 2025'!$D$189:$D$196,"No encontrado",0)</f>
        <v>10</v>
      </c>
      <c r="G83" s="137">
        <f t="array" ref="G83">XLOOKUP(E83,'Maestro de productos 2025'!$B$189:$B$196,'Maestro de productos 2025'!$E$189:$E$196,"No encontrado",0)</f>
        <v>4.07174399</v>
      </c>
      <c r="H83" s="138">
        <v>25.0</v>
      </c>
      <c r="I83" s="159">
        <f t="array" ref="I83">IF((XLOOKUP($E83,'Maestro de productos 2025'!$B$189:$B$196,'Maestro de productos 2025'!$C$189:$C$196,"No encontrado",0)-H83)&lt;=0,"0",(VLOOKUP($E83,'Maestro de productos 2025'!$B$189:$C$196,2,0)-$H83))</f>
        <v>7</v>
      </c>
      <c r="J83" s="137">
        <f t="shared" si="8"/>
        <v>101.7935998</v>
      </c>
      <c r="K83" s="137">
        <f t="shared" si="9"/>
        <v>250</v>
      </c>
      <c r="L83" s="132">
        <f t="shared" si="10"/>
        <v>70</v>
      </c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</row>
    <row r="84">
      <c r="A84" s="28" t="str">
        <f t="array" ref="A84">XLOOKUP($E84,'Maestro de productos 2024'!$A$3:$A$163,'Maestro de productos 2024'!$B$3:$B$163,0)</f>
        <v>ID-3829</v>
      </c>
      <c r="B84" s="133">
        <v>45674.0</v>
      </c>
      <c r="C84" s="134">
        <f t="shared" si="6"/>
        <v>2025</v>
      </c>
      <c r="D84" s="135">
        <f t="shared" si="7"/>
        <v>1</v>
      </c>
      <c r="E84" s="136" t="s">
        <v>97</v>
      </c>
      <c r="F84" s="137">
        <f t="array" ref="F84">XLOOKUP(E84,'Maestro de productos 2025'!$B$189:$B$196,'Maestro de productos 2025'!$D$189:$D$196,"No encontrado",0)</f>
        <v>9</v>
      </c>
      <c r="G84" s="137">
        <f t="array" ref="G84">XLOOKUP(E84,'Maestro de productos 2025'!$B$189:$B$196,'Maestro de productos 2025'!$E$189:$E$196,"No encontrado",0)</f>
        <v>3.61086859</v>
      </c>
      <c r="H84" s="138">
        <v>45.0</v>
      </c>
      <c r="I84" s="159">
        <f t="array" ref="I84">IF((XLOOKUP($E84,'Maestro de productos 2025'!$B$189:$B$196,'Maestro de productos 2025'!$C$189:$C$196,"No encontrado",0)-H84)&lt;=0,"0",(VLOOKUP($E84,'Maestro de productos 2025'!$B$189:$C$196,2,0)-$H84))</f>
        <v>5</v>
      </c>
      <c r="J84" s="137">
        <f t="shared" si="8"/>
        <v>162.4890865</v>
      </c>
      <c r="K84" s="137">
        <f t="shared" si="9"/>
        <v>405</v>
      </c>
      <c r="L84" s="132">
        <f t="shared" si="10"/>
        <v>45</v>
      </c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</row>
    <row r="85">
      <c r="A85" s="28" t="str">
        <f t="array" ref="A85">XLOOKUP($E85,'Maestro de productos 2024'!$A$3:$A$163,'Maestro de productos 2024'!$B$3:$B$163,0)</f>
        <v>ID-3828</v>
      </c>
      <c r="B85" s="133">
        <v>45679.0</v>
      </c>
      <c r="C85" s="134">
        <f t="shared" si="6"/>
        <v>2025</v>
      </c>
      <c r="D85" s="135">
        <f t="shared" si="7"/>
        <v>1</v>
      </c>
      <c r="E85" s="136" t="s">
        <v>38</v>
      </c>
      <c r="F85" s="137">
        <f t="array" ref="F85">XLOOKUP(E85,'Maestro de productos 2025'!$B$189:$B$196,'Maestro de productos 2025'!$D$189:$D$196,"No encontrado",0)</f>
        <v>21</v>
      </c>
      <c r="G85" s="137">
        <f t="array" ref="G85">XLOOKUP(E85,'Maestro de productos 2025'!$B$189:$B$196,'Maestro de productos 2025'!$E$189:$E$196,"No encontrado",0)</f>
        <v>8.35935114</v>
      </c>
      <c r="H85" s="138">
        <v>12.0</v>
      </c>
      <c r="I85" s="134" t="str">
        <f t="array" ref="I85">IF((XLOOKUP($E85,'Maestro de productos 2025'!$B$189:$B$196,'Maestro de productos 2025'!$C$189:$C$196,"No encontrado",0)-H85)&lt;=0,"0",(VLOOKUP($E85,'Maestro de productos 2025'!$B$189:$C$196,2,0)-$H85))</f>
        <v>0</v>
      </c>
      <c r="J85" s="137">
        <f t="shared" si="8"/>
        <v>100.3122137</v>
      </c>
      <c r="K85" s="137">
        <f t="shared" si="9"/>
        <v>252</v>
      </c>
      <c r="L85" s="132" t="str">
        <f t="shared" si="10"/>
        <v> </v>
      </c>
      <c r="M85" s="136"/>
      <c r="N85" s="132"/>
      <c r="O85" s="132"/>
      <c r="P85" s="132"/>
      <c r="Q85" s="132"/>
      <c r="R85" s="132"/>
      <c r="S85" s="132"/>
      <c r="T85" s="132"/>
      <c r="U85" s="132"/>
      <c r="V85" s="132"/>
      <c r="W85" s="132"/>
    </row>
    <row r="86">
      <c r="A86" s="28" t="str">
        <f t="array" ref="A86">XLOOKUP($E86,'Maestro de productos 2024'!$A$3:$A$163,'Maestro de productos 2024'!$B$3:$B$163,0)</f>
        <v>ID-3827</v>
      </c>
      <c r="B86" s="133">
        <v>45681.0</v>
      </c>
      <c r="C86" s="134">
        <f t="shared" si="6"/>
        <v>2025</v>
      </c>
      <c r="D86" s="135">
        <f t="shared" si="7"/>
        <v>1</v>
      </c>
      <c r="E86" s="136" t="s">
        <v>36</v>
      </c>
      <c r="F86" s="137">
        <f t="array" ref="F86">XLOOKUP(E86,'Maestro de productos 2025'!$B$189:$B$196,'Maestro de productos 2025'!$D$189:$D$196,"No encontrado",0)</f>
        <v>7</v>
      </c>
      <c r="G86" s="137">
        <f t="array" ref="G86">XLOOKUP(E86,'Maestro de productos 2025'!$B$189:$B$196,'Maestro de productos 2025'!$E$189:$E$196,"No encontrado",0)</f>
        <v>3.1117795</v>
      </c>
      <c r="H86" s="138">
        <v>31.0</v>
      </c>
      <c r="I86" s="159">
        <f t="array" ref="I86">IF((XLOOKUP($E86,'Maestro de productos 2025'!$B$189:$B$196,'Maestro de productos 2025'!$C$189:$C$196,"No encontrado",0)-H86)&lt;=0,"0",(VLOOKUP($E86,'Maestro de productos 2025'!$B$189:$C$196,2,0)-$H86))</f>
        <v>4</v>
      </c>
      <c r="J86" s="137">
        <f t="shared" si="8"/>
        <v>96.46516451</v>
      </c>
      <c r="K86" s="137">
        <f t="shared" si="9"/>
        <v>217</v>
      </c>
      <c r="L86" s="132">
        <f t="shared" si="10"/>
        <v>28</v>
      </c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</row>
    <row r="87">
      <c r="A87" s="28" t="str">
        <f t="array" ref="A87">XLOOKUP($E87,'Maestro de productos 2024'!$A$3:$A$163,'Maestro de productos 2024'!$B$3:$B$163,0)</f>
        <v>ID-3830</v>
      </c>
      <c r="B87" s="133">
        <v>45686.0</v>
      </c>
      <c r="C87" s="134">
        <f t="shared" si="6"/>
        <v>2025</v>
      </c>
      <c r="D87" s="135">
        <f t="shared" si="7"/>
        <v>1</v>
      </c>
      <c r="E87" s="136" t="s">
        <v>108</v>
      </c>
      <c r="F87" s="137">
        <f t="array" ref="F87">XLOOKUP(E87,'Maestro de productos 2025'!$B$189:$B$196,'Maestro de productos 2025'!$D$189:$D$196,"No encontrado",0)</f>
        <v>29</v>
      </c>
      <c r="G87" s="137">
        <f t="array" ref="G87">XLOOKUP(E87,'Maestro de productos 2025'!$B$189:$B$196,'Maestro de productos 2025'!$E$189:$E$196,"No encontrado",0)</f>
        <v>11.936875</v>
      </c>
      <c r="H87" s="138">
        <v>18.0</v>
      </c>
      <c r="I87" s="134" t="str">
        <f t="array" ref="I87">IF((XLOOKUP($E87,'Maestro de productos 2025'!$B$189:$B$196,'Maestro de productos 2025'!$C$189:$C$196,"No encontrado",0)-H87)&lt;=0,"0",(VLOOKUP($E87,'Maestro de productos 2025'!$B$189:$C$196,2,0)-$H87))</f>
        <v>0</v>
      </c>
      <c r="J87" s="137">
        <f t="shared" si="8"/>
        <v>214.86375</v>
      </c>
      <c r="K87" s="137">
        <f t="shared" si="9"/>
        <v>522</v>
      </c>
      <c r="L87" s="132" t="str">
        <f t="shared" si="10"/>
        <v> </v>
      </c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</row>
    <row r="88">
      <c r="A88" s="28" t="str">
        <f t="array" ref="A88">XLOOKUP($E88,'Maestro de productos 2024'!$A$3:$A$163,'Maestro de productos 2024'!$B$3:$B$163,0)</f>
        <v>ID-3826</v>
      </c>
      <c r="B88" s="133">
        <v>45688.0</v>
      </c>
      <c r="C88" s="134">
        <f t="shared" si="6"/>
        <v>2025</v>
      </c>
      <c r="D88" s="135">
        <f t="shared" si="7"/>
        <v>1</v>
      </c>
      <c r="E88" s="136" t="s">
        <v>35</v>
      </c>
      <c r="F88" s="137">
        <f t="array" ref="F88">XLOOKUP(E88,'Maestro de productos 2025'!$B$189:$B$196,'Maestro de productos 2025'!$D$189:$D$196,"No encontrado",0)</f>
        <v>20</v>
      </c>
      <c r="G88" s="137">
        <f t="array" ref="G88">XLOOKUP(E88,'Maestro de productos 2025'!$B$189:$B$196,'Maestro de productos 2025'!$E$189:$E$196,"No encontrado",0)</f>
        <v>8.073123457</v>
      </c>
      <c r="H88" s="138">
        <v>18.0</v>
      </c>
      <c r="I88" s="134" t="str">
        <f t="array" ref="I88">IF((XLOOKUP($E88,'Maestro de productos 2025'!$B$189:$B$196,'Maestro de productos 2025'!$C$189:$C$196,"No encontrado",0)-H88)&lt;=0,"0",(VLOOKUP($E88,'Maestro de productos 2025'!$B$189:$C$196,2,0)-$H88))</f>
        <v>0</v>
      </c>
      <c r="J88" s="137">
        <f t="shared" si="8"/>
        <v>145.3162222</v>
      </c>
      <c r="K88" s="137">
        <f t="shared" si="9"/>
        <v>360</v>
      </c>
      <c r="L88" s="132" t="str">
        <f t="shared" si="10"/>
        <v> </v>
      </c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</row>
    <row r="89">
      <c r="A89" s="28" t="str">
        <f t="array" ref="A89">XLOOKUP($E89,'Maestro de productos 2024'!$A$3:$A$163,'Maestro de productos 2024'!$B$3:$B$163,0)</f>
        <v>ID-3824</v>
      </c>
      <c r="B89" s="133">
        <v>45693.0</v>
      </c>
      <c r="C89" s="134">
        <f t="shared" si="6"/>
        <v>2025</v>
      </c>
      <c r="D89" s="135">
        <f t="shared" si="7"/>
        <v>2</v>
      </c>
      <c r="E89" s="136" t="s">
        <v>34</v>
      </c>
      <c r="F89" s="137">
        <f t="array" ref="F89">XLOOKUP(E89,'Maestro de productos 2025'!$B$189:$B$196,'Maestro de productos 2025'!$D$189:$D$196,"No encontrado",0)</f>
        <v>10</v>
      </c>
      <c r="G89" s="137">
        <f t="array" ref="G89">XLOOKUP(E89,'Maestro de productos 2025'!$B$189:$B$196,'Maestro de productos 2025'!$E$189:$E$196,"No encontrado",0)</f>
        <v>4.07174399</v>
      </c>
      <c r="H89" s="138">
        <v>32.0</v>
      </c>
      <c r="I89" s="134" t="str">
        <f t="array" ref="I89">IF((XLOOKUP($E89,'Maestro de productos 2025'!$B$189:$B$196,'Maestro de productos 2025'!$C$189:$C$196,"No encontrado",0)-H89)&lt;=0,"0",(VLOOKUP($E89,'Maestro de productos 2025'!$B$189:$C$196,2,0)-$H89))</f>
        <v>0</v>
      </c>
      <c r="J89" s="137">
        <f t="shared" si="8"/>
        <v>130.2958077</v>
      </c>
      <c r="K89" s="137">
        <f t="shared" si="9"/>
        <v>320</v>
      </c>
      <c r="L89" s="132" t="str">
        <f t="shared" si="10"/>
        <v> </v>
      </c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</row>
    <row r="90">
      <c r="A90" s="28" t="str">
        <f t="array" ref="A90">XLOOKUP($E90,'Maestro de productos 2024'!$A$3:$A$163,'Maestro de productos 2024'!$B$3:$B$163,0)</f>
        <v>ID-3828</v>
      </c>
      <c r="B90" s="133">
        <v>45695.0</v>
      </c>
      <c r="C90" s="134">
        <f t="shared" si="6"/>
        <v>2025</v>
      </c>
      <c r="D90" s="135">
        <f t="shared" si="7"/>
        <v>2</v>
      </c>
      <c r="E90" s="136" t="s">
        <v>38</v>
      </c>
      <c r="F90" s="137">
        <f t="array" ref="F90">XLOOKUP(E90,'Maestro de productos 2025'!$B$189:$B$196,'Maestro de productos 2025'!$D$189:$D$196,"No encontrado",0)</f>
        <v>21</v>
      </c>
      <c r="G90" s="137">
        <f t="array" ref="G90">XLOOKUP(E90,'Maestro de productos 2025'!$B$189:$B$196,'Maestro de productos 2025'!$E$189:$E$196,"No encontrado",0)</f>
        <v>8.35935114</v>
      </c>
      <c r="H90" s="138">
        <v>24.0</v>
      </c>
      <c r="I90" s="134" t="str">
        <f t="array" ref="I90">IF((XLOOKUP($E90,'Maestro de productos 2025'!$B$189:$B$196,'Maestro de productos 2025'!$C$189:$C$196,"No encontrado",0)-H90)&lt;=0,"0",(VLOOKUP($E90,'Maestro de productos 2025'!$B$189:$C$196,2,0)-$H90))</f>
        <v>0</v>
      </c>
      <c r="J90" s="137">
        <f t="shared" si="8"/>
        <v>200.6244274</v>
      </c>
      <c r="K90" s="137">
        <f t="shared" si="9"/>
        <v>504</v>
      </c>
      <c r="L90" s="132" t="str">
        <f t="shared" si="10"/>
        <v> </v>
      </c>
      <c r="M90" s="136"/>
      <c r="N90" s="132"/>
      <c r="O90" s="132"/>
      <c r="P90" s="132"/>
      <c r="Q90" s="132"/>
      <c r="R90" s="132"/>
      <c r="S90" s="132"/>
      <c r="T90" s="132"/>
      <c r="U90" s="132"/>
      <c r="V90" s="132"/>
      <c r="W90" s="132"/>
    </row>
    <row r="91">
      <c r="A91" s="28" t="str">
        <f t="array" ref="A91">XLOOKUP($E91,'Maestro de productos 2024'!$A$3:$A$163,'Maestro de productos 2024'!$B$3:$B$163,0)</f>
        <v>ID-3828</v>
      </c>
      <c r="B91" s="133">
        <v>45700.0</v>
      </c>
      <c r="C91" s="134">
        <f t="shared" si="6"/>
        <v>2025</v>
      </c>
      <c r="D91" s="135">
        <f t="shared" si="7"/>
        <v>2</v>
      </c>
      <c r="E91" s="136" t="s">
        <v>38</v>
      </c>
      <c r="F91" s="137">
        <f t="array" ref="F91">XLOOKUP(E91,'Maestro de productos 2025'!$B$189:$B$196,'Maestro de productos 2025'!$D$189:$D$196,"No encontrado",0)</f>
        <v>21</v>
      </c>
      <c r="G91" s="137">
        <f t="array" ref="G91">XLOOKUP(E91,'Maestro de productos 2025'!$B$189:$B$196,'Maestro de productos 2025'!$E$189:$E$196,"No encontrado",0)</f>
        <v>8.35935114</v>
      </c>
      <c r="H91" s="138">
        <v>12.0</v>
      </c>
      <c r="I91" s="134" t="str">
        <f t="array" ref="I91">IF((XLOOKUP($E91,'Maestro de productos 2025'!$B$189:$B$196,'Maestro de productos 2025'!$C$189:$C$196,"No encontrado",0)-H91)&lt;=0,"0",(VLOOKUP($E91,'Maestro de productos 2025'!$B$189:$C$196,2,0)-$H91))</f>
        <v>0</v>
      </c>
      <c r="J91" s="137">
        <f t="shared" si="8"/>
        <v>100.3122137</v>
      </c>
      <c r="K91" s="137">
        <f t="shared" si="9"/>
        <v>252</v>
      </c>
      <c r="L91" s="132" t="str">
        <f t="shared" si="10"/>
        <v> </v>
      </c>
      <c r="M91" s="136"/>
      <c r="N91" s="132"/>
      <c r="O91" s="132"/>
      <c r="P91" s="132"/>
      <c r="Q91" s="132"/>
      <c r="R91" s="132"/>
      <c r="S91" s="132"/>
      <c r="T91" s="132"/>
      <c r="U91" s="132"/>
      <c r="V91" s="132"/>
      <c r="W91" s="132"/>
    </row>
    <row r="92">
      <c r="A92" s="28" t="str">
        <f t="array" ref="A92">XLOOKUP($E92,'Maestro de productos 2024'!$A$3:$A$163,'Maestro de productos 2024'!$B$3:$B$163,0)</f>
        <v>ID-3827</v>
      </c>
      <c r="B92" s="133">
        <v>45702.0</v>
      </c>
      <c r="C92" s="134">
        <f t="shared" si="6"/>
        <v>2025</v>
      </c>
      <c r="D92" s="135">
        <f t="shared" si="7"/>
        <v>2</v>
      </c>
      <c r="E92" s="136" t="s">
        <v>36</v>
      </c>
      <c r="F92" s="137">
        <f t="array" ref="F92">XLOOKUP(E92,'Maestro de productos 2025'!$B$189:$B$196,'Maestro de productos 2025'!$D$189:$D$196,"No encontrado",0)</f>
        <v>7</v>
      </c>
      <c r="G92" s="137">
        <f t="array" ref="G92">XLOOKUP(E92,'Maestro de productos 2025'!$B$189:$B$196,'Maestro de productos 2025'!$E$189:$E$196,"No encontrado",0)</f>
        <v>3.1117795</v>
      </c>
      <c r="H92" s="138">
        <v>32.0</v>
      </c>
      <c r="I92" s="159">
        <f t="array" ref="I92">IF((XLOOKUP($E92,'Maestro de productos 2025'!$B$189:$B$196,'Maestro de productos 2025'!$C$189:$C$196,"No encontrado",0)-H92)&lt;=0,"0",(VLOOKUP($E92,'Maestro de productos 2025'!$B$189:$C$196,2,0)-$H92))</f>
        <v>3</v>
      </c>
      <c r="J92" s="137">
        <f t="shared" si="8"/>
        <v>99.57694401</v>
      </c>
      <c r="K92" s="137">
        <f t="shared" si="9"/>
        <v>224</v>
      </c>
      <c r="L92" s="132">
        <f t="shared" si="10"/>
        <v>21</v>
      </c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</row>
    <row r="93">
      <c r="A93" s="28" t="str">
        <f t="array" ref="A93">XLOOKUP($E93,'Maestro de productos 2024'!$A$3:$A$163,'Maestro de productos 2024'!$B$3:$B$163,0)</f>
        <v>ID-3824</v>
      </c>
      <c r="B93" s="133">
        <v>45707.0</v>
      </c>
      <c r="C93" s="134">
        <f t="shared" si="6"/>
        <v>2025</v>
      </c>
      <c r="D93" s="135">
        <f t="shared" si="7"/>
        <v>2</v>
      </c>
      <c r="E93" s="136" t="s">
        <v>34</v>
      </c>
      <c r="F93" s="137">
        <f t="array" ref="F93">XLOOKUP(E93,'Maestro de productos 2025'!$B$189:$B$196,'Maestro de productos 2025'!$D$189:$D$196,"No encontrado",0)</f>
        <v>10</v>
      </c>
      <c r="G93" s="137">
        <f t="array" ref="G93">XLOOKUP(E93,'Maestro de productos 2025'!$B$189:$B$196,'Maestro de productos 2025'!$E$189:$E$196,"No encontrado",0)</f>
        <v>4.07174399</v>
      </c>
      <c r="H93" s="138">
        <v>30.0</v>
      </c>
      <c r="I93" s="159">
        <f t="array" ref="I93">IF((XLOOKUP($E93,'Maestro de productos 2025'!$B$189:$B$196,'Maestro de productos 2025'!$C$189:$C$196,"No encontrado",0)-H93)&lt;=0,"0",(VLOOKUP($E93,'Maestro de productos 2025'!$B$189:$C$196,2,0)-$H93))</f>
        <v>2</v>
      </c>
      <c r="J93" s="137">
        <f t="shared" si="8"/>
        <v>122.1523197</v>
      </c>
      <c r="K93" s="137">
        <f t="shared" si="9"/>
        <v>300</v>
      </c>
      <c r="L93" s="132">
        <f t="shared" si="10"/>
        <v>20</v>
      </c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</row>
    <row r="94">
      <c r="A94" s="28" t="str">
        <f t="array" ref="A94">XLOOKUP($E94,'Maestro de productos 2024'!$A$3:$A$163,'Maestro de productos 2024'!$B$3:$B$163,0)</f>
        <v>ID-3829</v>
      </c>
      <c r="B94" s="133">
        <v>45709.0</v>
      </c>
      <c r="C94" s="134">
        <f t="shared" si="6"/>
        <v>2025</v>
      </c>
      <c r="D94" s="135">
        <f t="shared" si="7"/>
        <v>2</v>
      </c>
      <c r="E94" s="136" t="s">
        <v>97</v>
      </c>
      <c r="F94" s="137">
        <f t="array" ref="F94">XLOOKUP(E94,'Maestro de productos 2025'!$B$189:$B$196,'Maestro de productos 2025'!$D$189:$D$196,"No encontrado",0)</f>
        <v>9</v>
      </c>
      <c r="G94" s="137">
        <f t="array" ref="G94">XLOOKUP(E94,'Maestro de productos 2025'!$B$189:$B$196,'Maestro de productos 2025'!$E$189:$E$196,"No encontrado",0)</f>
        <v>3.61086859</v>
      </c>
      <c r="H94" s="138">
        <v>35.0</v>
      </c>
      <c r="I94" s="159">
        <f t="array" ref="I94">IF((XLOOKUP($E94,'Maestro de productos 2025'!$B$189:$B$196,'Maestro de productos 2025'!$C$189:$C$196,"No encontrado",0)-H94)&lt;=0,"0",(VLOOKUP($E94,'Maestro de productos 2025'!$B$189:$C$196,2,0)-$H94))</f>
        <v>15</v>
      </c>
      <c r="J94" s="137">
        <f t="shared" si="8"/>
        <v>126.3804006</v>
      </c>
      <c r="K94" s="137">
        <f t="shared" si="9"/>
        <v>315</v>
      </c>
      <c r="L94" s="132">
        <f t="shared" si="10"/>
        <v>135</v>
      </c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</row>
    <row r="95">
      <c r="A95" s="28" t="str">
        <f t="array" ref="A95">XLOOKUP($E95,'Maestro de productos 2024'!$A$3:$A$163,'Maestro de productos 2024'!$B$3:$B$163,0)</f>
        <v>ID-3825</v>
      </c>
      <c r="B95" s="133">
        <v>45714.0</v>
      </c>
      <c r="C95" s="134">
        <f t="shared" si="6"/>
        <v>2025</v>
      </c>
      <c r="D95" s="135">
        <f t="shared" si="7"/>
        <v>2</v>
      </c>
      <c r="E95" s="136" t="s">
        <v>37</v>
      </c>
      <c r="F95" s="137">
        <f t="array" ref="F95">XLOOKUP(E95,'Maestro de productos 2025'!$B$189:$B$196,'Maestro de productos 2025'!$D$189:$D$196,"No encontrado",0)</f>
        <v>25</v>
      </c>
      <c r="G95" s="137">
        <f t="array" ref="G95">XLOOKUP(E95,'Maestro de productos 2025'!$B$189:$B$196,'Maestro de productos 2025'!$E$189:$E$196,"No encontrado",0)</f>
        <v>10.26450643</v>
      </c>
      <c r="H95" s="138">
        <v>16.0</v>
      </c>
      <c r="I95" s="134" t="str">
        <f t="array" ref="I95">IF((XLOOKUP($E95,'Maestro de productos 2025'!$B$189:$B$196,'Maestro de productos 2025'!$C$189:$C$196,"No encontrado",0)-H95)&lt;=0,"0",(VLOOKUP($E95,'Maestro de productos 2025'!$B$189:$C$196,2,0)-$H95))</f>
        <v>0</v>
      </c>
      <c r="J95" s="137">
        <f t="shared" si="8"/>
        <v>164.2321029</v>
      </c>
      <c r="K95" s="137">
        <f t="shared" si="9"/>
        <v>400</v>
      </c>
      <c r="L95" s="132" t="str">
        <f t="shared" si="10"/>
        <v> </v>
      </c>
      <c r="M95" s="136"/>
      <c r="N95" s="132"/>
      <c r="O95" s="132"/>
      <c r="P95" s="132"/>
      <c r="Q95" s="132"/>
      <c r="R95" s="132"/>
      <c r="S95" s="132"/>
      <c r="T95" s="132"/>
      <c r="U95" s="132"/>
      <c r="V95" s="132"/>
      <c r="W95" s="132"/>
    </row>
    <row r="96">
      <c r="A96" s="28" t="str">
        <f t="array" ref="A96">XLOOKUP($E96,'Maestro de productos 2024'!$A$3:$A$163,'Maestro de productos 2024'!$B$3:$B$163,0)</f>
        <v>ID-3824</v>
      </c>
      <c r="B96" s="133">
        <v>45716.0</v>
      </c>
      <c r="C96" s="134">
        <f t="shared" si="6"/>
        <v>2025</v>
      </c>
      <c r="D96" s="135">
        <f t="shared" si="7"/>
        <v>2</v>
      </c>
      <c r="E96" s="136" t="s">
        <v>34</v>
      </c>
      <c r="F96" s="137">
        <f t="array" ref="F96">XLOOKUP(E96,'Maestro de productos 2025'!$B$189:$B$196,'Maestro de productos 2025'!$D$189:$D$196,"No encontrado",0)</f>
        <v>10</v>
      </c>
      <c r="G96" s="137">
        <f t="array" ref="G96">XLOOKUP(E96,'Maestro de productos 2025'!$B$189:$B$196,'Maestro de productos 2025'!$E$189:$E$196,"No encontrado",0)</f>
        <v>4.07174399</v>
      </c>
      <c r="H96" s="138">
        <v>32.0</v>
      </c>
      <c r="I96" s="134" t="str">
        <f t="array" ref="I96">IF((XLOOKUP($E96,'Maestro de productos 2025'!$B$189:$B$196,'Maestro de productos 2025'!$C$189:$C$196,"No encontrado",0)-H96)&lt;=0,"0",(VLOOKUP($E96,'Maestro de productos 2025'!$B$189:$C$196,2,0)-$H96))</f>
        <v>0</v>
      </c>
      <c r="J96" s="137">
        <f t="shared" si="8"/>
        <v>130.2958077</v>
      </c>
      <c r="K96" s="137">
        <f t="shared" si="9"/>
        <v>320</v>
      </c>
      <c r="L96" s="132" t="str">
        <f t="shared" si="10"/>
        <v> </v>
      </c>
      <c r="M96" s="132"/>
      <c r="N96" s="171">
        <f>SUM(I83+I93+I99+I104+I108+I111+I119+I132+I142+I147+I161)</f>
        <v>29</v>
      </c>
      <c r="O96" s="132"/>
      <c r="P96" s="132"/>
      <c r="Q96" s="132"/>
      <c r="R96" s="132"/>
      <c r="S96" s="132"/>
      <c r="T96" s="132"/>
      <c r="U96" s="132"/>
      <c r="V96" s="132"/>
      <c r="W96" s="132"/>
    </row>
    <row r="97">
      <c r="A97" s="28" t="str">
        <f t="array" ref="A97">XLOOKUP($E97,'Maestro de productos 2024'!$A$3:$A$163,'Maestro de productos 2024'!$B$3:$B$163,0)</f>
        <v>ID-3828</v>
      </c>
      <c r="B97" s="133">
        <v>45721.0</v>
      </c>
      <c r="C97" s="134">
        <f t="shared" si="6"/>
        <v>2025</v>
      </c>
      <c r="D97" s="135">
        <f t="shared" si="7"/>
        <v>3</v>
      </c>
      <c r="E97" s="136" t="s">
        <v>38</v>
      </c>
      <c r="F97" s="137">
        <f t="array" ref="F97">XLOOKUP(E97,'Maestro de productos 2025'!$B$189:$B$196,'Maestro de productos 2025'!$D$189:$D$196,"No encontrado",0)</f>
        <v>21</v>
      </c>
      <c r="G97" s="137">
        <f t="array" ref="G97">XLOOKUP(E97,'Maestro de productos 2025'!$B$189:$B$196,'Maestro de productos 2025'!$E$189:$E$196,"No encontrado",0)</f>
        <v>8.35935114</v>
      </c>
      <c r="H97" s="138">
        <v>24.0</v>
      </c>
      <c r="I97" s="134" t="str">
        <f t="array" ref="I97">IF((XLOOKUP($E97,'Maestro de productos 2025'!$B$189:$B$196,'Maestro de productos 2025'!$C$189:$C$196,"No encontrado",0)-H97)&lt;=0,"0",(VLOOKUP($E97,'Maestro de productos 2025'!$B$189:$C$196,2,0)-$H97))</f>
        <v>0</v>
      </c>
      <c r="J97" s="137">
        <f t="shared" si="8"/>
        <v>200.6244274</v>
      </c>
      <c r="K97" s="137">
        <f t="shared" si="9"/>
        <v>504</v>
      </c>
      <c r="L97" s="132" t="str">
        <f t="shared" si="10"/>
        <v> </v>
      </c>
      <c r="M97" s="136"/>
      <c r="N97" s="132"/>
      <c r="O97" s="132"/>
      <c r="P97" s="132"/>
      <c r="Q97" s="132"/>
      <c r="R97" s="132"/>
      <c r="S97" s="132"/>
      <c r="T97" s="132"/>
      <c r="U97" s="132"/>
      <c r="V97" s="132"/>
      <c r="W97" s="132"/>
    </row>
    <row r="98">
      <c r="A98" s="28" t="str">
        <f t="array" ref="A98">XLOOKUP($E98,'Maestro de productos 2024'!$A$3:$A$163,'Maestro de productos 2024'!$B$3:$B$163,0)</f>
        <v>ID-3831</v>
      </c>
      <c r="B98" s="133">
        <v>45723.0</v>
      </c>
      <c r="C98" s="134">
        <f t="shared" si="6"/>
        <v>2025</v>
      </c>
      <c r="D98" s="135">
        <f t="shared" si="7"/>
        <v>3</v>
      </c>
      <c r="E98" s="136" t="s">
        <v>109</v>
      </c>
      <c r="F98" s="137">
        <f t="array" ref="F98">XLOOKUP(E98,'Maestro de productos 2025'!$B$189:$B$196,'Maestro de productos 2025'!$D$189:$D$196,"No encontrado",0)</f>
        <v>20</v>
      </c>
      <c r="G98" s="137">
        <f t="array" ref="G98">XLOOKUP(E98,'Maestro de productos 2025'!$B$189:$B$196,'Maestro de productos 2025'!$E$189:$E$196,"No encontrado",0)</f>
        <v>7.889760073</v>
      </c>
      <c r="H98" s="138">
        <v>12.0</v>
      </c>
      <c r="I98" s="159">
        <f t="array" ref="I98">IF((XLOOKUP($E98,'Maestro de productos 2025'!$B$189:$B$196,'Maestro de productos 2025'!$C$189:$C$196,"No encontrado",0)-H98)&lt;=0,"0",(VLOOKUP($E98,'Maestro de productos 2025'!$B$189:$C$196,2,0)-$H98))</f>
        <v>2</v>
      </c>
      <c r="J98" s="137">
        <f t="shared" si="8"/>
        <v>94.67712088</v>
      </c>
      <c r="K98" s="137">
        <f t="shared" si="9"/>
        <v>240</v>
      </c>
      <c r="L98" s="132">
        <f t="shared" si="10"/>
        <v>40</v>
      </c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</row>
    <row r="99">
      <c r="A99" s="28" t="str">
        <f t="array" ref="A99">XLOOKUP($E99,'Maestro de productos 2024'!$A$3:$A$163,'Maestro de productos 2024'!$B$3:$B$163,0)</f>
        <v>ID-3824</v>
      </c>
      <c r="B99" s="133">
        <v>45728.0</v>
      </c>
      <c r="C99" s="134">
        <f t="shared" si="6"/>
        <v>2025</v>
      </c>
      <c r="D99" s="135">
        <f t="shared" si="7"/>
        <v>3</v>
      </c>
      <c r="E99" s="136" t="s">
        <v>34</v>
      </c>
      <c r="F99" s="137">
        <f t="array" ref="F99">XLOOKUP(E99,'Maestro de productos 2025'!$B$189:$B$196,'Maestro de productos 2025'!$D$189:$D$196,"No encontrado",0)</f>
        <v>10</v>
      </c>
      <c r="G99" s="137">
        <f t="array" ref="G99">XLOOKUP(E99,'Maestro de productos 2025'!$B$189:$B$196,'Maestro de productos 2025'!$E$189:$E$196,"No encontrado",0)</f>
        <v>4.07174399</v>
      </c>
      <c r="H99" s="138">
        <v>30.0</v>
      </c>
      <c r="I99" s="159">
        <f t="array" ref="I99">IF((XLOOKUP($E99,'Maestro de productos 2025'!$B$189:$B$196,'Maestro de productos 2025'!$C$189:$C$196,"No encontrado",0)-H99)&lt;=0,"0",(VLOOKUP($E99,'Maestro de productos 2025'!$B$189:$C$196,2,0)-$H99))</f>
        <v>2</v>
      </c>
      <c r="J99" s="137">
        <f t="shared" si="8"/>
        <v>122.1523197</v>
      </c>
      <c r="K99" s="137">
        <f t="shared" si="9"/>
        <v>300</v>
      </c>
      <c r="L99" s="132">
        <f t="shared" si="10"/>
        <v>20</v>
      </c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</row>
    <row r="100">
      <c r="A100" s="28" t="str">
        <f t="array" ref="A100">XLOOKUP($E100,'Maestro de productos 2024'!$A$3:$A$163,'Maestro de productos 2024'!$B$3:$B$163,0)</f>
        <v>ID-3827</v>
      </c>
      <c r="B100" s="133">
        <v>45730.0</v>
      </c>
      <c r="C100" s="134">
        <f t="shared" si="6"/>
        <v>2025</v>
      </c>
      <c r="D100" s="135">
        <f t="shared" si="7"/>
        <v>3</v>
      </c>
      <c r="E100" s="136" t="s">
        <v>36</v>
      </c>
      <c r="F100" s="137">
        <f t="array" ref="F100">XLOOKUP(E100,'Maestro de productos 2025'!$B$189:$B$196,'Maestro de productos 2025'!$D$189:$D$196,"No encontrado",0)</f>
        <v>7</v>
      </c>
      <c r="G100" s="137">
        <f t="array" ref="G100">XLOOKUP(E100,'Maestro de productos 2025'!$B$189:$B$196,'Maestro de productos 2025'!$E$189:$E$196,"No encontrado",0)</f>
        <v>3.1117795</v>
      </c>
      <c r="H100" s="138">
        <v>35.0</v>
      </c>
      <c r="I100" s="134" t="str">
        <f t="array" ref="I100">IF((XLOOKUP($E100,'Maestro de productos 2025'!$B$189:$B$196,'Maestro de productos 2025'!$C$189:$C$196,"No encontrado",0)-H100)&lt;=0,"0",(VLOOKUP($E100,'Maestro de productos 2025'!$B$189:$C$196,2,0)-$H100))</f>
        <v>0</v>
      </c>
      <c r="J100" s="137">
        <f t="shared" si="8"/>
        <v>108.9122825</v>
      </c>
      <c r="K100" s="137">
        <f t="shared" si="9"/>
        <v>245</v>
      </c>
      <c r="L100" s="132" t="str">
        <f t="shared" si="10"/>
        <v> </v>
      </c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</row>
    <row r="101">
      <c r="A101" s="28" t="str">
        <f t="array" ref="A101">XLOOKUP($E101,'Maestro de productos 2024'!$A$3:$A$163,'Maestro de productos 2024'!$B$3:$B$163,0)</f>
        <v>ID-3828</v>
      </c>
      <c r="B101" s="133">
        <v>45735.0</v>
      </c>
      <c r="C101" s="134">
        <f t="shared" si="6"/>
        <v>2025</v>
      </c>
      <c r="D101" s="135">
        <f t="shared" si="7"/>
        <v>3</v>
      </c>
      <c r="E101" s="136" t="s">
        <v>38</v>
      </c>
      <c r="F101" s="137">
        <f t="array" ref="F101">XLOOKUP(E101,'Maestro de productos 2025'!$B$189:$B$196,'Maestro de productos 2025'!$D$189:$D$196,"No encontrado",0)</f>
        <v>21</v>
      </c>
      <c r="G101" s="137">
        <f t="array" ref="G101">XLOOKUP(E101,'Maestro de productos 2025'!$B$189:$B$196,'Maestro de productos 2025'!$E$189:$E$196,"No encontrado",0)</f>
        <v>8.35935114</v>
      </c>
      <c r="H101" s="138">
        <v>12.0</v>
      </c>
      <c r="I101" s="134" t="str">
        <f t="array" ref="I101">IF((XLOOKUP($E101,'Maestro de productos 2025'!$B$189:$B$196,'Maestro de productos 2025'!$C$189:$C$196,"No encontrado",0)-H101)&lt;=0,"0",(VLOOKUP($E101,'Maestro de productos 2025'!$B$189:$C$196,2,0)-$H101))</f>
        <v>0</v>
      </c>
      <c r="J101" s="137">
        <f t="shared" si="8"/>
        <v>100.3122137</v>
      </c>
      <c r="K101" s="137">
        <f t="shared" si="9"/>
        <v>252</v>
      </c>
      <c r="L101" s="132" t="str">
        <f t="shared" si="10"/>
        <v> </v>
      </c>
      <c r="M101" s="136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</row>
    <row r="102">
      <c r="A102" s="28" t="str">
        <f t="array" ref="A102">XLOOKUP($E102,'Maestro de productos 2024'!$A$3:$A$163,'Maestro de productos 2024'!$B$3:$B$163,0)</f>
        <v>ID-3826</v>
      </c>
      <c r="B102" s="133">
        <v>45737.0</v>
      </c>
      <c r="C102" s="134">
        <f t="shared" si="6"/>
        <v>2025</v>
      </c>
      <c r="D102" s="135">
        <f t="shared" si="7"/>
        <v>3</v>
      </c>
      <c r="E102" s="136" t="s">
        <v>35</v>
      </c>
      <c r="F102" s="137">
        <f t="array" ref="F102">XLOOKUP(E102,'Maestro de productos 2025'!$B$189:$B$196,'Maestro de productos 2025'!$D$189:$D$196,"No encontrado",0)</f>
        <v>20</v>
      </c>
      <c r="G102" s="137">
        <f t="array" ref="G102">XLOOKUP(E102,'Maestro de productos 2025'!$B$189:$B$196,'Maestro de productos 2025'!$E$189:$E$196,"No encontrado",0)</f>
        <v>8.073123457</v>
      </c>
      <c r="H102" s="138">
        <v>18.0</v>
      </c>
      <c r="I102" s="134" t="str">
        <f t="array" ref="I102">IF((XLOOKUP($E102,'Maestro de productos 2025'!$B$189:$B$196,'Maestro de productos 2025'!$C$189:$C$196,"No encontrado",0)-H102)&lt;=0,"0",(VLOOKUP($E102,'Maestro de productos 2025'!$B$189:$C$196,2,0)-$H102))</f>
        <v>0</v>
      </c>
      <c r="J102" s="137">
        <f t="shared" si="8"/>
        <v>145.3162222</v>
      </c>
      <c r="K102" s="137">
        <f t="shared" si="9"/>
        <v>360</v>
      </c>
      <c r="L102" s="132" t="str">
        <f t="shared" si="10"/>
        <v> </v>
      </c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</row>
    <row r="103">
      <c r="A103" s="28" t="str">
        <f t="array" ref="A103">XLOOKUP($E103,'Maestro de productos 2024'!$A$3:$A$163,'Maestro de productos 2024'!$B$3:$B$163,0)</f>
        <v>ID-3825</v>
      </c>
      <c r="B103" s="133">
        <v>45742.0</v>
      </c>
      <c r="C103" s="134">
        <f t="shared" si="6"/>
        <v>2025</v>
      </c>
      <c r="D103" s="135">
        <f t="shared" si="7"/>
        <v>3</v>
      </c>
      <c r="E103" s="136" t="s">
        <v>37</v>
      </c>
      <c r="F103" s="137">
        <f t="array" ref="F103">XLOOKUP(E103,'Maestro de productos 2025'!$B$189:$B$196,'Maestro de productos 2025'!$D$189:$D$196,"No encontrado",0)</f>
        <v>25</v>
      </c>
      <c r="G103" s="137">
        <f t="array" ref="G103">XLOOKUP(E103,'Maestro de productos 2025'!$B$189:$B$196,'Maestro de productos 2025'!$E$189:$E$196,"No encontrado",0)</f>
        <v>10.26450643</v>
      </c>
      <c r="H103" s="138">
        <v>15.0</v>
      </c>
      <c r="I103" s="159">
        <f t="array" ref="I103">IF((XLOOKUP($E103,'Maestro de productos 2025'!$B$189:$B$196,'Maestro de productos 2025'!$C$189:$C$196,"No encontrado",0)-H103)&lt;=0,"0",(VLOOKUP($E103,'Maestro de productos 2025'!$B$189:$C$196,2,0)-$H103))</f>
        <v>1</v>
      </c>
      <c r="J103" s="137">
        <f t="shared" si="8"/>
        <v>153.9675965</v>
      </c>
      <c r="K103" s="137">
        <f t="shared" si="9"/>
        <v>375</v>
      </c>
      <c r="L103" s="132">
        <f t="shared" si="10"/>
        <v>25</v>
      </c>
      <c r="M103" s="136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</row>
    <row r="104">
      <c r="A104" s="28" t="str">
        <f t="array" ref="A104">XLOOKUP($E104,'Maestro de productos 2024'!$A$3:$A$163,'Maestro de productos 2024'!$B$3:$B$163,0)</f>
        <v>ID-3824</v>
      </c>
      <c r="B104" s="133">
        <v>45744.0</v>
      </c>
      <c r="C104" s="134">
        <f t="shared" si="6"/>
        <v>2025</v>
      </c>
      <c r="D104" s="135">
        <f t="shared" si="7"/>
        <v>3</v>
      </c>
      <c r="E104" s="136" t="s">
        <v>34</v>
      </c>
      <c r="F104" s="137">
        <f t="array" ref="F104">XLOOKUP(E104,'Maestro de productos 2025'!$B$189:$B$196,'Maestro de productos 2025'!$D$189:$D$196,"No encontrado",0)</f>
        <v>10</v>
      </c>
      <c r="G104" s="137">
        <f t="array" ref="G104">XLOOKUP(E104,'Maestro de productos 2025'!$B$189:$B$196,'Maestro de productos 2025'!$E$189:$E$196,"No encontrado",0)</f>
        <v>4.07174399</v>
      </c>
      <c r="H104" s="138">
        <v>31.0</v>
      </c>
      <c r="I104" s="159">
        <f t="array" ref="I104">IF((XLOOKUP($E104,'Maestro de productos 2025'!$B$189:$B$196,'Maestro de productos 2025'!$C$189:$C$196,"No encontrado",0)-H104)&lt;=0,"0",(VLOOKUP($E104,'Maestro de productos 2025'!$B$189:$C$196,2,0)-$H104))</f>
        <v>1</v>
      </c>
      <c r="J104" s="137">
        <f t="shared" si="8"/>
        <v>126.2240637</v>
      </c>
      <c r="K104" s="137">
        <f t="shared" si="9"/>
        <v>310</v>
      </c>
      <c r="L104" s="132">
        <f t="shared" si="10"/>
        <v>10</v>
      </c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</row>
    <row r="105">
      <c r="A105" s="28" t="str">
        <f t="array" ref="A105">XLOOKUP($E105,'Maestro de productos 2024'!$A$3:$A$163,'Maestro de productos 2024'!$B$3:$B$163,0)</f>
        <v>ID-3828</v>
      </c>
      <c r="B105" s="133">
        <v>45749.0</v>
      </c>
      <c r="C105" s="134">
        <f t="shared" si="6"/>
        <v>2025</v>
      </c>
      <c r="D105" s="135">
        <f t="shared" si="7"/>
        <v>4</v>
      </c>
      <c r="E105" s="136" t="s">
        <v>38</v>
      </c>
      <c r="F105" s="137">
        <f t="array" ref="F105">XLOOKUP(E105,'Maestro de productos 2025'!$B$189:$B$196,'Maestro de productos 2025'!$D$189:$D$196,"No encontrado",0)</f>
        <v>21</v>
      </c>
      <c r="G105" s="137">
        <f t="array" ref="G105">XLOOKUP(E105,'Maestro de productos 2025'!$B$189:$B$196,'Maestro de productos 2025'!$E$189:$E$196,"No encontrado",0)</f>
        <v>8.35935114</v>
      </c>
      <c r="H105" s="138">
        <v>24.0</v>
      </c>
      <c r="I105" s="134" t="str">
        <f t="array" ref="I105">IF((XLOOKUP($E105,'Maestro de productos 2025'!$B$189:$B$196,'Maestro de productos 2025'!$C$189:$C$196,"No encontrado",0)-H105)&lt;=0,"0",(VLOOKUP($E105,'Maestro de productos 2025'!$B$189:$C$196,2,0)-$H105))</f>
        <v>0</v>
      </c>
      <c r="J105" s="137">
        <f t="shared" si="8"/>
        <v>200.6244274</v>
      </c>
      <c r="K105" s="137">
        <f t="shared" si="9"/>
        <v>504</v>
      </c>
      <c r="L105" s="132" t="str">
        <f t="shared" si="10"/>
        <v> </v>
      </c>
      <c r="M105" s="136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</row>
    <row r="106">
      <c r="A106" s="28" t="str">
        <f t="array" ref="A106">XLOOKUP($E106,'Maestro de productos 2024'!$A$3:$A$163,'Maestro de productos 2024'!$B$3:$B$163,0)</f>
        <v>ID-3831</v>
      </c>
      <c r="B106" s="133">
        <v>45751.0</v>
      </c>
      <c r="C106" s="134">
        <f t="shared" si="6"/>
        <v>2025</v>
      </c>
      <c r="D106" s="135">
        <f t="shared" si="7"/>
        <v>4</v>
      </c>
      <c r="E106" s="136" t="s">
        <v>109</v>
      </c>
      <c r="F106" s="137">
        <f t="array" ref="F106">XLOOKUP(E106,'Maestro de productos 2025'!$B$189:$B$196,'Maestro de productos 2025'!$D$189:$D$196,"No encontrado",0)</f>
        <v>20</v>
      </c>
      <c r="G106" s="137">
        <f t="array" ref="G106">XLOOKUP(E106,'Maestro de productos 2025'!$B$189:$B$196,'Maestro de productos 2025'!$E$189:$E$196,"No encontrado",0)</f>
        <v>7.889760073</v>
      </c>
      <c r="H106" s="138">
        <v>14.0</v>
      </c>
      <c r="I106" s="134" t="str">
        <f t="array" ref="I106">IF((XLOOKUP($E106,'Maestro de productos 2025'!$B$189:$B$196,'Maestro de productos 2025'!$C$189:$C$196,"No encontrado",0)-H106)&lt;=0,"0",(VLOOKUP($E106,'Maestro de productos 2025'!$B$189:$C$196,2,0)-$H106))</f>
        <v>0</v>
      </c>
      <c r="J106" s="137">
        <f t="shared" si="8"/>
        <v>110.456641</v>
      </c>
      <c r="K106" s="137">
        <f t="shared" si="9"/>
        <v>280</v>
      </c>
      <c r="L106" s="132" t="str">
        <f t="shared" si="10"/>
        <v> </v>
      </c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</row>
    <row r="107">
      <c r="A107" s="28" t="str">
        <f t="array" ref="A107">XLOOKUP($E107,'Maestro de productos 2024'!$A$3:$A$163,'Maestro de productos 2024'!$B$3:$B$163,0)</f>
        <v>ID-3827</v>
      </c>
      <c r="B107" s="133">
        <v>45756.0</v>
      </c>
      <c r="C107" s="134">
        <f t="shared" si="6"/>
        <v>2025</v>
      </c>
      <c r="D107" s="135">
        <f t="shared" si="7"/>
        <v>4</v>
      </c>
      <c r="E107" s="136" t="s">
        <v>36</v>
      </c>
      <c r="F107" s="137">
        <f t="array" ref="F107">XLOOKUP(E107,'Maestro de productos 2025'!$B$189:$B$196,'Maestro de productos 2025'!$D$189:$D$196,"No encontrado",0)</f>
        <v>7</v>
      </c>
      <c r="G107" s="137">
        <f t="array" ref="G107">XLOOKUP(E107,'Maestro de productos 2025'!$B$189:$B$196,'Maestro de productos 2025'!$E$189:$E$196,"No encontrado",0)</f>
        <v>3.1117795</v>
      </c>
      <c r="H107" s="138">
        <v>33.0</v>
      </c>
      <c r="I107" s="159">
        <f t="array" ref="I107">IF((XLOOKUP($E107,'Maestro de productos 2025'!$B$189:$B$196,'Maestro de productos 2025'!$C$189:$C$196,"No encontrado",0)-H107)&lt;=0,"0",(VLOOKUP($E107,'Maestro de productos 2025'!$B$189:$C$196,2,0)-$H107))</f>
        <v>2</v>
      </c>
      <c r="J107" s="137">
        <f t="shared" si="8"/>
        <v>102.6887235</v>
      </c>
      <c r="K107" s="137">
        <f t="shared" si="9"/>
        <v>231</v>
      </c>
      <c r="L107" s="132">
        <f t="shared" si="10"/>
        <v>14</v>
      </c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</row>
    <row r="108">
      <c r="A108" s="28" t="str">
        <f t="array" ref="A108">XLOOKUP($E108,'Maestro de productos 2024'!$A$3:$A$163,'Maestro de productos 2024'!$B$3:$B$163,0)</f>
        <v>ID-3824</v>
      </c>
      <c r="B108" s="133">
        <v>45758.0</v>
      </c>
      <c r="C108" s="134">
        <f t="shared" si="6"/>
        <v>2025</v>
      </c>
      <c r="D108" s="135">
        <f t="shared" si="7"/>
        <v>4</v>
      </c>
      <c r="E108" s="136" t="s">
        <v>34</v>
      </c>
      <c r="F108" s="137">
        <f t="array" ref="F108">XLOOKUP(E108,'Maestro de productos 2025'!$B$189:$B$196,'Maestro de productos 2025'!$D$189:$D$196,"No encontrado",0)</f>
        <v>10</v>
      </c>
      <c r="G108" s="137">
        <f t="array" ref="G108">XLOOKUP(E108,'Maestro de productos 2025'!$B$189:$B$196,'Maestro de productos 2025'!$E$189:$E$196,"No encontrado",0)</f>
        <v>4.07174399</v>
      </c>
      <c r="H108" s="138">
        <v>31.0</v>
      </c>
      <c r="I108" s="159">
        <f t="array" ref="I108">IF((XLOOKUP($E108,'Maestro de productos 2025'!$B$189:$B$196,'Maestro de productos 2025'!$C$189:$C$196,"No encontrado",0)-H108)&lt;=0,"0",(VLOOKUP($E108,'Maestro de productos 2025'!$B$189:$C$196,2,0)-$H108))</f>
        <v>1</v>
      </c>
      <c r="J108" s="137">
        <f t="shared" si="8"/>
        <v>126.2240637</v>
      </c>
      <c r="K108" s="137">
        <f t="shared" si="9"/>
        <v>310</v>
      </c>
      <c r="L108" s="132">
        <f t="shared" si="10"/>
        <v>10</v>
      </c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</row>
    <row r="109">
      <c r="A109" s="28" t="str">
        <f t="array" ref="A109">XLOOKUP($E109,'Maestro de productos 2024'!$A$3:$A$163,'Maestro de productos 2024'!$B$3:$B$163,0)</f>
        <v>ID-3826</v>
      </c>
      <c r="B109" s="133">
        <v>45763.0</v>
      </c>
      <c r="C109" s="134">
        <f t="shared" si="6"/>
        <v>2025</v>
      </c>
      <c r="D109" s="135">
        <f t="shared" si="7"/>
        <v>4</v>
      </c>
      <c r="E109" s="136" t="s">
        <v>35</v>
      </c>
      <c r="F109" s="137">
        <f t="array" ref="F109">XLOOKUP(E109,'Maestro de productos 2025'!$B$189:$B$196,'Maestro de productos 2025'!$D$189:$D$196,"No encontrado",0)</f>
        <v>20</v>
      </c>
      <c r="G109" s="137">
        <f t="array" ref="G109">XLOOKUP(E109,'Maestro de productos 2025'!$B$189:$B$196,'Maestro de productos 2025'!$E$189:$E$196,"No encontrado",0)</f>
        <v>8.073123457</v>
      </c>
      <c r="H109" s="138">
        <v>18.0</v>
      </c>
      <c r="I109" s="134" t="str">
        <f t="array" ref="I109">IF((XLOOKUP($E109,'Maestro de productos 2025'!$B$189:$B$196,'Maestro de productos 2025'!$C$189:$C$196,"No encontrado",0)-H109)&lt;=0,"0",(VLOOKUP($E109,'Maestro de productos 2025'!$B$189:$C$196,2,0)-$H109))</f>
        <v>0</v>
      </c>
      <c r="J109" s="137">
        <f t="shared" si="8"/>
        <v>145.3162222</v>
      </c>
      <c r="K109" s="137">
        <f t="shared" si="9"/>
        <v>360</v>
      </c>
      <c r="L109" s="132" t="str">
        <f t="shared" si="10"/>
        <v> </v>
      </c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</row>
    <row r="110">
      <c r="A110" s="28" t="str">
        <f t="array" ref="A110">XLOOKUP($E110,'Maestro de productos 2024'!$A$3:$A$163,'Maestro de productos 2024'!$B$3:$B$163,0)</f>
        <v>ID-3828</v>
      </c>
      <c r="B110" s="133">
        <v>45765.0</v>
      </c>
      <c r="C110" s="134">
        <f t="shared" si="6"/>
        <v>2025</v>
      </c>
      <c r="D110" s="135">
        <f t="shared" si="7"/>
        <v>4</v>
      </c>
      <c r="E110" s="136" t="s">
        <v>38</v>
      </c>
      <c r="F110" s="137">
        <f t="array" ref="F110">XLOOKUP(E110,'Maestro de productos 2025'!$B$189:$B$196,'Maestro de productos 2025'!$D$189:$D$196,"No encontrado",0)</f>
        <v>21</v>
      </c>
      <c r="G110" s="137">
        <f t="array" ref="G110">XLOOKUP(E110,'Maestro de productos 2025'!$B$189:$B$196,'Maestro de productos 2025'!$E$189:$E$196,"No encontrado",0)</f>
        <v>8.35935114</v>
      </c>
      <c r="H110" s="138">
        <v>12.0</v>
      </c>
      <c r="I110" s="134" t="str">
        <f t="array" ref="I110">IF((XLOOKUP($E110,'Maestro de productos 2025'!$B$189:$B$196,'Maestro de productos 2025'!$C$189:$C$196,"No encontrado",0)-H110)&lt;=0,"0",(VLOOKUP($E110,'Maestro de productos 2025'!$B$189:$C$196,2,0)-$H110))</f>
        <v>0</v>
      </c>
      <c r="J110" s="137">
        <f t="shared" si="8"/>
        <v>100.3122137</v>
      </c>
      <c r="K110" s="137">
        <f t="shared" si="9"/>
        <v>252</v>
      </c>
      <c r="L110" s="132" t="str">
        <f t="shared" si="10"/>
        <v> </v>
      </c>
      <c r="M110" s="136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</row>
    <row r="111">
      <c r="A111" s="28" t="str">
        <f t="array" ref="A111">XLOOKUP($E111,'Maestro de productos 2024'!$A$3:$A$163,'Maestro de productos 2024'!$B$3:$B$163,0)</f>
        <v>ID-3824</v>
      </c>
      <c r="B111" s="133">
        <v>45770.0</v>
      </c>
      <c r="C111" s="134">
        <f t="shared" si="6"/>
        <v>2025</v>
      </c>
      <c r="D111" s="135">
        <f t="shared" si="7"/>
        <v>4</v>
      </c>
      <c r="E111" s="136" t="s">
        <v>34</v>
      </c>
      <c r="F111" s="137">
        <f t="array" ref="F111">XLOOKUP(E111,'Maestro de productos 2025'!$B$189:$B$196,'Maestro de productos 2025'!$D$189:$D$196,"No encontrado",0)</f>
        <v>10</v>
      </c>
      <c r="G111" s="137">
        <f t="array" ref="G111">XLOOKUP(E111,'Maestro de productos 2025'!$B$189:$B$196,'Maestro de productos 2025'!$E$189:$E$196,"No encontrado",0)</f>
        <v>4.07174399</v>
      </c>
      <c r="H111" s="138">
        <v>30.0</v>
      </c>
      <c r="I111" s="159">
        <f t="array" ref="I111">IF((XLOOKUP($E111,'Maestro de productos 2025'!$B$189:$B$196,'Maestro de productos 2025'!$C$189:$C$196,"No encontrado",0)-H111)&lt;=0,"0",(VLOOKUP($E111,'Maestro de productos 2025'!$B$189:$C$196,2,0)-$H111))</f>
        <v>2</v>
      </c>
      <c r="J111" s="137">
        <f t="shared" si="8"/>
        <v>122.1523197</v>
      </c>
      <c r="K111" s="137">
        <f t="shared" si="9"/>
        <v>300</v>
      </c>
      <c r="L111" s="132">
        <f t="shared" si="10"/>
        <v>20</v>
      </c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</row>
    <row r="112">
      <c r="A112" s="28" t="str">
        <f t="array" ref="A112">XLOOKUP($E112,'Maestro de productos 2024'!$A$3:$A$163,'Maestro de productos 2024'!$B$3:$B$163,0)</f>
        <v>ID-3825</v>
      </c>
      <c r="B112" s="133">
        <v>45772.0</v>
      </c>
      <c r="C112" s="134">
        <f t="shared" si="6"/>
        <v>2025</v>
      </c>
      <c r="D112" s="135">
        <f t="shared" si="7"/>
        <v>4</v>
      </c>
      <c r="E112" s="136" t="s">
        <v>37</v>
      </c>
      <c r="F112" s="137">
        <f t="array" ref="F112">XLOOKUP(E112,'Maestro de productos 2025'!$B$189:$B$196,'Maestro de productos 2025'!$D$189:$D$196,"No encontrado",0)</f>
        <v>25</v>
      </c>
      <c r="G112" s="137">
        <f t="array" ref="G112">XLOOKUP(E112,'Maestro de productos 2025'!$B$189:$B$196,'Maestro de productos 2025'!$E$189:$E$196,"No encontrado",0)</f>
        <v>10.26450643</v>
      </c>
      <c r="H112" s="138">
        <v>16.0</v>
      </c>
      <c r="I112" s="134" t="str">
        <f t="array" ref="I112">IF((XLOOKUP($E112,'Maestro de productos 2025'!$B$189:$B$196,'Maestro de productos 2025'!$C$189:$C$196,"No encontrado",0)-H112)&lt;=0,"0",(VLOOKUP($E112,'Maestro de productos 2025'!$B$189:$C$196,2,0)-$H112))</f>
        <v>0</v>
      </c>
      <c r="J112" s="137">
        <f t="shared" si="8"/>
        <v>164.2321029</v>
      </c>
      <c r="K112" s="137">
        <f t="shared" si="9"/>
        <v>400</v>
      </c>
      <c r="L112" s="132" t="str">
        <f t="shared" si="10"/>
        <v> </v>
      </c>
      <c r="M112" s="136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</row>
    <row r="113">
      <c r="A113" s="28" t="str">
        <f t="array" ref="A113">XLOOKUP($E113,'Maestro de productos 2024'!$A$3:$A$163,'Maestro de productos 2024'!$B$3:$B$163,0)</f>
        <v>ID-3827</v>
      </c>
      <c r="B113" s="133">
        <v>45777.0</v>
      </c>
      <c r="C113" s="134">
        <f t="shared" si="6"/>
        <v>2025</v>
      </c>
      <c r="D113" s="135">
        <f t="shared" si="7"/>
        <v>4</v>
      </c>
      <c r="E113" s="136" t="s">
        <v>36</v>
      </c>
      <c r="F113" s="137">
        <f t="array" ref="F113">XLOOKUP(E113,'Maestro de productos 2025'!$B$189:$B$196,'Maestro de productos 2025'!$D$189:$D$196,"No encontrado",0)</f>
        <v>7</v>
      </c>
      <c r="G113" s="137">
        <f t="array" ref="G113">XLOOKUP(E113,'Maestro de productos 2025'!$B$189:$B$196,'Maestro de productos 2025'!$E$189:$E$196,"No encontrado",0)</f>
        <v>3.1117795</v>
      </c>
      <c r="H113" s="138">
        <v>33.0</v>
      </c>
      <c r="I113" s="159">
        <f t="array" ref="I113">IF((XLOOKUP($E113,'Maestro de productos 2025'!$B$189:$B$196,'Maestro de productos 2025'!$C$189:$C$196,"No encontrado",0)-H113)&lt;=0,"0",(VLOOKUP($E113,'Maestro de productos 2025'!$B$189:$C$196,2,0)-$H113))</f>
        <v>2</v>
      </c>
      <c r="J113" s="137">
        <f t="shared" si="8"/>
        <v>102.6887235</v>
      </c>
      <c r="K113" s="137">
        <f t="shared" si="9"/>
        <v>231</v>
      </c>
      <c r="L113" s="132">
        <f t="shared" si="10"/>
        <v>14</v>
      </c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</row>
    <row r="114">
      <c r="A114" s="28" t="str">
        <f t="array" ref="A114">XLOOKUP($E114,'Maestro de productos 2024'!$A$3:$A$163,'Maestro de productos 2024'!$B$3:$B$163,0)</f>
        <v>ID-3826</v>
      </c>
      <c r="B114" s="133">
        <v>45779.0</v>
      </c>
      <c r="C114" s="134">
        <f t="shared" si="6"/>
        <v>2025</v>
      </c>
      <c r="D114" s="135">
        <f t="shared" si="7"/>
        <v>5</v>
      </c>
      <c r="E114" s="136" t="s">
        <v>35</v>
      </c>
      <c r="F114" s="137">
        <f t="array" ref="F114">XLOOKUP(E114,'Maestro de productos 2025'!$B$189:$B$196,'Maestro de productos 2025'!$D$189:$D$196,"No encontrado",0)</f>
        <v>20</v>
      </c>
      <c r="G114" s="137">
        <f t="array" ref="G114">XLOOKUP(E114,'Maestro de productos 2025'!$B$189:$B$196,'Maestro de productos 2025'!$E$189:$E$196,"No encontrado",0)</f>
        <v>8.073123457</v>
      </c>
      <c r="H114" s="138">
        <v>18.0</v>
      </c>
      <c r="I114" s="134" t="str">
        <f t="array" ref="I114">IF((XLOOKUP($E114,'Maestro de productos 2025'!$B$189:$B$196,'Maestro de productos 2025'!$C$189:$C$196,"No encontrado",0)-H114)&lt;=0,"0",(VLOOKUP($E114,'Maestro de productos 2025'!$B$189:$C$196,2,0)-$H114))</f>
        <v>0</v>
      </c>
      <c r="J114" s="137">
        <f t="shared" si="8"/>
        <v>145.3162222</v>
      </c>
      <c r="K114" s="137">
        <f t="shared" si="9"/>
        <v>360</v>
      </c>
      <c r="L114" s="132" t="str">
        <f t="shared" si="10"/>
        <v> </v>
      </c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</row>
    <row r="115">
      <c r="A115" s="28" t="str">
        <f t="array" ref="A115">XLOOKUP($E115,'Maestro de productos 2024'!$A$3:$A$163,'Maestro de productos 2024'!$B$3:$B$163,0)</f>
        <v>ID-3828</v>
      </c>
      <c r="B115" s="133">
        <v>45784.0</v>
      </c>
      <c r="C115" s="134">
        <f t="shared" si="6"/>
        <v>2025</v>
      </c>
      <c r="D115" s="135">
        <f t="shared" si="7"/>
        <v>5</v>
      </c>
      <c r="E115" s="136" t="s">
        <v>38</v>
      </c>
      <c r="F115" s="137">
        <f t="array" ref="F115">XLOOKUP(E115,'Maestro de productos 2025'!$B$189:$B$196,'Maestro de productos 2025'!$D$189:$D$196,"No encontrado",0)</f>
        <v>21</v>
      </c>
      <c r="G115" s="137">
        <f t="array" ref="G115">XLOOKUP(E115,'Maestro de productos 2025'!$B$189:$B$196,'Maestro de productos 2025'!$E$189:$E$196,"No encontrado",0)</f>
        <v>8.35935114</v>
      </c>
      <c r="H115" s="138">
        <v>24.0</v>
      </c>
      <c r="I115" s="134" t="str">
        <f t="array" ref="I115">IF((XLOOKUP($E115,'Maestro de productos 2025'!$B$189:$B$196,'Maestro de productos 2025'!$C$189:$C$196,"No encontrado",0)-H115)&lt;=0,"0",(VLOOKUP($E115,'Maestro de productos 2025'!$B$189:$C$196,2,0)-$H115))</f>
        <v>0</v>
      </c>
      <c r="J115" s="137">
        <f t="shared" si="8"/>
        <v>200.6244274</v>
      </c>
      <c r="K115" s="137">
        <f t="shared" si="9"/>
        <v>504</v>
      </c>
      <c r="L115" s="132" t="str">
        <f t="shared" si="10"/>
        <v> </v>
      </c>
      <c r="M115" s="136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</row>
    <row r="116">
      <c r="A116" s="28" t="str">
        <f t="array" ref="A116">XLOOKUP($E116,'Maestro de productos 2024'!$A$3:$A$163,'Maestro de productos 2024'!$B$3:$B$163,0)</f>
        <v>ID-3824</v>
      </c>
      <c r="B116" s="133">
        <v>45786.0</v>
      </c>
      <c r="C116" s="134">
        <f t="shared" si="6"/>
        <v>2025</v>
      </c>
      <c r="D116" s="135">
        <f t="shared" si="7"/>
        <v>5</v>
      </c>
      <c r="E116" s="136" t="s">
        <v>34</v>
      </c>
      <c r="F116" s="137">
        <f t="array" ref="F116">XLOOKUP(E116,'Maestro de productos 2025'!$B$189:$B$196,'Maestro de productos 2025'!$D$189:$D$196,"No encontrado",0)</f>
        <v>10</v>
      </c>
      <c r="G116" s="137">
        <f t="array" ref="G116">XLOOKUP(E116,'Maestro de productos 2025'!$B$189:$B$196,'Maestro de productos 2025'!$E$189:$E$196,"No encontrado",0)</f>
        <v>4.07174399</v>
      </c>
      <c r="H116" s="138">
        <v>32.0</v>
      </c>
      <c r="I116" s="134" t="str">
        <f t="array" ref="I116">IF((XLOOKUP($E116,'Maestro de productos 2025'!$B$189:$B$196,'Maestro de productos 2025'!$C$189:$C$196,"No encontrado",0)-H116)&lt;=0,"0",(VLOOKUP($E116,'Maestro de productos 2025'!$B$189:$C$196,2,0)-$H116))</f>
        <v>0</v>
      </c>
      <c r="J116" s="137">
        <f t="shared" si="8"/>
        <v>130.2958077</v>
      </c>
      <c r="K116" s="137">
        <f t="shared" si="9"/>
        <v>320</v>
      </c>
      <c r="L116" s="132" t="str">
        <f t="shared" si="10"/>
        <v> </v>
      </c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</row>
    <row r="117">
      <c r="A117" s="28" t="str">
        <f t="array" ref="A117">XLOOKUP($E117,'Maestro de productos 2024'!$A$3:$A$163,'Maestro de productos 2024'!$B$3:$B$163,0)</f>
        <v>ID-3831</v>
      </c>
      <c r="B117" s="133">
        <v>45791.0</v>
      </c>
      <c r="C117" s="134">
        <f t="shared" si="6"/>
        <v>2025</v>
      </c>
      <c r="D117" s="135">
        <f t="shared" si="7"/>
        <v>5</v>
      </c>
      <c r="E117" s="136" t="s">
        <v>109</v>
      </c>
      <c r="F117" s="137">
        <f t="array" ref="F117">XLOOKUP(E117,'Maestro de productos 2025'!$B$189:$B$196,'Maestro de productos 2025'!$D$189:$D$196,"No encontrado",0)</f>
        <v>20</v>
      </c>
      <c r="G117" s="137">
        <f t="array" ref="G117">XLOOKUP(E117,'Maestro de productos 2025'!$B$189:$B$196,'Maestro de productos 2025'!$E$189:$E$196,"No encontrado",0)</f>
        <v>7.889760073</v>
      </c>
      <c r="H117" s="138">
        <v>13.0</v>
      </c>
      <c r="I117" s="159">
        <f t="array" ref="I117">IF((XLOOKUP($E117,'Maestro de productos 2025'!$B$189:$B$196,'Maestro de productos 2025'!$C$189:$C$196,"No encontrado",0)-H117)&lt;=0,"0",(VLOOKUP($E117,'Maestro de productos 2025'!$B$189:$C$196,2,0)-$H117))</f>
        <v>1</v>
      </c>
      <c r="J117" s="137">
        <f t="shared" si="8"/>
        <v>102.566881</v>
      </c>
      <c r="K117" s="137">
        <f t="shared" si="9"/>
        <v>260</v>
      </c>
      <c r="L117" s="132">
        <f t="shared" si="10"/>
        <v>20</v>
      </c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</row>
    <row r="118">
      <c r="A118" s="28" t="str">
        <f t="array" ref="A118">XLOOKUP($E118,'Maestro de productos 2024'!$A$3:$A$163,'Maestro de productos 2024'!$B$3:$B$163,0)</f>
        <v>ID-3828</v>
      </c>
      <c r="B118" s="133">
        <v>45793.0</v>
      </c>
      <c r="C118" s="134">
        <f t="shared" si="6"/>
        <v>2025</v>
      </c>
      <c r="D118" s="135">
        <f t="shared" si="7"/>
        <v>5</v>
      </c>
      <c r="E118" s="136" t="s">
        <v>38</v>
      </c>
      <c r="F118" s="137">
        <f t="array" ref="F118">XLOOKUP(E118,'Maestro de productos 2025'!$B$189:$B$196,'Maestro de productos 2025'!$D$189:$D$196,"No encontrado",0)</f>
        <v>21</v>
      </c>
      <c r="G118" s="137">
        <f t="array" ref="G118">XLOOKUP(E118,'Maestro de productos 2025'!$B$189:$B$196,'Maestro de productos 2025'!$E$189:$E$196,"No encontrado",0)</f>
        <v>8.35935114</v>
      </c>
      <c r="H118" s="138">
        <v>12.0</v>
      </c>
      <c r="I118" s="134" t="str">
        <f t="array" ref="I118">IF((XLOOKUP($E118,'Maestro de productos 2025'!$B$189:$B$196,'Maestro de productos 2025'!$C$189:$C$196,"No encontrado",0)-H118)&lt;=0,"0",(VLOOKUP($E118,'Maestro de productos 2025'!$B$189:$C$196,2,0)-$H118))</f>
        <v>0</v>
      </c>
      <c r="J118" s="137">
        <f t="shared" si="8"/>
        <v>100.3122137</v>
      </c>
      <c r="K118" s="137">
        <f t="shared" si="9"/>
        <v>252</v>
      </c>
      <c r="L118" s="132" t="str">
        <f t="shared" si="10"/>
        <v> </v>
      </c>
      <c r="M118" s="136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</row>
    <row r="119">
      <c r="A119" s="28" t="str">
        <f t="array" ref="A119">XLOOKUP($E119,'Maestro de productos 2024'!$A$3:$A$163,'Maestro de productos 2024'!$B$3:$B$163,0)</f>
        <v>ID-3824</v>
      </c>
      <c r="B119" s="133">
        <v>45798.0</v>
      </c>
      <c r="C119" s="134">
        <f t="shared" si="6"/>
        <v>2025</v>
      </c>
      <c r="D119" s="135">
        <f t="shared" si="7"/>
        <v>5</v>
      </c>
      <c r="E119" s="136" t="s">
        <v>34</v>
      </c>
      <c r="F119" s="137">
        <f t="array" ref="F119">XLOOKUP(E119,'Maestro de productos 2025'!$B$189:$B$196,'Maestro de productos 2025'!$D$189:$D$196,"No encontrado",0)</f>
        <v>10</v>
      </c>
      <c r="G119" s="137">
        <f t="array" ref="G119">XLOOKUP(E119,'Maestro de productos 2025'!$B$189:$B$196,'Maestro de productos 2025'!$E$189:$E$196,"No encontrado",0)</f>
        <v>4.07174399</v>
      </c>
      <c r="H119" s="138">
        <v>27.0</v>
      </c>
      <c r="I119" s="159">
        <f t="array" ref="I119">IF((XLOOKUP($E119,'Maestro de productos 2025'!$B$189:$B$196,'Maestro de productos 2025'!$C$189:$C$196,"No encontrado",0)-H119)&lt;=0,"0",(VLOOKUP($E119,'Maestro de productos 2025'!$B$189:$C$196,2,0)-$H119))</f>
        <v>5</v>
      </c>
      <c r="J119" s="137">
        <f t="shared" si="8"/>
        <v>109.9370877</v>
      </c>
      <c r="K119" s="137">
        <f t="shared" si="9"/>
        <v>270</v>
      </c>
      <c r="L119" s="132">
        <f t="shared" si="10"/>
        <v>50</v>
      </c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</row>
    <row r="120">
      <c r="A120" s="28" t="str">
        <f t="array" ref="A120">XLOOKUP($E120,'Maestro de productos 2024'!$A$3:$A$163,'Maestro de productos 2024'!$B$3:$B$163,0)</f>
        <v>ID-3827</v>
      </c>
      <c r="B120" s="133">
        <v>45800.0</v>
      </c>
      <c r="C120" s="134">
        <f t="shared" si="6"/>
        <v>2025</v>
      </c>
      <c r="D120" s="135">
        <f t="shared" si="7"/>
        <v>5</v>
      </c>
      <c r="E120" s="136" t="s">
        <v>36</v>
      </c>
      <c r="F120" s="137">
        <f t="array" ref="F120">XLOOKUP(E120,'Maestro de productos 2025'!$B$189:$B$196,'Maestro de productos 2025'!$D$189:$D$196,"No encontrado",0)</f>
        <v>7</v>
      </c>
      <c r="G120" s="137">
        <f t="array" ref="G120">XLOOKUP(E120,'Maestro de productos 2025'!$B$189:$B$196,'Maestro de productos 2025'!$E$189:$E$196,"No encontrado",0)</f>
        <v>3.1117795</v>
      </c>
      <c r="H120" s="138">
        <v>30.0</v>
      </c>
      <c r="I120" s="159">
        <f t="array" ref="I120">IF((XLOOKUP($E120,'Maestro de productos 2025'!$B$189:$B$196,'Maestro de productos 2025'!$C$189:$C$196,"No encontrado",0)-H120)&lt;=0,"0",(VLOOKUP($E120,'Maestro de productos 2025'!$B$189:$C$196,2,0)-$H120))</f>
        <v>5</v>
      </c>
      <c r="J120" s="137">
        <f t="shared" si="8"/>
        <v>93.35338501</v>
      </c>
      <c r="K120" s="137">
        <f t="shared" si="9"/>
        <v>210</v>
      </c>
      <c r="L120" s="132">
        <f t="shared" si="10"/>
        <v>35</v>
      </c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</row>
    <row r="121">
      <c r="A121" s="28" t="str">
        <f t="array" ref="A121">XLOOKUP($E121,'Maestro de productos 2024'!$A$3:$A$163,'Maestro de productos 2024'!$B$3:$B$163,0)</f>
        <v>ID-3828</v>
      </c>
      <c r="B121" s="133">
        <v>45805.0</v>
      </c>
      <c r="C121" s="134">
        <f t="shared" si="6"/>
        <v>2025</v>
      </c>
      <c r="D121" s="135">
        <f t="shared" si="7"/>
        <v>5</v>
      </c>
      <c r="E121" s="136" t="s">
        <v>38</v>
      </c>
      <c r="F121" s="137">
        <f t="array" ref="F121">XLOOKUP(E121,'Maestro de productos 2025'!$B$189:$B$196,'Maestro de productos 2025'!$D$189:$D$196,"No encontrado",0)</f>
        <v>21</v>
      </c>
      <c r="G121" s="137">
        <f t="array" ref="G121">XLOOKUP(E121,'Maestro de productos 2025'!$B$189:$B$196,'Maestro de productos 2025'!$E$189:$E$196,"No encontrado",0)</f>
        <v>8.35935114</v>
      </c>
      <c r="H121" s="138">
        <v>24.0</v>
      </c>
      <c r="I121" s="134" t="str">
        <f t="array" ref="I121">IF((XLOOKUP($E121,'Maestro de productos 2025'!$B$189:$B$196,'Maestro de productos 2025'!$C$189:$C$196,"No encontrado",0)-H121)&lt;=0,"0",(VLOOKUP($E121,'Maestro de productos 2025'!$B$189:$C$196,2,0)-$H121))</f>
        <v>0</v>
      </c>
      <c r="J121" s="137">
        <f t="shared" si="8"/>
        <v>200.6244274</v>
      </c>
      <c r="K121" s="137">
        <f t="shared" si="9"/>
        <v>504</v>
      </c>
      <c r="L121" s="132" t="str">
        <f t="shared" si="10"/>
        <v> </v>
      </c>
      <c r="M121" s="136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</row>
    <row r="122">
      <c r="A122" s="28" t="str">
        <f t="array" ref="A122">XLOOKUP($E122,'Maestro de productos 2024'!$A$3:$A$163,'Maestro de productos 2024'!$B$3:$B$163,0)</f>
        <v>ID-3824</v>
      </c>
      <c r="B122" s="133">
        <v>45807.0</v>
      </c>
      <c r="C122" s="134">
        <f t="shared" si="6"/>
        <v>2025</v>
      </c>
      <c r="D122" s="135">
        <f t="shared" si="7"/>
        <v>5</v>
      </c>
      <c r="E122" s="136" t="s">
        <v>34</v>
      </c>
      <c r="F122" s="137">
        <f t="array" ref="F122">XLOOKUP(E122,'Maestro de productos 2025'!$B$189:$B$196,'Maestro de productos 2025'!$D$189:$D$196,"No encontrado",0)</f>
        <v>10</v>
      </c>
      <c r="G122" s="137">
        <f t="array" ref="G122">XLOOKUP(E122,'Maestro de productos 2025'!$B$189:$B$196,'Maestro de productos 2025'!$E$189:$E$196,"No encontrado",0)</f>
        <v>4.07174399</v>
      </c>
      <c r="H122" s="138">
        <v>32.0</v>
      </c>
      <c r="I122" s="134" t="str">
        <f t="array" ref="I122">IF((XLOOKUP($E122,'Maestro de productos 2025'!$B$189:$B$196,'Maestro de productos 2025'!$C$189:$C$196,"No encontrado",0)-H122)&lt;=0,"0",(VLOOKUP($E122,'Maestro de productos 2025'!$B$189:$C$196,2,0)-$H122))</f>
        <v>0</v>
      </c>
      <c r="J122" s="137">
        <f t="shared" si="8"/>
        <v>130.2958077</v>
      </c>
      <c r="K122" s="137">
        <f t="shared" si="9"/>
        <v>320</v>
      </c>
      <c r="L122" s="132" t="str">
        <f t="shared" si="10"/>
        <v> </v>
      </c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</row>
    <row r="123">
      <c r="A123" s="28" t="str">
        <f t="array" ref="A123">XLOOKUP($E123,'Maestro de productos 2024'!$A$3:$A$163,'Maestro de productos 2024'!$B$3:$B$163,0)</f>
        <v>ID-3828</v>
      </c>
      <c r="B123" s="133">
        <v>45812.0</v>
      </c>
      <c r="C123" s="134">
        <f t="shared" si="6"/>
        <v>2025</v>
      </c>
      <c r="D123" s="135">
        <f t="shared" si="7"/>
        <v>6</v>
      </c>
      <c r="E123" s="136" t="s">
        <v>38</v>
      </c>
      <c r="F123" s="137">
        <f t="array" ref="F123">XLOOKUP(E123,'Maestro de productos 2025'!$B$189:$B$196,'Maestro de productos 2025'!$D$189:$D$196,"No encontrado",0)</f>
        <v>21</v>
      </c>
      <c r="G123" s="137">
        <f t="array" ref="G123">XLOOKUP(E123,'Maestro de productos 2025'!$B$189:$B$196,'Maestro de productos 2025'!$E$189:$E$196,"No encontrado",0)</f>
        <v>8.35935114</v>
      </c>
      <c r="H123" s="138">
        <v>12.0</v>
      </c>
      <c r="I123" s="134" t="str">
        <f t="array" ref="I123">IF((XLOOKUP($E123,'Maestro de productos 2025'!$B$189:$B$196,'Maestro de productos 2025'!$C$189:$C$196,"No encontrado",0)-H123)&lt;=0,"0",(VLOOKUP($E123,'Maestro de productos 2025'!$B$189:$C$196,2,0)-$H123))</f>
        <v>0</v>
      </c>
      <c r="J123" s="137">
        <f t="shared" si="8"/>
        <v>100.3122137</v>
      </c>
      <c r="K123" s="137">
        <f t="shared" si="9"/>
        <v>252</v>
      </c>
      <c r="L123" s="132" t="str">
        <f t="shared" si="10"/>
        <v> </v>
      </c>
      <c r="M123" s="136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</row>
    <row r="124">
      <c r="A124" s="28" t="str">
        <f t="array" ref="A124">XLOOKUP($E124,'Maestro de productos 2024'!$A$3:$A$163,'Maestro de productos 2024'!$B$3:$B$163,0)</f>
        <v>ID-3828</v>
      </c>
      <c r="B124" s="133">
        <v>45814.0</v>
      </c>
      <c r="C124" s="134">
        <f t="shared" si="6"/>
        <v>2025</v>
      </c>
      <c r="D124" s="135">
        <f t="shared" si="7"/>
        <v>6</v>
      </c>
      <c r="E124" s="136" t="s">
        <v>38</v>
      </c>
      <c r="F124" s="137">
        <f t="array" ref="F124">XLOOKUP(E124,'Maestro de productos 2025'!$B$189:$B$196,'Maestro de productos 2025'!$D$189:$D$196,"No encontrado",0)</f>
        <v>21</v>
      </c>
      <c r="G124" s="137">
        <f t="array" ref="G124">XLOOKUP(E124,'Maestro de productos 2025'!$B$189:$B$196,'Maestro de productos 2025'!$E$189:$E$196,"No encontrado",0)</f>
        <v>8.35935114</v>
      </c>
      <c r="H124" s="138">
        <v>24.0</v>
      </c>
      <c r="I124" s="134" t="str">
        <f t="array" ref="I124">IF((XLOOKUP($E124,'Maestro de productos 2025'!$B$189:$B$196,'Maestro de productos 2025'!$C$189:$C$196,"No encontrado",0)-H124)&lt;=0,"0",(VLOOKUP($E124,'Maestro de productos 2025'!$B$189:$C$196,2,0)-$H124))</f>
        <v>0</v>
      </c>
      <c r="J124" s="137">
        <f t="shared" si="8"/>
        <v>200.6244274</v>
      </c>
      <c r="K124" s="137">
        <f t="shared" si="9"/>
        <v>504</v>
      </c>
      <c r="L124" s="132" t="str">
        <f t="shared" si="10"/>
        <v> </v>
      </c>
      <c r="M124" s="136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</row>
    <row r="125">
      <c r="A125" s="28" t="str">
        <f t="array" ref="A125">XLOOKUP($E125,'Maestro de productos 2024'!$A$3:$A$163,'Maestro de productos 2024'!$B$3:$B$163,0)</f>
        <v>ID-3827</v>
      </c>
      <c r="B125" s="133">
        <v>45819.0</v>
      </c>
      <c r="C125" s="134">
        <f t="shared" si="6"/>
        <v>2025</v>
      </c>
      <c r="D125" s="135">
        <f t="shared" si="7"/>
        <v>6</v>
      </c>
      <c r="E125" s="136" t="s">
        <v>36</v>
      </c>
      <c r="F125" s="137">
        <f t="array" ref="F125">XLOOKUP(E125,'Maestro de productos 2025'!$B$189:$B$196,'Maestro de productos 2025'!$D$189:$D$196,"No encontrado",0)</f>
        <v>7</v>
      </c>
      <c r="G125" s="137">
        <f t="array" ref="G125">XLOOKUP(E125,'Maestro de productos 2025'!$B$189:$B$196,'Maestro de productos 2025'!$E$189:$E$196,"No encontrado",0)</f>
        <v>3.1117795</v>
      </c>
      <c r="H125" s="138">
        <v>30.0</v>
      </c>
      <c r="I125" s="159">
        <f t="array" ref="I125">IF((XLOOKUP($E125,'Maestro de productos 2025'!$B$189:$B$196,'Maestro de productos 2025'!$C$189:$C$196,"No encontrado",0)-H125)&lt;=0,"0",(VLOOKUP($E125,'Maestro de productos 2025'!$B$189:$C$196,2,0)-$H125))</f>
        <v>5</v>
      </c>
      <c r="J125" s="137">
        <f t="shared" si="8"/>
        <v>93.35338501</v>
      </c>
      <c r="K125" s="137">
        <f t="shared" si="9"/>
        <v>210</v>
      </c>
      <c r="L125" s="132">
        <f t="shared" si="10"/>
        <v>35</v>
      </c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</row>
    <row r="126">
      <c r="A126" s="28" t="str">
        <f t="array" ref="A126">XLOOKUP($E126,'Maestro de productos 2024'!$A$3:$A$163,'Maestro de productos 2024'!$B$3:$B$163,0)</f>
        <v>ID-3826</v>
      </c>
      <c r="B126" s="133">
        <v>45821.0</v>
      </c>
      <c r="C126" s="134">
        <f t="shared" si="6"/>
        <v>2025</v>
      </c>
      <c r="D126" s="135">
        <f t="shared" si="7"/>
        <v>6</v>
      </c>
      <c r="E126" s="136" t="s">
        <v>35</v>
      </c>
      <c r="F126" s="137">
        <f t="array" ref="F126">XLOOKUP(E126,'Maestro de productos 2025'!$B$189:$B$196,'Maestro de productos 2025'!$D$189:$D$196,"No encontrado",0)</f>
        <v>20</v>
      </c>
      <c r="G126" s="137">
        <f t="array" ref="G126">XLOOKUP(E126,'Maestro de productos 2025'!$B$189:$B$196,'Maestro de productos 2025'!$E$189:$E$196,"No encontrado",0)</f>
        <v>8.073123457</v>
      </c>
      <c r="H126" s="138">
        <v>18.0</v>
      </c>
      <c r="I126" s="134" t="str">
        <f t="array" ref="I126">IF((XLOOKUP($E126,'Maestro de productos 2025'!$B$189:$B$196,'Maestro de productos 2025'!$C$189:$C$196,"No encontrado",0)-H126)&lt;=0,"0",(VLOOKUP($E126,'Maestro de productos 2025'!$B$189:$C$196,2,0)-$H126))</f>
        <v>0</v>
      </c>
      <c r="J126" s="137">
        <f t="shared" si="8"/>
        <v>145.3162222</v>
      </c>
      <c r="K126" s="137">
        <f t="shared" si="9"/>
        <v>360</v>
      </c>
      <c r="L126" s="132" t="str">
        <f t="shared" si="10"/>
        <v> </v>
      </c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</row>
    <row r="127">
      <c r="A127" s="28" t="str">
        <f t="array" ref="A127">XLOOKUP($E127,'Maestro de productos 2024'!$A$3:$A$163,'Maestro de productos 2024'!$B$3:$B$163,0)</f>
        <v>ID-3824</v>
      </c>
      <c r="B127" s="133">
        <v>45826.0</v>
      </c>
      <c r="C127" s="134">
        <f t="shared" si="6"/>
        <v>2025</v>
      </c>
      <c r="D127" s="135">
        <f t="shared" si="7"/>
        <v>6</v>
      </c>
      <c r="E127" s="136" t="s">
        <v>34</v>
      </c>
      <c r="F127" s="137">
        <f t="array" ref="F127">XLOOKUP(E127,'Maestro de productos 2025'!$B$189:$B$196,'Maestro de productos 2025'!$D$189:$D$196,"No encontrado",0)</f>
        <v>10</v>
      </c>
      <c r="G127" s="137">
        <f t="array" ref="G127">XLOOKUP(E127,'Maestro de productos 2025'!$B$189:$B$196,'Maestro de productos 2025'!$E$189:$E$196,"No encontrado",0)</f>
        <v>4.07174399</v>
      </c>
      <c r="H127" s="138">
        <v>32.0</v>
      </c>
      <c r="I127" s="134" t="str">
        <f t="array" ref="I127">IF((XLOOKUP($E127,'Maestro de productos 2025'!$B$189:$B$196,'Maestro de productos 2025'!$C$189:$C$196,"No encontrado",0)-H127)&lt;=0,"0",(VLOOKUP($E127,'Maestro de productos 2025'!$B$189:$C$196,2,0)-$H127))</f>
        <v>0</v>
      </c>
      <c r="J127" s="137">
        <f t="shared" si="8"/>
        <v>130.2958077</v>
      </c>
      <c r="K127" s="137">
        <f t="shared" si="9"/>
        <v>320</v>
      </c>
      <c r="L127" s="132" t="str">
        <f t="shared" si="10"/>
        <v> </v>
      </c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</row>
    <row r="128">
      <c r="A128" s="28" t="str">
        <f t="array" ref="A128">XLOOKUP($E128,'Maestro de productos 2024'!$A$3:$A$163,'Maestro de productos 2024'!$B$3:$B$163,0)</f>
        <v>ID-3825</v>
      </c>
      <c r="B128" s="133">
        <v>45828.0</v>
      </c>
      <c r="C128" s="134">
        <f t="shared" si="6"/>
        <v>2025</v>
      </c>
      <c r="D128" s="135">
        <f t="shared" si="7"/>
        <v>6</v>
      </c>
      <c r="E128" s="136" t="s">
        <v>37</v>
      </c>
      <c r="F128" s="137">
        <f t="array" ref="F128">XLOOKUP(E128,'Maestro de productos 2025'!$B$189:$B$196,'Maestro de productos 2025'!$D$189:$D$196,"No encontrado",0)</f>
        <v>25</v>
      </c>
      <c r="G128" s="137">
        <f t="array" ref="G128">XLOOKUP(E128,'Maestro de productos 2025'!$B$189:$B$196,'Maestro de productos 2025'!$E$189:$E$196,"No encontrado",0)</f>
        <v>10.26450643</v>
      </c>
      <c r="H128" s="138">
        <v>15.0</v>
      </c>
      <c r="I128" s="159">
        <f t="array" ref="I128">IF((XLOOKUP($E128,'Maestro de productos 2025'!$B$189:$B$196,'Maestro de productos 2025'!$C$189:$C$196,"No encontrado",0)-H128)&lt;=0,"0",(VLOOKUP($E128,'Maestro de productos 2025'!$B$189:$C$196,2,0)-$H128))</f>
        <v>1</v>
      </c>
      <c r="J128" s="137">
        <f t="shared" si="8"/>
        <v>153.9675965</v>
      </c>
      <c r="K128" s="137">
        <f t="shared" si="9"/>
        <v>375</v>
      </c>
      <c r="L128" s="132">
        <f t="shared" si="10"/>
        <v>25</v>
      </c>
      <c r="M128" s="136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</row>
    <row r="129">
      <c r="A129" s="28" t="str">
        <f t="array" ref="A129">XLOOKUP($E129,'Maestro de productos 2024'!$A$3:$A$163,'Maestro de productos 2024'!$B$3:$B$163,0)</f>
        <v>ID-3831</v>
      </c>
      <c r="B129" s="133">
        <v>45833.0</v>
      </c>
      <c r="C129" s="134">
        <f t="shared" si="6"/>
        <v>2025</v>
      </c>
      <c r="D129" s="135">
        <f t="shared" si="7"/>
        <v>6</v>
      </c>
      <c r="E129" s="136" t="s">
        <v>109</v>
      </c>
      <c r="F129" s="137">
        <f t="array" ref="F129">XLOOKUP(E129,'Maestro de productos 2025'!$B$189:$B$196,'Maestro de productos 2025'!$D$189:$D$196,"No encontrado",0)</f>
        <v>20</v>
      </c>
      <c r="G129" s="137">
        <f t="array" ref="G129">XLOOKUP(E129,'Maestro de productos 2025'!$B$189:$B$196,'Maestro de productos 2025'!$E$189:$E$196,"No encontrado",0)</f>
        <v>7.889760073</v>
      </c>
      <c r="H129" s="138">
        <v>14.0</v>
      </c>
      <c r="I129" s="134" t="str">
        <f t="array" ref="I129">IF((XLOOKUP($E129,'Maestro de productos 2025'!$B$189:$B$196,'Maestro de productos 2025'!$C$189:$C$196,"No encontrado",0)-H129)&lt;=0,"0",(VLOOKUP($E129,'Maestro de productos 2025'!$B$189:$C$196,2,0)-$H129))</f>
        <v>0</v>
      </c>
      <c r="J129" s="137">
        <f t="shared" si="8"/>
        <v>110.456641</v>
      </c>
      <c r="K129" s="137">
        <f t="shared" si="9"/>
        <v>280</v>
      </c>
      <c r="L129" s="132" t="str">
        <f t="shared" si="10"/>
        <v> </v>
      </c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</row>
    <row r="130">
      <c r="A130" s="28" t="str">
        <f t="array" ref="A130">XLOOKUP($E130,'Maestro de productos 2024'!$A$3:$A$163,'Maestro de productos 2024'!$B$3:$B$163,0)</f>
        <v>ID-3827</v>
      </c>
      <c r="B130" s="133">
        <v>45835.0</v>
      </c>
      <c r="C130" s="134">
        <f t="shared" si="6"/>
        <v>2025</v>
      </c>
      <c r="D130" s="135">
        <f t="shared" si="7"/>
        <v>6</v>
      </c>
      <c r="E130" s="136" t="s">
        <v>36</v>
      </c>
      <c r="F130" s="137">
        <f t="array" ref="F130">XLOOKUP(E130,'Maestro de productos 2025'!$B$189:$B$196,'Maestro de productos 2025'!$D$189:$D$196,"No encontrado",0)</f>
        <v>7</v>
      </c>
      <c r="G130" s="137">
        <f t="array" ref="G130">XLOOKUP(E130,'Maestro de productos 2025'!$B$189:$B$196,'Maestro de productos 2025'!$E$189:$E$196,"No encontrado",0)</f>
        <v>3.1117795</v>
      </c>
      <c r="H130" s="138">
        <v>32.0</v>
      </c>
      <c r="I130" s="159">
        <f t="array" ref="I130">IF((XLOOKUP($E130,'Maestro de productos 2025'!$B$189:$B$196,'Maestro de productos 2025'!$C$189:$C$196,"No encontrado",0)-H130)&lt;=0,"0",(VLOOKUP($E130,'Maestro de productos 2025'!$B$189:$C$196,2,0)-$H130))</f>
        <v>3</v>
      </c>
      <c r="J130" s="137">
        <f t="shared" si="8"/>
        <v>99.57694401</v>
      </c>
      <c r="K130" s="137">
        <f t="shared" si="9"/>
        <v>224</v>
      </c>
      <c r="L130" s="132">
        <f t="shared" si="10"/>
        <v>21</v>
      </c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</row>
    <row r="131">
      <c r="A131" s="28" t="str">
        <f t="array" ref="A131">XLOOKUP($E131,'Maestro de productos 2024'!$A$3:$A$163,'Maestro de productos 2024'!$B$3:$B$163,0)</f>
        <v>ID-3828</v>
      </c>
      <c r="B131" s="133">
        <v>45840.0</v>
      </c>
      <c r="C131" s="134">
        <f t="shared" si="6"/>
        <v>2025</v>
      </c>
      <c r="D131" s="135">
        <f t="shared" si="7"/>
        <v>7</v>
      </c>
      <c r="E131" s="136" t="s">
        <v>38</v>
      </c>
      <c r="F131" s="137">
        <f t="array" ref="F131">XLOOKUP(E131,'Maestro de productos 2025'!$B$189:$B$196,'Maestro de productos 2025'!$D$189:$D$196,"No encontrado",0)</f>
        <v>21</v>
      </c>
      <c r="G131" s="137">
        <f t="array" ref="G131">XLOOKUP(E131,'Maestro de productos 2025'!$B$189:$B$196,'Maestro de productos 2025'!$E$189:$E$196,"No encontrado",0)</f>
        <v>8.35935114</v>
      </c>
      <c r="H131" s="138">
        <v>24.0</v>
      </c>
      <c r="I131" s="134" t="str">
        <f t="array" ref="I131">IF((XLOOKUP($E131,'Maestro de productos 2025'!$B$189:$B$196,'Maestro de productos 2025'!$C$189:$C$196,"No encontrado",0)-H131)&lt;=0,"0",(VLOOKUP($E131,'Maestro de productos 2025'!$B$189:$C$196,2,0)-$H131))</f>
        <v>0</v>
      </c>
      <c r="J131" s="137">
        <f t="shared" si="8"/>
        <v>200.6244274</v>
      </c>
      <c r="K131" s="137">
        <f t="shared" si="9"/>
        <v>504</v>
      </c>
      <c r="L131" s="132" t="str">
        <f t="shared" si="10"/>
        <v> </v>
      </c>
      <c r="M131" s="136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</row>
    <row r="132">
      <c r="A132" s="28" t="str">
        <f t="array" ref="A132">XLOOKUP($E132,'Maestro de productos 2024'!$A$3:$A$163,'Maestro de productos 2024'!$B$3:$B$163,0)</f>
        <v>ID-3824</v>
      </c>
      <c r="B132" s="133">
        <v>45842.0</v>
      </c>
      <c r="C132" s="134">
        <f t="shared" si="6"/>
        <v>2025</v>
      </c>
      <c r="D132" s="135">
        <f t="shared" si="7"/>
        <v>7</v>
      </c>
      <c r="E132" s="136" t="s">
        <v>34</v>
      </c>
      <c r="F132" s="137">
        <f t="array" ref="F132">XLOOKUP(E132,'Maestro de productos 2025'!$B$189:$B$196,'Maestro de productos 2025'!$D$189:$D$196,"No encontrado",0)</f>
        <v>10</v>
      </c>
      <c r="G132" s="137">
        <f t="array" ref="G132">XLOOKUP(E132,'Maestro de productos 2025'!$B$189:$B$196,'Maestro de productos 2025'!$E$189:$E$196,"No encontrado",0)</f>
        <v>4.07174399</v>
      </c>
      <c r="H132" s="138">
        <v>31.0</v>
      </c>
      <c r="I132" s="159">
        <f t="array" ref="I132">IF((XLOOKUP($E132,'Maestro de productos 2025'!$B$189:$B$196,'Maestro de productos 2025'!$C$189:$C$196,"No encontrado",0)-H132)&lt;=0,"0",(VLOOKUP($E132,'Maestro de productos 2025'!$B$189:$C$196,2,0)-$H132))</f>
        <v>1</v>
      </c>
      <c r="J132" s="137">
        <f t="shared" si="8"/>
        <v>126.2240637</v>
      </c>
      <c r="K132" s="137">
        <f t="shared" si="9"/>
        <v>310</v>
      </c>
      <c r="L132" s="132">
        <f t="shared" si="10"/>
        <v>10</v>
      </c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</row>
    <row r="133">
      <c r="A133" s="28" t="str">
        <f t="array" ref="A133">XLOOKUP($E133,'Maestro de productos 2024'!$A$3:$A$163,'Maestro de productos 2024'!$B$3:$B$163,0)</f>
        <v>ID-3825</v>
      </c>
      <c r="B133" s="133">
        <v>45847.0</v>
      </c>
      <c r="C133" s="134">
        <f t="shared" si="6"/>
        <v>2025</v>
      </c>
      <c r="D133" s="135">
        <f t="shared" si="7"/>
        <v>7</v>
      </c>
      <c r="E133" s="136" t="s">
        <v>37</v>
      </c>
      <c r="F133" s="137">
        <f t="array" ref="F133">XLOOKUP(E133,'Maestro de productos 2025'!$B$189:$B$196,'Maestro de productos 2025'!$D$189:$D$196,"No encontrado",0)</f>
        <v>25</v>
      </c>
      <c r="G133" s="137">
        <f t="array" ref="G133">XLOOKUP(E133,'Maestro de productos 2025'!$B$189:$B$196,'Maestro de productos 2025'!$E$189:$E$196,"No encontrado",0)</f>
        <v>10.26450643</v>
      </c>
      <c r="H133" s="138">
        <v>14.0</v>
      </c>
      <c r="I133" s="159">
        <f t="array" ref="I133">IF((XLOOKUP($E133,'Maestro de productos 2025'!$B$189:$B$196,'Maestro de productos 2025'!$C$189:$C$196,"No encontrado",0)-H133)&lt;=0,"0",(VLOOKUP($E133,'Maestro de productos 2025'!$B$189:$C$196,2,0)-$H133))</f>
        <v>2</v>
      </c>
      <c r="J133" s="137">
        <f t="shared" si="8"/>
        <v>143.7030901</v>
      </c>
      <c r="K133" s="137">
        <f t="shared" si="9"/>
        <v>350</v>
      </c>
      <c r="L133" s="132">
        <f t="shared" si="10"/>
        <v>50</v>
      </c>
      <c r="M133" s="136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</row>
    <row r="134">
      <c r="A134" s="28" t="str">
        <f t="array" ref="A134">XLOOKUP($E134,'Maestro de productos 2024'!$A$3:$A$163,'Maestro de productos 2024'!$B$3:$B$163,0)</f>
        <v>ID-3831</v>
      </c>
      <c r="B134" s="133">
        <v>45849.0</v>
      </c>
      <c r="C134" s="134">
        <f t="shared" si="6"/>
        <v>2025</v>
      </c>
      <c r="D134" s="135">
        <f t="shared" si="7"/>
        <v>7</v>
      </c>
      <c r="E134" s="136" t="s">
        <v>109</v>
      </c>
      <c r="F134" s="137">
        <f t="array" ref="F134">XLOOKUP(E134,'Maestro de productos 2025'!$B$189:$B$196,'Maestro de productos 2025'!$D$189:$D$196,"No encontrado",0)</f>
        <v>20</v>
      </c>
      <c r="G134" s="137">
        <f t="array" ref="G134">XLOOKUP(E134,'Maestro de productos 2025'!$B$189:$B$196,'Maestro de productos 2025'!$E$189:$E$196,"No encontrado",0)</f>
        <v>7.889760073</v>
      </c>
      <c r="H134" s="138">
        <v>13.0</v>
      </c>
      <c r="I134" s="159">
        <f t="array" ref="I134">IF((XLOOKUP($E134,'Maestro de productos 2025'!$B$189:$B$196,'Maestro de productos 2025'!$C$189:$C$196,"No encontrado",0)-H134)&lt;=0,"0",(VLOOKUP($E134,'Maestro de productos 2025'!$B$189:$C$196,2,0)-$H134))</f>
        <v>1</v>
      </c>
      <c r="J134" s="137">
        <f t="shared" si="8"/>
        <v>102.566881</v>
      </c>
      <c r="K134" s="137">
        <f t="shared" si="9"/>
        <v>260</v>
      </c>
      <c r="L134" s="132">
        <f t="shared" si="10"/>
        <v>20</v>
      </c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</row>
    <row r="135">
      <c r="A135" s="28" t="str">
        <f t="array" ref="A135">XLOOKUP($E135,'Maestro de productos 2024'!$A$3:$A$163,'Maestro de productos 2024'!$B$3:$B$163,0)</f>
        <v>ID-3827</v>
      </c>
      <c r="B135" s="133">
        <v>45854.0</v>
      </c>
      <c r="C135" s="134">
        <f t="shared" si="6"/>
        <v>2025</v>
      </c>
      <c r="D135" s="135">
        <f t="shared" si="7"/>
        <v>7</v>
      </c>
      <c r="E135" s="136" t="s">
        <v>36</v>
      </c>
      <c r="F135" s="137">
        <f t="array" ref="F135">XLOOKUP(E135,'Maestro de productos 2025'!$B$189:$B$196,'Maestro de productos 2025'!$D$189:$D$196,"No encontrado",0)</f>
        <v>7</v>
      </c>
      <c r="G135" s="137">
        <f t="array" ref="G135">XLOOKUP(E135,'Maestro de productos 2025'!$B$189:$B$196,'Maestro de productos 2025'!$E$189:$E$196,"No encontrado",0)</f>
        <v>3.1117795</v>
      </c>
      <c r="H135" s="138">
        <v>35.0</v>
      </c>
      <c r="I135" s="134" t="str">
        <f t="array" ref="I135">IF((XLOOKUP($E135,'Maestro de productos 2025'!$B$189:$B$196,'Maestro de productos 2025'!$C$189:$C$196,"No encontrado",0)-H135)&lt;=0,"0",(VLOOKUP($E135,'Maestro de productos 2025'!$B$189:$C$196,2,0)-$H135))</f>
        <v>0</v>
      </c>
      <c r="J135" s="137">
        <f t="shared" si="8"/>
        <v>108.9122825</v>
      </c>
      <c r="K135" s="137">
        <f t="shared" si="9"/>
        <v>245</v>
      </c>
      <c r="L135" s="132" t="str">
        <f t="shared" si="10"/>
        <v> </v>
      </c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</row>
    <row r="136">
      <c r="A136" s="28" t="str">
        <f t="array" ref="A136">XLOOKUP($E136,'Maestro de productos 2024'!$A$3:$A$163,'Maestro de productos 2024'!$B$3:$B$163,0)</f>
        <v>ID-3826</v>
      </c>
      <c r="B136" s="133">
        <v>45856.0</v>
      </c>
      <c r="C136" s="134">
        <f t="shared" si="6"/>
        <v>2025</v>
      </c>
      <c r="D136" s="135">
        <f t="shared" si="7"/>
        <v>7</v>
      </c>
      <c r="E136" s="136" t="s">
        <v>35</v>
      </c>
      <c r="F136" s="137">
        <f t="array" ref="F136">XLOOKUP(E136,'Maestro de productos 2025'!$B$189:$B$196,'Maestro de productos 2025'!$D$189:$D$196,"No encontrado",0)</f>
        <v>20</v>
      </c>
      <c r="G136" s="137">
        <f t="array" ref="G136">XLOOKUP(E136,'Maestro de productos 2025'!$B$189:$B$196,'Maestro de productos 2025'!$E$189:$E$196,"No encontrado",0)</f>
        <v>8.073123457</v>
      </c>
      <c r="H136" s="138">
        <v>17.0</v>
      </c>
      <c r="I136" s="159">
        <f t="array" ref="I136">IF((XLOOKUP($E136,'Maestro de productos 2025'!$B$189:$B$196,'Maestro de productos 2025'!$C$189:$C$196,"No encontrado",0)-H136)&lt;=0,"0",(VLOOKUP($E136,'Maestro de productos 2025'!$B$189:$C$196,2,0)-$H136))</f>
        <v>1</v>
      </c>
      <c r="J136" s="137">
        <f t="shared" si="8"/>
        <v>137.2430988</v>
      </c>
      <c r="K136" s="137">
        <f t="shared" si="9"/>
        <v>340</v>
      </c>
      <c r="L136" s="132">
        <f t="shared" si="10"/>
        <v>20</v>
      </c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</row>
    <row r="137">
      <c r="A137" s="28" t="str">
        <f t="array" ref="A137">XLOOKUP($E137,'Maestro de productos 2024'!$A$3:$A$163,'Maestro de productos 2024'!$B$3:$B$163,0)</f>
        <v>ID-3828</v>
      </c>
      <c r="B137" s="133">
        <v>45861.0</v>
      </c>
      <c r="C137" s="134">
        <f t="shared" si="6"/>
        <v>2025</v>
      </c>
      <c r="D137" s="135">
        <f t="shared" si="7"/>
        <v>7</v>
      </c>
      <c r="E137" s="136" t="s">
        <v>38</v>
      </c>
      <c r="F137" s="137">
        <f t="array" ref="F137">XLOOKUP(E137,'Maestro de productos 2025'!$B$189:$B$196,'Maestro de productos 2025'!$D$189:$D$196,"No encontrado",0)</f>
        <v>21</v>
      </c>
      <c r="G137" s="137">
        <f t="array" ref="G137">XLOOKUP(E137,'Maestro de productos 2025'!$B$189:$B$196,'Maestro de productos 2025'!$E$189:$E$196,"No encontrado",0)</f>
        <v>8.35935114</v>
      </c>
      <c r="H137" s="138">
        <v>12.0</v>
      </c>
      <c r="I137" s="134" t="str">
        <f t="array" ref="I137">IF((XLOOKUP($E137,'Maestro de productos 2025'!$B$189:$B$196,'Maestro de productos 2025'!$C$189:$C$196,"No encontrado",0)-H137)&lt;=0,"0",(VLOOKUP($E137,'Maestro de productos 2025'!$B$189:$C$196,2,0)-$H137))</f>
        <v>0</v>
      </c>
      <c r="J137" s="137">
        <f t="shared" si="8"/>
        <v>100.3122137</v>
      </c>
      <c r="K137" s="137">
        <f t="shared" si="9"/>
        <v>252</v>
      </c>
      <c r="L137" s="132" t="str">
        <f t="shared" si="10"/>
        <v> </v>
      </c>
      <c r="M137" s="136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</row>
    <row r="138">
      <c r="A138" s="28" t="str">
        <f t="array" ref="A138">XLOOKUP($E138,'Maestro de productos 2024'!$A$3:$A$163,'Maestro de productos 2024'!$B$3:$B$163,0)</f>
        <v>ID-3827</v>
      </c>
      <c r="B138" s="133">
        <v>45863.0</v>
      </c>
      <c r="C138" s="134">
        <f t="shared" si="6"/>
        <v>2025</v>
      </c>
      <c r="D138" s="135">
        <f t="shared" si="7"/>
        <v>7</v>
      </c>
      <c r="E138" s="136" t="s">
        <v>36</v>
      </c>
      <c r="F138" s="137">
        <f t="array" ref="F138">XLOOKUP(E138,'Maestro de productos 2025'!$B$189:$B$196,'Maestro de productos 2025'!$D$189:$D$196,"No encontrado",0)</f>
        <v>7</v>
      </c>
      <c r="G138" s="137">
        <f t="array" ref="G138">XLOOKUP(E138,'Maestro de productos 2025'!$B$189:$B$196,'Maestro de productos 2025'!$E$189:$E$196,"No encontrado",0)</f>
        <v>3.1117795</v>
      </c>
      <c r="H138" s="138">
        <v>33.0</v>
      </c>
      <c r="I138" s="159">
        <f t="array" ref="I138">IF((XLOOKUP($E138,'Maestro de productos 2025'!$B$189:$B$196,'Maestro de productos 2025'!$C$189:$C$196,"No encontrado",0)-H138)&lt;=0,"0",(VLOOKUP($E138,'Maestro de productos 2025'!$B$189:$C$196,2,0)-$H138))</f>
        <v>2</v>
      </c>
      <c r="J138" s="137">
        <f t="shared" si="8"/>
        <v>102.6887235</v>
      </c>
      <c r="K138" s="137">
        <f t="shared" si="9"/>
        <v>231</v>
      </c>
      <c r="L138" s="132">
        <f t="shared" si="10"/>
        <v>14</v>
      </c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</row>
    <row r="139">
      <c r="A139" s="28" t="str">
        <f t="array" ref="A139">XLOOKUP($E139,'Maestro de productos 2024'!$A$3:$A$163,'Maestro de productos 2024'!$B$3:$B$163,0)</f>
        <v>ID-3828</v>
      </c>
      <c r="B139" s="133">
        <v>45868.0</v>
      </c>
      <c r="C139" s="134">
        <f t="shared" si="6"/>
        <v>2025</v>
      </c>
      <c r="D139" s="135">
        <f t="shared" si="7"/>
        <v>7</v>
      </c>
      <c r="E139" s="136" t="s">
        <v>38</v>
      </c>
      <c r="F139" s="137">
        <f t="array" ref="F139">XLOOKUP(E139,'Maestro de productos 2025'!$B$189:$B$196,'Maestro de productos 2025'!$D$189:$D$196,"No encontrado",0)</f>
        <v>21</v>
      </c>
      <c r="G139" s="137">
        <f t="array" ref="G139">XLOOKUP(E139,'Maestro de productos 2025'!$B$189:$B$196,'Maestro de productos 2025'!$E$189:$E$196,"No encontrado",0)</f>
        <v>8.35935114</v>
      </c>
      <c r="H139" s="138">
        <v>12.0</v>
      </c>
      <c r="I139" s="134" t="str">
        <f t="array" ref="I139">IF((XLOOKUP($E139,'Maestro de productos 2025'!$B$189:$B$196,'Maestro de productos 2025'!$C$189:$C$196,"No encontrado",0)-H139)&lt;=0,"0",(VLOOKUP($E139,'Maestro de productos 2025'!$B$189:$C$196,2,0)-$H139))</f>
        <v>0</v>
      </c>
      <c r="J139" s="137">
        <f t="shared" si="8"/>
        <v>100.3122137</v>
      </c>
      <c r="K139" s="137">
        <f t="shared" si="9"/>
        <v>252</v>
      </c>
      <c r="L139" s="132" t="str">
        <f t="shared" si="10"/>
        <v> </v>
      </c>
      <c r="M139" s="136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</row>
    <row r="140">
      <c r="A140" s="28" t="str">
        <f t="array" ref="A140">XLOOKUP($E140,'Maestro de productos 2024'!$A$3:$A$163,'Maestro de productos 2024'!$B$3:$B$163,0)</f>
        <v>ID-3831</v>
      </c>
      <c r="B140" s="133">
        <v>45870.0</v>
      </c>
      <c r="C140" s="134">
        <f t="shared" si="6"/>
        <v>2025</v>
      </c>
      <c r="D140" s="135">
        <f t="shared" si="7"/>
        <v>8</v>
      </c>
      <c r="E140" s="136" t="s">
        <v>109</v>
      </c>
      <c r="F140" s="137">
        <f t="array" ref="F140">XLOOKUP(E140,'Maestro de productos 2025'!$B$189:$B$196,'Maestro de productos 2025'!$D$189:$D$196,"No encontrado",0)</f>
        <v>20</v>
      </c>
      <c r="G140" s="137">
        <f t="array" ref="G140">XLOOKUP(E140,'Maestro de productos 2025'!$B$189:$B$196,'Maestro de productos 2025'!$E$189:$E$196,"No encontrado",0)</f>
        <v>7.889760073</v>
      </c>
      <c r="H140" s="138">
        <v>14.0</v>
      </c>
      <c r="I140" s="134" t="str">
        <f t="array" ref="I140">IF((XLOOKUP($E140,'Maestro de productos 2025'!$B$189:$B$196,'Maestro de productos 2025'!$C$189:$C$196,"No encontrado",0)-H140)&lt;=0,"0",(VLOOKUP($E140,'Maestro de productos 2025'!$B$189:$C$196,2,0)-$H140))</f>
        <v>0</v>
      </c>
      <c r="J140" s="137">
        <f t="shared" si="8"/>
        <v>110.456641</v>
      </c>
      <c r="K140" s="137">
        <f t="shared" si="9"/>
        <v>280</v>
      </c>
      <c r="L140" s="132" t="str">
        <f t="shared" si="10"/>
        <v> </v>
      </c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</row>
    <row r="141">
      <c r="A141" s="28" t="str">
        <f t="array" ref="A141">XLOOKUP($E141,'Maestro de productos 2024'!$A$3:$A$163,'Maestro de productos 2024'!$B$3:$B$163,0)</f>
        <v>ID-3826</v>
      </c>
      <c r="B141" s="133">
        <v>45875.0</v>
      </c>
      <c r="C141" s="134">
        <f t="shared" si="6"/>
        <v>2025</v>
      </c>
      <c r="D141" s="135">
        <f t="shared" si="7"/>
        <v>8</v>
      </c>
      <c r="E141" s="136" t="s">
        <v>35</v>
      </c>
      <c r="F141" s="137">
        <f t="array" ref="F141">XLOOKUP(E141,'Maestro de productos 2025'!$B$189:$B$196,'Maestro de productos 2025'!$D$189:$D$196,"No encontrado",0)</f>
        <v>20</v>
      </c>
      <c r="G141" s="137">
        <f t="array" ref="G141">XLOOKUP(E141,'Maestro de productos 2025'!$B$189:$B$196,'Maestro de productos 2025'!$E$189:$E$196,"No encontrado",0)</f>
        <v>8.073123457</v>
      </c>
      <c r="H141" s="138">
        <v>18.0</v>
      </c>
      <c r="I141" s="134" t="str">
        <f t="array" ref="I141">IF((XLOOKUP($E141,'Maestro de productos 2025'!$B$189:$B$196,'Maestro de productos 2025'!$C$189:$C$196,"No encontrado",0)-H141)&lt;=0,"0",(VLOOKUP($E141,'Maestro de productos 2025'!$B$189:$C$196,2,0)-$H141))</f>
        <v>0</v>
      </c>
      <c r="J141" s="137">
        <f t="shared" si="8"/>
        <v>145.3162222</v>
      </c>
      <c r="K141" s="137">
        <f t="shared" si="9"/>
        <v>360</v>
      </c>
      <c r="L141" s="132" t="str">
        <f t="shared" si="10"/>
        <v> </v>
      </c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</row>
    <row r="142">
      <c r="A142" s="28" t="str">
        <f t="array" ref="A142">XLOOKUP($E142,'Maestro de productos 2024'!$A$3:$A$163,'Maestro de productos 2024'!$B$3:$B$163,0)</f>
        <v>ID-3824</v>
      </c>
      <c r="B142" s="133">
        <v>45877.0</v>
      </c>
      <c r="C142" s="134">
        <f t="shared" si="6"/>
        <v>2025</v>
      </c>
      <c r="D142" s="135">
        <f t="shared" si="7"/>
        <v>8</v>
      </c>
      <c r="E142" s="136" t="s">
        <v>34</v>
      </c>
      <c r="F142" s="137">
        <f t="array" ref="F142">XLOOKUP(E142,'Maestro de productos 2025'!$B$189:$B$196,'Maestro de productos 2025'!$D$189:$D$196,"No encontrado",0)</f>
        <v>10</v>
      </c>
      <c r="G142" s="137">
        <f t="array" ref="G142">XLOOKUP(E142,'Maestro de productos 2025'!$B$189:$B$196,'Maestro de productos 2025'!$E$189:$E$196,"No encontrado",0)</f>
        <v>4.07174399</v>
      </c>
      <c r="H142" s="138">
        <v>30.0</v>
      </c>
      <c r="I142" s="159">
        <f t="array" ref="I142">IF((XLOOKUP($E142,'Maestro de productos 2025'!$B$189:$B$196,'Maestro de productos 2025'!$C$189:$C$196,"No encontrado",0)-H142)&lt;=0,"0",(VLOOKUP($E142,'Maestro de productos 2025'!$B$189:$C$196,2,0)-$H142))</f>
        <v>2</v>
      </c>
      <c r="J142" s="137">
        <f t="shared" si="8"/>
        <v>122.1523197</v>
      </c>
      <c r="K142" s="137">
        <f t="shared" si="9"/>
        <v>300</v>
      </c>
      <c r="L142" s="132">
        <f t="shared" si="10"/>
        <v>20</v>
      </c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</row>
    <row r="143">
      <c r="A143" s="28" t="str">
        <f t="array" ref="A143">XLOOKUP($E143,'Maestro de productos 2024'!$A$3:$A$163,'Maestro de productos 2024'!$B$3:$B$163,0)</f>
        <v>ID-3824</v>
      </c>
      <c r="B143" s="133">
        <v>45882.0</v>
      </c>
      <c r="C143" s="134">
        <f t="shared" si="6"/>
        <v>2025</v>
      </c>
      <c r="D143" s="135">
        <f t="shared" si="7"/>
        <v>8</v>
      </c>
      <c r="E143" s="136" t="s">
        <v>34</v>
      </c>
      <c r="F143" s="137">
        <f t="array" ref="F143">XLOOKUP(E143,'Maestro de productos 2025'!$B$189:$B$196,'Maestro de productos 2025'!$D$189:$D$196,"No encontrado",0)</f>
        <v>10</v>
      </c>
      <c r="G143" s="137">
        <f t="array" ref="G143">XLOOKUP(E143,'Maestro de productos 2025'!$B$189:$B$196,'Maestro de productos 2025'!$E$189:$E$196,"No encontrado",0)</f>
        <v>4.07174399</v>
      </c>
      <c r="H143" s="138">
        <v>32.0</v>
      </c>
      <c r="I143" s="134" t="str">
        <f t="array" ref="I143">IF((XLOOKUP($E143,'Maestro de productos 2025'!$B$189:$B$196,'Maestro de productos 2025'!$C$189:$C$196,"No encontrado",0)-H143)&lt;=0,"0",(VLOOKUP($E143,'Maestro de productos 2025'!$B$189:$C$196,2,0)-$H143))</f>
        <v>0</v>
      </c>
      <c r="J143" s="137">
        <f t="shared" si="8"/>
        <v>130.2958077</v>
      </c>
      <c r="K143" s="137">
        <f t="shared" si="9"/>
        <v>320</v>
      </c>
      <c r="L143" s="132" t="str">
        <f t="shared" si="10"/>
        <v> </v>
      </c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</row>
    <row r="144">
      <c r="A144" s="28" t="str">
        <f t="array" ref="A144">XLOOKUP($E144,'Maestro de productos 2024'!$A$3:$A$163,'Maestro de productos 2024'!$B$3:$B$163,0)</f>
        <v>ID-3825</v>
      </c>
      <c r="B144" s="133">
        <v>45884.0</v>
      </c>
      <c r="C144" s="134">
        <f t="shared" si="6"/>
        <v>2025</v>
      </c>
      <c r="D144" s="135">
        <f t="shared" si="7"/>
        <v>8</v>
      </c>
      <c r="E144" s="136" t="s">
        <v>37</v>
      </c>
      <c r="F144" s="137">
        <f t="array" ref="F144">XLOOKUP(E144,'Maestro de productos 2025'!$B$189:$B$196,'Maestro de productos 2025'!$D$189:$D$196,"No encontrado",0)</f>
        <v>25</v>
      </c>
      <c r="G144" s="137">
        <f t="array" ref="G144">XLOOKUP(E144,'Maestro de productos 2025'!$B$189:$B$196,'Maestro de productos 2025'!$E$189:$E$196,"No encontrado",0)</f>
        <v>10.26450643</v>
      </c>
      <c r="H144" s="138">
        <v>16.0</v>
      </c>
      <c r="I144" s="134" t="str">
        <f t="array" ref="I144">IF((XLOOKUP($E144,'Maestro de productos 2025'!$B$189:$B$196,'Maestro de productos 2025'!$C$189:$C$196,"No encontrado",0)-H144)&lt;=0,"0",(VLOOKUP($E144,'Maestro de productos 2025'!$B$189:$C$196,2,0)-$H144))</f>
        <v>0</v>
      </c>
      <c r="J144" s="137">
        <f t="shared" si="8"/>
        <v>164.2321029</v>
      </c>
      <c r="K144" s="137">
        <f t="shared" si="9"/>
        <v>400</v>
      </c>
      <c r="L144" s="132" t="str">
        <f t="shared" si="10"/>
        <v> </v>
      </c>
      <c r="M144" s="136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</row>
    <row r="145">
      <c r="A145" s="28" t="str">
        <f t="array" ref="A145">XLOOKUP($E145,'Maestro de productos 2024'!$A$3:$A$163,'Maestro de productos 2024'!$B$3:$B$163,0)</f>
        <v>ID-3831</v>
      </c>
      <c r="B145" s="133">
        <v>45889.0</v>
      </c>
      <c r="C145" s="134">
        <f t="shared" si="6"/>
        <v>2025</v>
      </c>
      <c r="D145" s="135">
        <f t="shared" si="7"/>
        <v>8</v>
      </c>
      <c r="E145" s="136" t="s">
        <v>109</v>
      </c>
      <c r="F145" s="137">
        <f t="array" ref="F145">XLOOKUP(E145,'Maestro de productos 2025'!$B$189:$B$196,'Maestro de productos 2025'!$D$189:$D$196,"No encontrado",0)</f>
        <v>20</v>
      </c>
      <c r="G145" s="137">
        <f t="array" ref="G145">XLOOKUP(E145,'Maestro de productos 2025'!$B$189:$B$196,'Maestro de productos 2025'!$E$189:$E$196,"No encontrado",0)</f>
        <v>7.889760073</v>
      </c>
      <c r="H145" s="138">
        <v>13.0</v>
      </c>
      <c r="I145" s="159">
        <f t="array" ref="I145">IF((XLOOKUP($E145,'Maestro de productos 2025'!$B$189:$B$196,'Maestro de productos 2025'!$C$189:$C$196,"No encontrado",0)-H145)&lt;=0,"0",(VLOOKUP($E145,'Maestro de productos 2025'!$B$189:$C$196,2,0)-$H145))</f>
        <v>1</v>
      </c>
      <c r="J145" s="137">
        <f t="shared" si="8"/>
        <v>102.566881</v>
      </c>
      <c r="K145" s="137">
        <f t="shared" si="9"/>
        <v>260</v>
      </c>
      <c r="L145" s="132">
        <f t="shared" si="10"/>
        <v>20</v>
      </c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</row>
    <row r="146">
      <c r="A146" s="28" t="str">
        <f t="array" ref="A146">XLOOKUP($E146,'Maestro de productos 2024'!$A$3:$A$163,'Maestro de productos 2024'!$B$3:$B$163,0)</f>
        <v>ID-3828</v>
      </c>
      <c r="B146" s="133">
        <v>45891.0</v>
      </c>
      <c r="C146" s="134">
        <f t="shared" si="6"/>
        <v>2025</v>
      </c>
      <c r="D146" s="135">
        <f t="shared" si="7"/>
        <v>8</v>
      </c>
      <c r="E146" s="136" t="s">
        <v>38</v>
      </c>
      <c r="F146" s="137">
        <f t="array" ref="F146">XLOOKUP(E146,'Maestro de productos 2025'!$B$189:$B$196,'Maestro de productos 2025'!$D$189:$D$196,"No encontrado",0)</f>
        <v>21</v>
      </c>
      <c r="G146" s="137">
        <f t="array" ref="G146">XLOOKUP(E146,'Maestro de productos 2025'!$B$189:$B$196,'Maestro de productos 2025'!$E$189:$E$196,"No encontrado",0)</f>
        <v>8.35935114</v>
      </c>
      <c r="H146" s="138">
        <v>24.0</v>
      </c>
      <c r="I146" s="134" t="str">
        <f t="array" ref="I146">IF((XLOOKUP($E146,'Maestro de productos 2025'!$B$189:$B$196,'Maestro de productos 2025'!$C$189:$C$196,"No encontrado",0)-H146)&lt;=0,"0",(VLOOKUP($E146,'Maestro de productos 2025'!$B$189:$C$196,2,0)-$H146))</f>
        <v>0</v>
      </c>
      <c r="J146" s="137">
        <f t="shared" si="8"/>
        <v>200.6244274</v>
      </c>
      <c r="K146" s="137">
        <f t="shared" si="9"/>
        <v>504</v>
      </c>
      <c r="L146" s="132" t="str">
        <f t="shared" si="10"/>
        <v> </v>
      </c>
      <c r="M146" s="136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</row>
    <row r="147">
      <c r="A147" s="28" t="str">
        <f t="array" ref="A147">XLOOKUP($E147,'Maestro de productos 2024'!$A$3:$A$163,'Maestro de productos 2024'!$B$3:$B$163,0)</f>
        <v>ID-3824</v>
      </c>
      <c r="B147" s="133">
        <v>45896.0</v>
      </c>
      <c r="C147" s="134">
        <f t="shared" si="6"/>
        <v>2025</v>
      </c>
      <c r="D147" s="135">
        <f t="shared" si="7"/>
        <v>8</v>
      </c>
      <c r="E147" s="136" t="s">
        <v>34</v>
      </c>
      <c r="F147" s="137">
        <f t="array" ref="F147">XLOOKUP(E147,'Maestro de productos 2025'!$B$189:$B$196,'Maestro de productos 2025'!$D$189:$D$196,"No encontrado",0)</f>
        <v>10</v>
      </c>
      <c r="G147" s="137">
        <f t="array" ref="G147">XLOOKUP(E147,'Maestro de productos 2025'!$B$189:$B$196,'Maestro de productos 2025'!$E$189:$E$196,"No encontrado",0)</f>
        <v>4.07174399</v>
      </c>
      <c r="H147" s="138">
        <v>27.0</v>
      </c>
      <c r="I147" s="159">
        <f t="array" ref="I147">IF((XLOOKUP($E147,'Maestro de productos 2025'!$B$189:$B$196,'Maestro de productos 2025'!$C$189:$C$196,"No encontrado",0)-H147)&lt;=0,"0",(VLOOKUP($E147,'Maestro de productos 2025'!$B$189:$C$196,2,0)-$H147))</f>
        <v>5</v>
      </c>
      <c r="J147" s="137">
        <f t="shared" si="8"/>
        <v>109.9370877</v>
      </c>
      <c r="K147" s="137">
        <f t="shared" si="9"/>
        <v>270</v>
      </c>
      <c r="L147" s="132">
        <f t="shared" si="10"/>
        <v>50</v>
      </c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</row>
    <row r="148">
      <c r="A148" s="28" t="str">
        <f t="array" ref="A148">XLOOKUP($E148,'Maestro de productos 2024'!$A$3:$A$163,'Maestro de productos 2024'!$B$3:$B$163,0)</f>
        <v>ID-3827</v>
      </c>
      <c r="B148" s="133">
        <v>45898.0</v>
      </c>
      <c r="C148" s="134">
        <f t="shared" si="6"/>
        <v>2025</v>
      </c>
      <c r="D148" s="135">
        <f t="shared" si="7"/>
        <v>8</v>
      </c>
      <c r="E148" s="136" t="s">
        <v>36</v>
      </c>
      <c r="F148" s="137">
        <f t="array" ref="F148">XLOOKUP(E148,'Maestro de productos 2025'!$B$189:$B$196,'Maestro de productos 2025'!$D$189:$D$196,"No encontrado",0)</f>
        <v>7</v>
      </c>
      <c r="G148" s="137">
        <f t="array" ref="G148">XLOOKUP(E148,'Maestro de productos 2025'!$B$189:$B$196,'Maestro de productos 2025'!$E$189:$E$196,"No encontrado",0)</f>
        <v>3.1117795</v>
      </c>
      <c r="H148" s="138">
        <v>32.0</v>
      </c>
      <c r="I148" s="159">
        <f t="array" ref="I148">IF((XLOOKUP($E148,'Maestro de productos 2025'!$B$189:$B$196,'Maestro de productos 2025'!$C$189:$C$196,"No encontrado",0)-H148)&lt;=0,"0",(VLOOKUP($E148,'Maestro de productos 2025'!$B$189:$C$196,2,0)-$H148))</f>
        <v>3</v>
      </c>
      <c r="J148" s="137">
        <f t="shared" si="8"/>
        <v>99.57694401</v>
      </c>
      <c r="K148" s="137">
        <f t="shared" si="9"/>
        <v>224</v>
      </c>
      <c r="L148" s="132">
        <f t="shared" si="10"/>
        <v>21</v>
      </c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</row>
    <row r="149">
      <c r="A149" s="28" t="str">
        <f t="array" ref="A149">XLOOKUP($E149,'Maestro de productos 2024'!$A$3:$A$163,'Maestro de productos 2024'!$B$3:$B$163,0)</f>
        <v>ID-3825</v>
      </c>
      <c r="B149" s="133">
        <v>45903.0</v>
      </c>
      <c r="C149" s="134">
        <f t="shared" si="6"/>
        <v>2025</v>
      </c>
      <c r="D149" s="135">
        <f t="shared" si="7"/>
        <v>9</v>
      </c>
      <c r="E149" s="136" t="s">
        <v>37</v>
      </c>
      <c r="F149" s="137">
        <f t="array" ref="F149">XLOOKUP(E149,'Maestro de productos 2025'!$B$189:$B$196,'Maestro de productos 2025'!$D$189:$D$196,"No encontrado",0)</f>
        <v>25</v>
      </c>
      <c r="G149" s="137">
        <f t="array" ref="G149">XLOOKUP(E149,'Maestro de productos 2025'!$B$189:$B$196,'Maestro de productos 2025'!$E$189:$E$196,"No encontrado",0)</f>
        <v>10.26450643</v>
      </c>
      <c r="H149" s="138">
        <v>16.0</v>
      </c>
      <c r="I149" s="134" t="str">
        <f t="array" ref="I149">IF((XLOOKUP($E149,'Maestro de productos 2025'!$B$189:$B$196,'Maestro de productos 2025'!$C$189:$C$196,"No encontrado",0)-H149)&lt;=0,"0",(VLOOKUP($E149,'Maestro de productos 2025'!$B$189:$C$196,2,0)-$H149))</f>
        <v>0</v>
      </c>
      <c r="J149" s="137">
        <f t="shared" si="8"/>
        <v>164.2321029</v>
      </c>
      <c r="K149" s="137">
        <f t="shared" si="9"/>
        <v>400</v>
      </c>
      <c r="L149" s="132" t="str">
        <f t="shared" si="10"/>
        <v> </v>
      </c>
      <c r="M149" s="136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</row>
    <row r="150">
      <c r="A150" s="28" t="str">
        <f t="array" ref="A150">XLOOKUP($E150,'Maestro de productos 2024'!$A$3:$A$163,'Maestro de productos 2024'!$B$3:$B$163,0)</f>
        <v>ID-3831</v>
      </c>
      <c r="B150" s="133">
        <v>45905.0</v>
      </c>
      <c r="C150" s="134">
        <f t="shared" si="6"/>
        <v>2025</v>
      </c>
      <c r="D150" s="135">
        <f t="shared" si="7"/>
        <v>9</v>
      </c>
      <c r="E150" s="136" t="s">
        <v>109</v>
      </c>
      <c r="F150" s="137">
        <f t="array" ref="F150">XLOOKUP(E150,'Maestro de productos 2025'!$B$189:$B$196,'Maestro de productos 2025'!$D$189:$D$196,"No encontrado",0)</f>
        <v>20</v>
      </c>
      <c r="G150" s="137">
        <f t="array" ref="G150">XLOOKUP(E150,'Maestro de productos 2025'!$B$189:$B$196,'Maestro de productos 2025'!$E$189:$E$196,"No encontrado",0)</f>
        <v>7.889760073</v>
      </c>
      <c r="H150" s="138">
        <v>14.0</v>
      </c>
      <c r="I150" s="134" t="str">
        <f t="array" ref="I150">IF((XLOOKUP($E150,'Maestro de productos 2025'!$B$189:$B$196,'Maestro de productos 2025'!$C$189:$C$196,"No encontrado",0)-H150)&lt;=0,"0",(VLOOKUP($E150,'Maestro de productos 2025'!$B$189:$C$196,2,0)-$H150))</f>
        <v>0</v>
      </c>
      <c r="J150" s="137">
        <f t="shared" si="8"/>
        <v>110.456641</v>
      </c>
      <c r="K150" s="137">
        <f t="shared" si="9"/>
        <v>280</v>
      </c>
      <c r="L150" s="132" t="str">
        <f t="shared" si="10"/>
        <v> </v>
      </c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</row>
    <row r="151">
      <c r="A151" s="28" t="str">
        <f t="array" ref="A151">XLOOKUP($E151,'Maestro de productos 2024'!$A$3:$A$163,'Maestro de productos 2024'!$B$3:$B$163,0)</f>
        <v>ID-3826</v>
      </c>
      <c r="B151" s="133">
        <v>45910.0</v>
      </c>
      <c r="C151" s="134">
        <f t="shared" si="6"/>
        <v>2025</v>
      </c>
      <c r="D151" s="135">
        <f t="shared" si="7"/>
        <v>9</v>
      </c>
      <c r="E151" s="136" t="s">
        <v>35</v>
      </c>
      <c r="F151" s="137">
        <f t="array" ref="F151">XLOOKUP(E151,'Maestro de productos 2025'!$B$189:$B$196,'Maestro de productos 2025'!$D$189:$D$196,"No encontrado",0)</f>
        <v>20</v>
      </c>
      <c r="G151" s="137">
        <f t="array" ref="G151">XLOOKUP(E151,'Maestro de productos 2025'!$B$189:$B$196,'Maestro de productos 2025'!$E$189:$E$196,"No encontrado",0)</f>
        <v>8.073123457</v>
      </c>
      <c r="H151" s="138">
        <v>18.0</v>
      </c>
      <c r="I151" s="134" t="str">
        <f t="array" ref="I151">IF((XLOOKUP($E151,'Maestro de productos 2025'!$B$189:$B$196,'Maestro de productos 2025'!$C$189:$C$196,"No encontrado",0)-H151)&lt;=0,"0",(VLOOKUP($E151,'Maestro de productos 2025'!$B$189:$C$196,2,0)-$H151))</f>
        <v>0</v>
      </c>
      <c r="J151" s="137">
        <f t="shared" si="8"/>
        <v>145.3162222</v>
      </c>
      <c r="K151" s="137">
        <f t="shared" si="9"/>
        <v>360</v>
      </c>
      <c r="L151" s="132" t="str">
        <f t="shared" si="10"/>
        <v> </v>
      </c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</row>
    <row r="152">
      <c r="A152" s="28" t="str">
        <f t="array" ref="A152">XLOOKUP($E152,'Maestro de productos 2024'!$A$3:$A$163,'Maestro de productos 2024'!$B$3:$B$163,0)</f>
        <v>ID-3828</v>
      </c>
      <c r="B152" s="133">
        <v>45912.0</v>
      </c>
      <c r="C152" s="134">
        <f t="shared" si="6"/>
        <v>2025</v>
      </c>
      <c r="D152" s="135">
        <f t="shared" si="7"/>
        <v>9</v>
      </c>
      <c r="E152" s="136" t="s">
        <v>38</v>
      </c>
      <c r="F152" s="137">
        <f t="array" ref="F152">XLOOKUP(E152,'Maestro de productos 2025'!$B$189:$B$196,'Maestro de productos 2025'!$D$189:$D$196,"No encontrado",0)</f>
        <v>21</v>
      </c>
      <c r="G152" s="137">
        <f t="array" ref="G152">XLOOKUP(E152,'Maestro de productos 2025'!$B$189:$B$196,'Maestro de productos 2025'!$E$189:$E$196,"No encontrado",0)</f>
        <v>8.35935114</v>
      </c>
      <c r="H152" s="138">
        <v>12.0</v>
      </c>
      <c r="I152" s="134" t="str">
        <f t="array" ref="I152">IF((XLOOKUP($E152,'Maestro de productos 2025'!$B$189:$B$196,'Maestro de productos 2025'!$C$189:$C$196,"No encontrado",0)-H152)&lt;=0,"0",(VLOOKUP($E152,'Maestro de productos 2025'!$B$189:$C$196,2,0)-$H152))</f>
        <v>0</v>
      </c>
      <c r="J152" s="137">
        <f t="shared" si="8"/>
        <v>100.3122137</v>
      </c>
      <c r="K152" s="137">
        <f t="shared" si="9"/>
        <v>252</v>
      </c>
      <c r="L152" s="132" t="str">
        <f t="shared" si="10"/>
        <v> </v>
      </c>
      <c r="M152" s="136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</row>
    <row r="153">
      <c r="A153" s="28" t="str">
        <f t="array" ref="A153">XLOOKUP($E153,'Maestro de productos 2024'!$A$3:$A$163,'Maestro de productos 2024'!$B$3:$B$163,0)</f>
        <v>ID-3824</v>
      </c>
      <c r="B153" s="133">
        <v>45917.0</v>
      </c>
      <c r="C153" s="134">
        <f t="shared" si="6"/>
        <v>2025</v>
      </c>
      <c r="D153" s="135">
        <f t="shared" si="7"/>
        <v>9</v>
      </c>
      <c r="E153" s="136" t="s">
        <v>34</v>
      </c>
      <c r="F153" s="137">
        <f t="array" ref="F153">XLOOKUP(E153,'Maestro de productos 2025'!$B$189:$B$196,'Maestro de productos 2025'!$D$189:$D$196,"No encontrado",0)</f>
        <v>10</v>
      </c>
      <c r="G153" s="137">
        <f t="array" ref="G153">XLOOKUP(E153,'Maestro de productos 2025'!$B$189:$B$196,'Maestro de productos 2025'!$E$189:$E$196,"No encontrado",0)</f>
        <v>4.07174399</v>
      </c>
      <c r="H153" s="138">
        <v>32.0</v>
      </c>
      <c r="I153" s="134" t="str">
        <f t="array" ref="I153">IF((XLOOKUP($E153,'Maestro de productos 2025'!$B$189:$B$196,'Maestro de productos 2025'!$C$189:$C$196,"No encontrado",0)-H153)&lt;=0,"0",(VLOOKUP($E153,'Maestro de productos 2025'!$B$189:$C$196,2,0)-$H153))</f>
        <v>0</v>
      </c>
      <c r="J153" s="137">
        <f t="shared" si="8"/>
        <v>130.2958077</v>
      </c>
      <c r="K153" s="137">
        <f t="shared" si="9"/>
        <v>320</v>
      </c>
      <c r="L153" s="132" t="str">
        <f t="shared" si="10"/>
        <v> </v>
      </c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</row>
    <row r="154">
      <c r="A154" s="28" t="str">
        <f t="array" ref="A154">XLOOKUP($E154,'Maestro de productos 2024'!$A$3:$A$163,'Maestro de productos 2024'!$B$3:$B$163,0)</f>
        <v>ID-3825</v>
      </c>
      <c r="B154" s="133">
        <v>45919.0</v>
      </c>
      <c r="C154" s="134">
        <f t="shared" si="6"/>
        <v>2025</v>
      </c>
      <c r="D154" s="135">
        <f t="shared" si="7"/>
        <v>9</v>
      </c>
      <c r="E154" s="136" t="s">
        <v>37</v>
      </c>
      <c r="F154" s="137">
        <f t="array" ref="F154">XLOOKUP(E154,'Maestro de productos 2025'!$B$189:$B$196,'Maestro de productos 2025'!$D$189:$D$196,"No encontrado",0)</f>
        <v>25</v>
      </c>
      <c r="G154" s="137">
        <f t="array" ref="G154">XLOOKUP(E154,'Maestro de productos 2025'!$B$189:$B$196,'Maestro de productos 2025'!$E$189:$E$196,"No encontrado",0)</f>
        <v>10.26450643</v>
      </c>
      <c r="H154" s="138">
        <v>15.0</v>
      </c>
      <c r="I154" s="159">
        <f t="array" ref="I154">IF((XLOOKUP($E154,'Maestro de productos 2025'!$B$189:$B$196,'Maestro de productos 2025'!$C$189:$C$196,"No encontrado",0)-H154)&lt;=0,"0",(VLOOKUP($E154,'Maestro de productos 2025'!$B$189:$C$196,2,0)-$H154))</f>
        <v>1</v>
      </c>
      <c r="J154" s="137">
        <f t="shared" si="8"/>
        <v>153.9675965</v>
      </c>
      <c r="K154" s="137">
        <f t="shared" si="9"/>
        <v>375</v>
      </c>
      <c r="L154" s="132">
        <f t="shared" si="10"/>
        <v>25</v>
      </c>
      <c r="M154" s="136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</row>
    <row r="155">
      <c r="A155" s="28" t="str">
        <f t="array" ref="A155">XLOOKUP($E155,'Maestro de productos 2024'!$A$3:$A$163,'Maestro de productos 2024'!$B$3:$B$163,0)</f>
        <v>ID-3827</v>
      </c>
      <c r="B155" s="133">
        <v>45924.0</v>
      </c>
      <c r="C155" s="134">
        <f t="shared" si="6"/>
        <v>2025</v>
      </c>
      <c r="D155" s="135">
        <f t="shared" si="7"/>
        <v>9</v>
      </c>
      <c r="E155" s="136" t="s">
        <v>36</v>
      </c>
      <c r="F155" s="137">
        <f t="array" ref="F155">XLOOKUP(E155,'Maestro de productos 2025'!$B$189:$B$196,'Maestro de productos 2025'!$D$189:$D$196,"No encontrado",0)</f>
        <v>7</v>
      </c>
      <c r="G155" s="137">
        <f t="array" ref="G155">XLOOKUP(E155,'Maestro de productos 2025'!$B$189:$B$196,'Maestro de productos 2025'!$E$189:$E$196,"No encontrado",0)</f>
        <v>3.1117795</v>
      </c>
      <c r="H155" s="138">
        <v>35.0</v>
      </c>
      <c r="I155" s="134" t="str">
        <f t="array" ref="I155">IF((XLOOKUP($E155,'Maestro de productos 2025'!$B$189:$B$196,'Maestro de productos 2025'!$C$189:$C$196,"No encontrado",0)-H155)&lt;=0,"0",(VLOOKUP($E155,'Maestro de productos 2025'!$B$189:$C$196,2,0)-$H155))</f>
        <v>0</v>
      </c>
      <c r="J155" s="137">
        <f t="shared" si="8"/>
        <v>108.9122825</v>
      </c>
      <c r="K155" s="137">
        <f t="shared" si="9"/>
        <v>245</v>
      </c>
      <c r="L155" s="132" t="str">
        <f t="shared" si="10"/>
        <v> </v>
      </c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</row>
    <row r="156">
      <c r="A156" s="28" t="str">
        <f t="array" ref="A156">XLOOKUP($E156,'Maestro de productos 2024'!$A$3:$A$163,'Maestro de productos 2024'!$B$3:$B$163,0)</f>
        <v>ID-3824</v>
      </c>
      <c r="B156" s="133">
        <v>45938.0</v>
      </c>
      <c r="C156" s="134">
        <f t="shared" si="6"/>
        <v>2025</v>
      </c>
      <c r="D156" s="135">
        <f t="shared" si="7"/>
        <v>10</v>
      </c>
      <c r="E156" s="136" t="s">
        <v>34</v>
      </c>
      <c r="F156" s="137">
        <f t="array" ref="F156">XLOOKUP(E156,'Maestro de productos 2025'!$B$189:$B$196,'Maestro de productos 2025'!$D$189:$D$196,"No encontrado",0)</f>
        <v>10</v>
      </c>
      <c r="G156" s="137">
        <f t="array" ref="G156">XLOOKUP(E156,'Maestro de productos 2025'!$B$189:$B$196,'Maestro de productos 2025'!$E$189:$E$196,"No encontrado",0)</f>
        <v>4.07174399</v>
      </c>
      <c r="H156" s="138">
        <v>32.0</v>
      </c>
      <c r="I156" s="134" t="str">
        <f t="array" ref="I156">IF((XLOOKUP($E156,'Maestro de productos 2025'!$B$189:$B$196,'Maestro de productos 2025'!$C$189:$C$196,"No encontrado",0)-H156)&lt;=0,"0",(VLOOKUP($E156,'Maestro de productos 2025'!$B$189:$C$196,2,0)-$H156))</f>
        <v>0</v>
      </c>
      <c r="J156" s="137">
        <f t="shared" si="8"/>
        <v>130.2958077</v>
      </c>
      <c r="K156" s="137">
        <f t="shared" si="9"/>
        <v>320</v>
      </c>
      <c r="L156" s="132" t="str">
        <f t="shared" si="10"/>
        <v> </v>
      </c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</row>
    <row r="157">
      <c r="A157" s="28" t="str">
        <f t="array" ref="A157">XLOOKUP($E157,'Maestro de productos 2024'!$A$3:$A$163,'Maestro de productos 2024'!$B$3:$B$163,0)</f>
        <v>ID-3828</v>
      </c>
      <c r="B157" s="133">
        <v>45940.0</v>
      </c>
      <c r="C157" s="134">
        <f t="shared" si="6"/>
        <v>2025</v>
      </c>
      <c r="D157" s="135">
        <f t="shared" si="7"/>
        <v>10</v>
      </c>
      <c r="E157" s="136" t="s">
        <v>38</v>
      </c>
      <c r="F157" s="137">
        <f t="array" ref="F157">XLOOKUP(E157,'Maestro de productos 2025'!$B$189:$B$196,'Maestro de productos 2025'!$D$189:$D$196,"No encontrado",0)</f>
        <v>21</v>
      </c>
      <c r="G157" s="137">
        <f t="array" ref="G157">XLOOKUP(E157,'Maestro de productos 2025'!$B$189:$B$196,'Maestro de productos 2025'!$E$189:$E$196,"No encontrado",0)</f>
        <v>8.35935114</v>
      </c>
      <c r="H157" s="138">
        <v>24.0</v>
      </c>
      <c r="I157" s="134" t="str">
        <f t="array" ref="I157">IF((XLOOKUP($E157,'Maestro de productos 2025'!$B$189:$B$196,'Maestro de productos 2025'!$C$189:$C$196,"No encontrado",0)-H157)&lt;=0,"0",(VLOOKUP($E157,'Maestro de productos 2025'!$B$189:$C$196,2,0)-$H157))</f>
        <v>0</v>
      </c>
      <c r="J157" s="137">
        <f t="shared" si="8"/>
        <v>200.6244274</v>
      </c>
      <c r="K157" s="137">
        <f t="shared" si="9"/>
        <v>504</v>
      </c>
      <c r="L157" s="132" t="str">
        <f t="shared" si="10"/>
        <v> </v>
      </c>
      <c r="M157" s="136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</row>
    <row r="158">
      <c r="A158" s="28" t="str">
        <f t="array" ref="A158">XLOOKUP($E158,'Maestro de productos 2024'!$A$3:$A$163,'Maestro de productos 2024'!$B$3:$B$163,0)</f>
        <v>ID-3831</v>
      </c>
      <c r="B158" s="133">
        <v>45945.0</v>
      </c>
      <c r="C158" s="134">
        <f t="shared" si="6"/>
        <v>2025</v>
      </c>
      <c r="D158" s="135">
        <f t="shared" si="7"/>
        <v>10</v>
      </c>
      <c r="E158" s="136" t="s">
        <v>109</v>
      </c>
      <c r="F158" s="137">
        <f t="array" ref="F158">XLOOKUP(E158,'Maestro de productos 2025'!$B$189:$B$196,'Maestro de productos 2025'!$D$189:$D$196,"No encontrado",0)</f>
        <v>20</v>
      </c>
      <c r="G158" s="137">
        <f t="array" ref="G158">XLOOKUP(E158,'Maestro de productos 2025'!$B$189:$B$196,'Maestro de productos 2025'!$E$189:$E$196,"No encontrado",0)</f>
        <v>7.889760073</v>
      </c>
      <c r="H158" s="138">
        <v>12.0</v>
      </c>
      <c r="I158" s="159">
        <f t="array" ref="I158">IF((XLOOKUP($E158,'Maestro de productos 2025'!$B$189:$B$196,'Maestro de productos 2025'!$C$189:$C$196,"No encontrado",0)-H158)&lt;=0,"0",(VLOOKUP($E158,'Maestro de productos 2025'!$B$189:$C$196,2,0)-$H158))</f>
        <v>2</v>
      </c>
      <c r="J158" s="137">
        <f t="shared" si="8"/>
        <v>94.67712088</v>
      </c>
      <c r="K158" s="137">
        <f t="shared" si="9"/>
        <v>240</v>
      </c>
      <c r="L158" s="132">
        <f t="shared" si="10"/>
        <v>40</v>
      </c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</row>
    <row r="159">
      <c r="A159" s="28" t="str">
        <f t="array" ref="A159">XLOOKUP($E159,'Maestro de productos 2024'!$A$3:$A$163,'Maestro de productos 2024'!$B$3:$B$163,0)</f>
        <v>ID-3826</v>
      </c>
      <c r="B159" s="133">
        <v>45947.0</v>
      </c>
      <c r="C159" s="134">
        <f t="shared" si="6"/>
        <v>2025</v>
      </c>
      <c r="D159" s="135">
        <f t="shared" si="7"/>
        <v>10</v>
      </c>
      <c r="E159" s="136" t="s">
        <v>35</v>
      </c>
      <c r="F159" s="137">
        <f t="array" ref="F159">XLOOKUP(E159,'Maestro de productos 2025'!$B$189:$B$196,'Maestro de productos 2025'!$D$189:$D$196,"No encontrado",0)</f>
        <v>20</v>
      </c>
      <c r="G159" s="137">
        <f t="array" ref="G159">XLOOKUP(E159,'Maestro de productos 2025'!$B$189:$B$196,'Maestro de productos 2025'!$E$189:$E$196,"No encontrado",0)</f>
        <v>8.073123457</v>
      </c>
      <c r="H159" s="138">
        <v>18.0</v>
      </c>
      <c r="I159" s="134" t="str">
        <f t="array" ref="I159">IF((XLOOKUP($E159,'Maestro de productos 2025'!$B$189:$B$196,'Maestro de productos 2025'!$C$189:$C$196,"No encontrado",0)-H159)&lt;=0,"0",(VLOOKUP($E159,'Maestro de productos 2025'!$B$189:$C$196,2,0)-$H159))</f>
        <v>0</v>
      </c>
      <c r="J159" s="137">
        <f t="shared" si="8"/>
        <v>145.3162222</v>
      </c>
      <c r="K159" s="137">
        <f t="shared" si="9"/>
        <v>360</v>
      </c>
      <c r="L159" s="132" t="str">
        <f t="shared" si="10"/>
        <v> </v>
      </c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</row>
    <row r="160">
      <c r="A160" s="28" t="str">
        <f t="array" ref="A160">XLOOKUP($E160,'Maestro de productos 2024'!$A$3:$A$163,'Maestro de productos 2024'!$B$3:$B$163,0)</f>
        <v>ID-3827</v>
      </c>
      <c r="B160" s="133">
        <v>45952.0</v>
      </c>
      <c r="C160" s="134">
        <f t="shared" si="6"/>
        <v>2025</v>
      </c>
      <c r="D160" s="135">
        <f t="shared" si="7"/>
        <v>10</v>
      </c>
      <c r="E160" s="136" t="s">
        <v>36</v>
      </c>
      <c r="F160" s="137">
        <f t="array" ref="F160">XLOOKUP(E160,'Maestro de productos 2025'!$B$189:$B$196,'Maestro de productos 2025'!$D$189:$D$196,"No encontrado",0)</f>
        <v>7</v>
      </c>
      <c r="G160" s="137">
        <f t="array" ref="G160">XLOOKUP(E160,'Maestro de productos 2025'!$B$189:$B$196,'Maestro de productos 2025'!$E$189:$E$196,"No encontrado",0)</f>
        <v>3.1117795</v>
      </c>
      <c r="H160" s="138">
        <v>34.0</v>
      </c>
      <c r="I160" s="159">
        <f t="array" ref="I160">IF((XLOOKUP($E160,'Maestro de productos 2025'!$B$189:$B$196,'Maestro de productos 2025'!$C$189:$C$196,"No encontrado",0)-H160)&lt;=0,"0",(VLOOKUP($E160,'Maestro de productos 2025'!$B$189:$C$196,2,0)-$H160))</f>
        <v>1</v>
      </c>
      <c r="J160" s="137">
        <f t="shared" si="8"/>
        <v>105.800503</v>
      </c>
      <c r="K160" s="137">
        <f t="shared" si="9"/>
        <v>238</v>
      </c>
      <c r="L160" s="132">
        <f t="shared" si="10"/>
        <v>7</v>
      </c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</row>
    <row r="161">
      <c r="A161" s="28" t="str">
        <f t="array" ref="A161">XLOOKUP($E161,'Maestro de productos 2024'!$A$3:$A$163,'Maestro de productos 2024'!$B$3:$B$163,0)</f>
        <v>ID-3824</v>
      </c>
      <c r="B161" s="133">
        <v>45954.0</v>
      </c>
      <c r="C161" s="134">
        <f t="shared" si="6"/>
        <v>2025</v>
      </c>
      <c r="D161" s="135">
        <f t="shared" si="7"/>
        <v>10</v>
      </c>
      <c r="E161" s="136" t="s">
        <v>34</v>
      </c>
      <c r="F161" s="137">
        <f t="array" ref="F161">XLOOKUP(E161,'Maestro de productos 2025'!$B$189:$B$196,'Maestro de productos 2025'!$D$189:$D$196,"No encontrado",0)</f>
        <v>10</v>
      </c>
      <c r="G161" s="137">
        <f t="array" ref="G161">XLOOKUP(E161,'Maestro de productos 2025'!$B$189:$B$196,'Maestro de productos 2025'!$E$189:$E$196,"No encontrado",0)</f>
        <v>4.07174399</v>
      </c>
      <c r="H161" s="138">
        <v>31.0</v>
      </c>
      <c r="I161" s="159">
        <f t="array" ref="I161">IF((XLOOKUP($E161,'Maestro de productos 2025'!$B$189:$B$196,'Maestro de productos 2025'!$C$189:$C$196,"No encontrado",0)-H161)&lt;=0,"0",(VLOOKUP($E161,'Maestro de productos 2025'!$B$189:$C$196,2,0)-$H161))</f>
        <v>1</v>
      </c>
      <c r="J161" s="137">
        <f t="shared" si="8"/>
        <v>126.2240637</v>
      </c>
      <c r="K161" s="137">
        <f t="shared" si="9"/>
        <v>310</v>
      </c>
      <c r="L161" s="132">
        <f t="shared" si="10"/>
        <v>10</v>
      </c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</row>
    <row r="162">
      <c r="A162" s="28" t="str">
        <f t="array" ref="A162">XLOOKUP($E162,'Maestro de productos 2024'!$A$3:$A$163,'Maestro de productos 2024'!$B$3:$B$163,0)</f>
        <v>ID-3828</v>
      </c>
      <c r="B162" s="133">
        <v>45959.0</v>
      </c>
      <c r="C162" s="134">
        <f t="shared" si="6"/>
        <v>2025</v>
      </c>
      <c r="D162" s="135">
        <f t="shared" si="7"/>
        <v>10</v>
      </c>
      <c r="E162" s="136" t="s">
        <v>38</v>
      </c>
      <c r="F162" s="137">
        <f t="array" ref="F162">XLOOKUP(E162,'Maestro de productos 2025'!$B$189:$B$196,'Maestro de productos 2025'!$D$189:$D$196,"No encontrado",0)</f>
        <v>21</v>
      </c>
      <c r="G162" s="137">
        <f t="array" ref="G162">XLOOKUP(E162,'Maestro de productos 2025'!$B$189:$B$196,'Maestro de productos 2025'!$E$189:$E$196,"No encontrado",0)</f>
        <v>8.35935114</v>
      </c>
      <c r="H162" s="138">
        <v>24.0</v>
      </c>
      <c r="I162" s="134" t="str">
        <f t="array" ref="I162">IF((XLOOKUP($E162,'Maestro de productos 2025'!$B$189:$B$196,'Maestro de productos 2025'!$C$189:$C$196,"No encontrado",0)-H162)&lt;=0,"0",(VLOOKUP($E162,'Maestro de productos 2025'!$B$189:$C$196,2,0)-$H162))</f>
        <v>0</v>
      </c>
      <c r="J162" s="137">
        <f t="shared" si="8"/>
        <v>200.6244274</v>
      </c>
      <c r="K162" s="137">
        <f t="shared" si="9"/>
        <v>504</v>
      </c>
      <c r="L162" s="132" t="str">
        <f t="shared" si="10"/>
        <v> </v>
      </c>
      <c r="M162" s="136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</row>
    <row r="163">
      <c r="A163" s="245"/>
      <c r="B163" s="246"/>
      <c r="C163" s="247"/>
      <c r="D163" s="248"/>
      <c r="E163" s="249"/>
      <c r="F163" s="250"/>
      <c r="G163" s="250"/>
      <c r="H163" s="251">
        <f t="shared" ref="H163:L163" si="11">SUM(H2:H162)</f>
        <v>3989</v>
      </c>
      <c r="I163" s="247">
        <f t="shared" si="11"/>
        <v>157</v>
      </c>
      <c r="J163" s="250">
        <f t="shared" si="11"/>
        <v>21290.53002</v>
      </c>
      <c r="K163" s="250">
        <f t="shared" si="11"/>
        <v>54765</v>
      </c>
      <c r="L163" s="252">
        <f t="shared" si="11"/>
        <v>1709</v>
      </c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</row>
    <row r="164">
      <c r="A164" s="132"/>
      <c r="B164" s="254"/>
      <c r="C164" s="255"/>
      <c r="D164" s="256"/>
      <c r="E164" s="132"/>
      <c r="F164" s="137"/>
      <c r="G164" s="137"/>
      <c r="H164" s="132"/>
      <c r="I164" s="257"/>
      <c r="J164" s="137"/>
      <c r="K164" s="137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</row>
    <row r="165">
      <c r="A165" s="132"/>
      <c r="B165" s="254"/>
      <c r="C165" s="255"/>
      <c r="D165" s="256"/>
      <c r="E165" s="132"/>
      <c r="F165" s="137"/>
      <c r="G165" s="137"/>
      <c r="H165" s="132"/>
      <c r="I165" s="257"/>
      <c r="J165" s="137"/>
      <c r="K165" s="137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</row>
    <row r="166">
      <c r="A166" s="132"/>
      <c r="B166" s="254"/>
      <c r="C166" s="255"/>
      <c r="D166" s="256"/>
      <c r="E166" s="132"/>
      <c r="F166" s="137"/>
      <c r="G166" s="137"/>
      <c r="H166" s="132"/>
      <c r="I166" s="257"/>
      <c r="J166" s="137"/>
      <c r="K166" s="137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</row>
    <row r="167">
      <c r="A167" s="132"/>
      <c r="B167" s="254"/>
      <c r="C167" s="255"/>
      <c r="D167" s="256"/>
      <c r="E167" s="132"/>
      <c r="F167" s="137"/>
      <c r="G167" s="137"/>
      <c r="H167" s="132"/>
      <c r="I167" s="257"/>
      <c r="J167" s="137"/>
      <c r="K167" s="137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</row>
    <row r="168">
      <c r="A168" s="132"/>
      <c r="B168" s="254"/>
      <c r="C168" s="255"/>
      <c r="D168" s="256"/>
      <c r="E168" s="132"/>
      <c r="F168" s="137"/>
      <c r="G168" s="137"/>
      <c r="H168" s="132"/>
      <c r="I168" s="257"/>
      <c r="J168" s="137"/>
      <c r="K168" s="137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</row>
    <row r="169">
      <c r="A169" s="132"/>
      <c r="B169" s="254"/>
      <c r="C169" s="255"/>
      <c r="D169" s="256"/>
      <c r="E169" s="132"/>
      <c r="F169" s="137"/>
      <c r="G169" s="137"/>
      <c r="H169" s="132"/>
      <c r="I169" s="257"/>
      <c r="J169" s="137"/>
      <c r="K169" s="137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</row>
    <row r="170">
      <c r="A170" s="132"/>
      <c r="B170" s="254"/>
      <c r="C170" s="255"/>
      <c r="D170" s="256"/>
      <c r="E170" s="132"/>
      <c r="F170" s="137"/>
      <c r="G170" s="137"/>
      <c r="H170" s="132"/>
      <c r="I170" s="257"/>
      <c r="J170" s="137"/>
      <c r="K170" s="137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</row>
    <row r="171">
      <c r="A171" s="132"/>
      <c r="B171" s="254"/>
      <c r="C171" s="255"/>
      <c r="D171" s="256"/>
      <c r="E171" s="132"/>
      <c r="F171" s="137"/>
      <c r="G171" s="137"/>
      <c r="H171" s="132"/>
      <c r="I171" s="257"/>
      <c r="J171" s="137"/>
      <c r="K171" s="137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</row>
    <row r="172">
      <c r="A172" s="132"/>
      <c r="B172" s="254"/>
      <c r="C172" s="255"/>
      <c r="D172" s="256"/>
      <c r="E172" s="132"/>
      <c r="F172" s="137"/>
      <c r="G172" s="137"/>
      <c r="H172" s="132"/>
      <c r="I172" s="257"/>
      <c r="J172" s="137"/>
      <c r="K172" s="137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</row>
    <row r="173">
      <c r="A173" s="132"/>
      <c r="B173" s="254"/>
      <c r="C173" s="255"/>
      <c r="D173" s="256"/>
      <c r="E173" s="132"/>
      <c r="F173" s="137"/>
      <c r="G173" s="137"/>
      <c r="H173" s="132"/>
      <c r="I173" s="257"/>
      <c r="J173" s="137"/>
      <c r="K173" s="137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</row>
    <row r="174">
      <c r="A174" s="132"/>
      <c r="B174" s="254"/>
      <c r="C174" s="255"/>
      <c r="D174" s="256"/>
      <c r="E174" s="132"/>
      <c r="F174" s="137"/>
      <c r="G174" s="137"/>
      <c r="H174" s="132"/>
      <c r="I174" s="257"/>
      <c r="J174" s="137"/>
      <c r="K174" s="137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</row>
    <row r="175">
      <c r="A175" s="132"/>
      <c r="B175" s="254"/>
      <c r="C175" s="255"/>
      <c r="D175" s="256"/>
      <c r="E175" s="132"/>
      <c r="F175" s="137"/>
      <c r="G175" s="137"/>
      <c r="H175" s="132"/>
      <c r="I175" s="257"/>
      <c r="J175" s="137"/>
      <c r="K175" s="137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</row>
    <row r="176">
      <c r="A176" s="132"/>
      <c r="B176" s="254"/>
      <c r="C176" s="255"/>
      <c r="D176" s="256"/>
      <c r="E176" s="132"/>
      <c r="F176" s="137"/>
      <c r="G176" s="137"/>
      <c r="H176" s="132"/>
      <c r="I176" s="257"/>
      <c r="J176" s="137"/>
      <c r="K176" s="137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</row>
    <row r="177">
      <c r="A177" s="132"/>
      <c r="B177" s="254"/>
      <c r="C177" s="255"/>
      <c r="D177" s="256"/>
      <c r="E177" s="132"/>
      <c r="F177" s="137"/>
      <c r="G177" s="137"/>
      <c r="H177" s="132"/>
      <c r="I177" s="257"/>
      <c r="J177" s="137"/>
      <c r="K177" s="137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</row>
    <row r="178">
      <c r="A178" s="132"/>
      <c r="B178" s="254"/>
      <c r="C178" s="255"/>
      <c r="D178" s="256"/>
      <c r="E178" s="132"/>
      <c r="F178" s="137"/>
      <c r="G178" s="137"/>
      <c r="H178" s="132"/>
      <c r="I178" s="257"/>
      <c r="J178" s="137"/>
      <c r="K178" s="137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</row>
    <row r="179">
      <c r="A179" s="132"/>
      <c r="B179" s="254"/>
      <c r="C179" s="255"/>
      <c r="D179" s="256"/>
      <c r="E179" s="132"/>
      <c r="F179" s="137"/>
      <c r="G179" s="137"/>
      <c r="H179" s="132"/>
      <c r="I179" s="257"/>
      <c r="J179" s="137"/>
      <c r="K179" s="137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</row>
    <row r="180">
      <c r="A180" s="132"/>
      <c r="B180" s="254"/>
      <c r="C180" s="255"/>
      <c r="D180" s="256"/>
      <c r="E180" s="132"/>
      <c r="F180" s="137"/>
      <c r="G180" s="137"/>
      <c r="H180" s="132"/>
      <c r="I180" s="257"/>
      <c r="J180" s="137"/>
      <c r="K180" s="137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</row>
    <row r="181">
      <c r="A181" s="132"/>
      <c r="B181" s="254"/>
      <c r="C181" s="255"/>
      <c r="D181" s="256"/>
      <c r="E181" s="132"/>
      <c r="F181" s="137"/>
      <c r="G181" s="137"/>
      <c r="H181" s="132"/>
      <c r="I181" s="257"/>
      <c r="J181" s="137"/>
      <c r="K181" s="137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</row>
    <row r="182">
      <c r="A182" s="132"/>
      <c r="B182" s="254"/>
      <c r="C182" s="255"/>
      <c r="D182" s="256"/>
      <c r="E182" s="132"/>
      <c r="F182" s="137"/>
      <c r="G182" s="137"/>
      <c r="H182" s="132"/>
      <c r="I182" s="257"/>
      <c r="J182" s="137"/>
      <c r="K182" s="137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</row>
    <row r="183">
      <c r="A183" s="132"/>
      <c r="B183" s="254"/>
      <c r="C183" s="255"/>
      <c r="D183" s="256"/>
      <c r="E183" s="132"/>
      <c r="F183" s="137"/>
      <c r="G183" s="137"/>
      <c r="H183" s="132"/>
      <c r="I183" s="257"/>
      <c r="J183" s="137"/>
      <c r="K183" s="137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</row>
    <row r="184">
      <c r="A184" s="132"/>
      <c r="B184" s="254"/>
      <c r="C184" s="255"/>
      <c r="D184" s="256"/>
      <c r="E184" s="132"/>
      <c r="F184" s="137"/>
      <c r="G184" s="137"/>
      <c r="H184" s="132"/>
      <c r="I184" s="257"/>
      <c r="J184" s="137"/>
      <c r="K184" s="137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</row>
    <row r="185">
      <c r="A185" s="132"/>
      <c r="B185" s="254"/>
      <c r="C185" s="255"/>
      <c r="D185" s="256"/>
      <c r="E185" s="132"/>
      <c r="F185" s="137"/>
      <c r="G185" s="137"/>
      <c r="H185" s="132"/>
      <c r="I185" s="257"/>
      <c r="J185" s="137"/>
      <c r="K185" s="137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</row>
    <row r="186">
      <c r="A186" s="132"/>
      <c r="B186" s="254"/>
      <c r="C186" s="255"/>
      <c r="D186" s="256"/>
      <c r="E186" s="132"/>
      <c r="F186" s="137"/>
      <c r="G186" s="137"/>
      <c r="H186" s="132"/>
      <c r="I186" s="257"/>
      <c r="J186" s="137"/>
      <c r="K186" s="137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</row>
    <row r="187">
      <c r="A187" s="132"/>
      <c r="B187" s="254"/>
      <c r="C187" s="255"/>
      <c r="D187" s="256"/>
      <c r="E187" s="132"/>
      <c r="F187" s="137"/>
      <c r="G187" s="137"/>
      <c r="H187" s="132"/>
      <c r="I187" s="257"/>
      <c r="J187" s="137"/>
      <c r="K187" s="137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</row>
    <row r="188">
      <c r="A188" s="132"/>
      <c r="B188" s="254"/>
      <c r="C188" s="255"/>
      <c r="D188" s="256"/>
      <c r="E188" s="132"/>
      <c r="F188" s="137"/>
      <c r="G188" s="137"/>
      <c r="H188" s="132"/>
      <c r="I188" s="257"/>
      <c r="J188" s="137"/>
      <c r="K188" s="137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</row>
    <row r="189">
      <c r="A189" s="132"/>
      <c r="B189" s="254"/>
      <c r="C189" s="255"/>
      <c r="D189" s="256"/>
      <c r="E189" s="132"/>
      <c r="F189" s="137"/>
      <c r="G189" s="137"/>
      <c r="H189" s="132"/>
      <c r="I189" s="257"/>
      <c r="J189" s="137"/>
      <c r="K189" s="137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</row>
    <row r="190">
      <c r="A190" s="132"/>
      <c r="B190" s="254"/>
      <c r="C190" s="255"/>
      <c r="D190" s="256"/>
      <c r="E190" s="132"/>
      <c r="F190" s="137"/>
      <c r="G190" s="137"/>
      <c r="H190" s="132"/>
      <c r="I190" s="257"/>
      <c r="J190" s="137"/>
      <c r="K190" s="137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</row>
    <row r="191">
      <c r="A191" s="132"/>
      <c r="B191" s="254"/>
      <c r="C191" s="255"/>
      <c r="D191" s="256"/>
      <c r="E191" s="132"/>
      <c r="F191" s="137"/>
      <c r="G191" s="137"/>
      <c r="H191" s="132"/>
      <c r="I191" s="257"/>
      <c r="J191" s="137"/>
      <c r="K191" s="137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</row>
    <row r="192">
      <c r="A192" s="132"/>
      <c r="B192" s="254"/>
      <c r="C192" s="255"/>
      <c r="D192" s="256"/>
      <c r="E192" s="132"/>
      <c r="F192" s="137"/>
      <c r="G192" s="137"/>
      <c r="H192" s="132"/>
      <c r="I192" s="257"/>
      <c r="J192" s="137"/>
      <c r="K192" s="137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</row>
    <row r="193">
      <c r="A193" s="132"/>
      <c r="B193" s="254"/>
      <c r="C193" s="255"/>
      <c r="D193" s="256"/>
      <c r="E193" s="132"/>
      <c r="F193" s="137"/>
      <c r="G193" s="137"/>
      <c r="H193" s="132"/>
      <c r="I193" s="257"/>
      <c r="J193" s="137"/>
      <c r="K193" s="137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</row>
    <row r="194">
      <c r="A194" s="132"/>
      <c r="B194" s="254"/>
      <c r="C194" s="255"/>
      <c r="D194" s="256"/>
      <c r="E194" s="132"/>
      <c r="F194" s="137"/>
      <c r="G194" s="137"/>
      <c r="H194" s="132"/>
      <c r="I194" s="257"/>
      <c r="J194" s="137"/>
      <c r="K194" s="137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</row>
    <row r="195">
      <c r="A195" s="132"/>
      <c r="B195" s="254"/>
      <c r="C195" s="255"/>
      <c r="D195" s="256"/>
      <c r="E195" s="132"/>
      <c r="F195" s="137"/>
      <c r="G195" s="137"/>
      <c r="H195" s="132"/>
      <c r="I195" s="257"/>
      <c r="J195" s="137"/>
      <c r="K195" s="137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</row>
    <row r="196">
      <c r="A196" s="132"/>
      <c r="B196" s="254"/>
      <c r="C196" s="255"/>
      <c r="D196" s="256"/>
      <c r="E196" s="132"/>
      <c r="F196" s="137"/>
      <c r="G196" s="137"/>
      <c r="H196" s="132"/>
      <c r="I196" s="257"/>
      <c r="J196" s="137"/>
      <c r="K196" s="137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</row>
    <row r="197">
      <c r="A197" s="132"/>
      <c r="B197" s="254"/>
      <c r="C197" s="255"/>
      <c r="D197" s="256"/>
      <c r="E197" s="132"/>
      <c r="F197" s="137"/>
      <c r="G197" s="137"/>
      <c r="H197" s="132"/>
      <c r="I197" s="257"/>
      <c r="J197" s="137"/>
      <c r="K197" s="137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</row>
    <row r="198">
      <c r="A198" s="132"/>
      <c r="B198" s="254"/>
      <c r="C198" s="255"/>
      <c r="D198" s="256"/>
      <c r="E198" s="132"/>
      <c r="F198" s="137"/>
      <c r="G198" s="137"/>
      <c r="H198" s="132"/>
      <c r="I198" s="257"/>
      <c r="J198" s="137"/>
      <c r="K198" s="137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</row>
    <row r="199">
      <c r="A199" s="132"/>
      <c r="B199" s="254"/>
      <c r="C199" s="255"/>
      <c r="D199" s="256"/>
      <c r="E199" s="132"/>
      <c r="F199" s="137"/>
      <c r="G199" s="137"/>
      <c r="H199" s="132"/>
      <c r="I199" s="257"/>
      <c r="J199" s="137"/>
      <c r="K199" s="137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</row>
    <row r="200">
      <c r="A200" s="132"/>
      <c r="B200" s="254"/>
      <c r="C200" s="255"/>
      <c r="D200" s="256"/>
      <c r="E200" s="132"/>
      <c r="F200" s="137"/>
      <c r="G200" s="137"/>
      <c r="H200" s="132"/>
      <c r="I200" s="257"/>
      <c r="J200" s="137"/>
      <c r="K200" s="137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</row>
    <row r="201">
      <c r="A201" s="132"/>
      <c r="B201" s="254"/>
      <c r="C201" s="255"/>
      <c r="D201" s="256"/>
      <c r="E201" s="132"/>
      <c r="F201" s="137"/>
      <c r="G201" s="137"/>
      <c r="H201" s="132"/>
      <c r="I201" s="257"/>
      <c r="J201" s="137"/>
      <c r="K201" s="137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</row>
    <row r="202">
      <c r="A202" s="132"/>
      <c r="B202" s="254"/>
      <c r="C202" s="255"/>
      <c r="D202" s="256"/>
      <c r="E202" s="132"/>
      <c r="F202" s="137"/>
      <c r="G202" s="137"/>
      <c r="H202" s="132"/>
      <c r="I202" s="257"/>
      <c r="J202" s="137"/>
      <c r="K202" s="137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</row>
    <row r="203">
      <c r="A203" s="132"/>
      <c r="B203" s="254"/>
      <c r="C203" s="255"/>
      <c r="D203" s="256"/>
      <c r="E203" s="132"/>
      <c r="F203" s="137"/>
      <c r="G203" s="137"/>
      <c r="H203" s="132"/>
      <c r="I203" s="257"/>
      <c r="J203" s="137"/>
      <c r="K203" s="137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</row>
    <row r="204">
      <c r="A204" s="132"/>
      <c r="B204" s="254"/>
      <c r="C204" s="255"/>
      <c r="D204" s="256"/>
      <c r="E204" s="132"/>
      <c r="F204" s="137"/>
      <c r="G204" s="137"/>
      <c r="H204" s="132"/>
      <c r="I204" s="257"/>
      <c r="J204" s="137"/>
      <c r="K204" s="137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</row>
    <row r="205">
      <c r="A205" s="132"/>
      <c r="B205" s="254"/>
      <c r="C205" s="255"/>
      <c r="D205" s="256"/>
      <c r="E205" s="132"/>
      <c r="F205" s="137"/>
      <c r="G205" s="137"/>
      <c r="H205" s="132"/>
      <c r="I205" s="257"/>
      <c r="J205" s="137"/>
      <c r="K205" s="137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</row>
    <row r="206">
      <c r="A206" s="132"/>
      <c r="B206" s="254"/>
      <c r="C206" s="255"/>
      <c r="D206" s="256"/>
      <c r="E206" s="132"/>
      <c r="F206" s="137"/>
      <c r="G206" s="137"/>
      <c r="H206" s="132"/>
      <c r="I206" s="257"/>
      <c r="J206" s="137"/>
      <c r="K206" s="137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</row>
    <row r="207">
      <c r="A207" s="132"/>
      <c r="B207" s="254"/>
      <c r="C207" s="255"/>
      <c r="D207" s="256"/>
      <c r="E207" s="132"/>
      <c r="F207" s="137"/>
      <c r="G207" s="137"/>
      <c r="H207" s="132"/>
      <c r="I207" s="257"/>
      <c r="J207" s="137"/>
      <c r="K207" s="137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</row>
    <row r="208">
      <c r="A208" s="132"/>
      <c r="B208" s="254"/>
      <c r="C208" s="255"/>
      <c r="D208" s="256"/>
      <c r="E208" s="132"/>
      <c r="F208" s="137"/>
      <c r="G208" s="137"/>
      <c r="H208" s="132"/>
      <c r="I208" s="257"/>
      <c r="J208" s="137"/>
      <c r="K208" s="137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</row>
    <row r="209">
      <c r="A209" s="132"/>
      <c r="B209" s="254"/>
      <c r="C209" s="255"/>
      <c r="D209" s="256"/>
      <c r="E209" s="132"/>
      <c r="F209" s="137"/>
      <c r="G209" s="137"/>
      <c r="H209" s="132"/>
      <c r="I209" s="257"/>
      <c r="J209" s="137"/>
      <c r="K209" s="137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</row>
    <row r="210">
      <c r="A210" s="132"/>
      <c r="B210" s="254"/>
      <c r="C210" s="255"/>
      <c r="D210" s="256"/>
      <c r="E210" s="132"/>
      <c r="F210" s="137"/>
      <c r="G210" s="137"/>
      <c r="H210" s="132"/>
      <c r="I210" s="257"/>
      <c r="J210" s="137"/>
      <c r="K210" s="137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</row>
    <row r="211">
      <c r="A211" s="132"/>
      <c r="B211" s="254"/>
      <c r="C211" s="255"/>
      <c r="D211" s="256"/>
      <c r="E211" s="132"/>
      <c r="F211" s="137"/>
      <c r="G211" s="137"/>
      <c r="H211" s="132"/>
      <c r="I211" s="257"/>
      <c r="J211" s="137"/>
      <c r="K211" s="137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</row>
    <row r="212">
      <c r="A212" s="132"/>
      <c r="B212" s="254"/>
      <c r="C212" s="255"/>
      <c r="D212" s="256"/>
      <c r="E212" s="132"/>
      <c r="F212" s="137"/>
      <c r="G212" s="137"/>
      <c r="H212" s="132"/>
      <c r="I212" s="257"/>
      <c r="J212" s="137"/>
      <c r="K212" s="137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</row>
    <row r="213">
      <c r="A213" s="132"/>
      <c r="B213" s="254"/>
      <c r="C213" s="255"/>
      <c r="D213" s="256"/>
      <c r="E213" s="132"/>
      <c r="F213" s="137"/>
      <c r="G213" s="137"/>
      <c r="H213" s="132"/>
      <c r="I213" s="257"/>
      <c r="J213" s="137"/>
      <c r="K213" s="137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</row>
    <row r="214">
      <c r="A214" s="132"/>
      <c r="B214" s="254"/>
      <c r="C214" s="255"/>
      <c r="D214" s="256"/>
      <c r="E214" s="132"/>
      <c r="F214" s="137"/>
      <c r="G214" s="137"/>
      <c r="H214" s="132"/>
      <c r="I214" s="257"/>
      <c r="J214" s="137"/>
      <c r="K214" s="137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</row>
    <row r="215">
      <c r="A215" s="132"/>
      <c r="B215" s="254"/>
      <c r="C215" s="255"/>
      <c r="D215" s="256"/>
      <c r="E215" s="132"/>
      <c r="F215" s="137"/>
      <c r="G215" s="137"/>
      <c r="H215" s="132"/>
      <c r="I215" s="257"/>
      <c r="J215" s="137"/>
      <c r="K215" s="137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</row>
    <row r="216">
      <c r="A216" s="132"/>
      <c r="B216" s="254"/>
      <c r="C216" s="255"/>
      <c r="D216" s="256"/>
      <c r="E216" s="132"/>
      <c r="F216" s="137"/>
      <c r="G216" s="137"/>
      <c r="H216" s="132"/>
      <c r="I216" s="257"/>
      <c r="J216" s="137"/>
      <c r="K216" s="137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</row>
    <row r="217">
      <c r="A217" s="132"/>
      <c r="B217" s="254"/>
      <c r="C217" s="255"/>
      <c r="D217" s="256"/>
      <c r="E217" s="132"/>
      <c r="F217" s="137"/>
      <c r="G217" s="137"/>
      <c r="H217" s="132"/>
      <c r="I217" s="257"/>
      <c r="J217" s="137"/>
      <c r="K217" s="137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</row>
    <row r="218">
      <c r="A218" s="132"/>
      <c r="B218" s="254"/>
      <c r="C218" s="255"/>
      <c r="D218" s="256"/>
      <c r="E218" s="132"/>
      <c r="F218" s="137"/>
      <c r="G218" s="137"/>
      <c r="H218" s="132"/>
      <c r="I218" s="257"/>
      <c r="J218" s="137"/>
      <c r="K218" s="137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</row>
    <row r="219">
      <c r="A219" s="132"/>
      <c r="B219" s="254"/>
      <c r="C219" s="255"/>
      <c r="D219" s="256"/>
      <c r="E219" s="132"/>
      <c r="F219" s="137"/>
      <c r="G219" s="137"/>
      <c r="H219" s="132"/>
      <c r="I219" s="257"/>
      <c r="J219" s="137"/>
      <c r="K219" s="137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</row>
    <row r="220">
      <c r="A220" s="132"/>
      <c r="B220" s="254"/>
      <c r="C220" s="255"/>
      <c r="D220" s="256"/>
      <c r="E220" s="132"/>
      <c r="F220" s="137"/>
      <c r="G220" s="137"/>
      <c r="H220" s="132"/>
      <c r="I220" s="257"/>
      <c r="J220" s="137"/>
      <c r="K220" s="137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</row>
    <row r="221">
      <c r="A221" s="132"/>
      <c r="B221" s="254"/>
      <c r="C221" s="255"/>
      <c r="D221" s="256"/>
      <c r="E221" s="132"/>
      <c r="F221" s="137"/>
      <c r="G221" s="137"/>
      <c r="H221" s="132"/>
      <c r="I221" s="257"/>
      <c r="J221" s="137"/>
      <c r="K221" s="137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</row>
    <row r="222">
      <c r="A222" s="132"/>
      <c r="B222" s="254"/>
      <c r="C222" s="255"/>
      <c r="D222" s="256"/>
      <c r="E222" s="132"/>
      <c r="F222" s="137"/>
      <c r="G222" s="137"/>
      <c r="H222" s="132"/>
      <c r="I222" s="257"/>
      <c r="J222" s="137"/>
      <c r="K222" s="137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</row>
    <row r="223">
      <c r="A223" s="132"/>
      <c r="B223" s="254"/>
      <c r="C223" s="255"/>
      <c r="D223" s="256"/>
      <c r="E223" s="132"/>
      <c r="F223" s="137"/>
      <c r="G223" s="137"/>
      <c r="H223" s="132"/>
      <c r="I223" s="257"/>
      <c r="J223" s="137"/>
      <c r="K223" s="137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</row>
    <row r="224">
      <c r="A224" s="132"/>
      <c r="B224" s="254"/>
      <c r="C224" s="255"/>
      <c r="D224" s="256"/>
      <c r="E224" s="132"/>
      <c r="F224" s="137"/>
      <c r="G224" s="137"/>
      <c r="H224" s="132"/>
      <c r="I224" s="257"/>
      <c r="J224" s="137"/>
      <c r="K224" s="137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</row>
    <row r="225">
      <c r="A225" s="132"/>
      <c r="B225" s="254"/>
      <c r="C225" s="255"/>
      <c r="D225" s="256"/>
      <c r="E225" s="132"/>
      <c r="F225" s="137"/>
      <c r="G225" s="137"/>
      <c r="H225" s="132"/>
      <c r="I225" s="257"/>
      <c r="J225" s="137"/>
      <c r="K225" s="137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</row>
    <row r="226">
      <c r="A226" s="132"/>
      <c r="B226" s="254"/>
      <c r="C226" s="255"/>
      <c r="D226" s="256"/>
      <c r="E226" s="132"/>
      <c r="F226" s="137"/>
      <c r="G226" s="137"/>
      <c r="H226" s="132"/>
      <c r="I226" s="257"/>
      <c r="J226" s="137"/>
      <c r="K226" s="137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</row>
    <row r="227">
      <c r="A227" s="132"/>
      <c r="B227" s="254"/>
      <c r="C227" s="255"/>
      <c r="D227" s="256"/>
      <c r="E227" s="132"/>
      <c r="F227" s="137"/>
      <c r="G227" s="137"/>
      <c r="H227" s="132"/>
      <c r="I227" s="257"/>
      <c r="J227" s="137"/>
      <c r="K227" s="137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</row>
    <row r="228">
      <c r="A228" s="132"/>
      <c r="B228" s="254"/>
      <c r="C228" s="255"/>
      <c r="D228" s="256"/>
      <c r="E228" s="132"/>
      <c r="F228" s="137"/>
      <c r="G228" s="137"/>
      <c r="H228" s="132"/>
      <c r="I228" s="257"/>
      <c r="J228" s="137"/>
      <c r="K228" s="137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</row>
    <row r="229">
      <c r="A229" s="132"/>
      <c r="B229" s="254"/>
      <c r="C229" s="255"/>
      <c r="D229" s="256"/>
      <c r="E229" s="132"/>
      <c r="F229" s="137"/>
      <c r="G229" s="137"/>
      <c r="H229" s="132"/>
      <c r="I229" s="257"/>
      <c r="J229" s="137"/>
      <c r="K229" s="137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</row>
    <row r="230">
      <c r="A230" s="132"/>
      <c r="B230" s="254"/>
      <c r="C230" s="255"/>
      <c r="D230" s="256"/>
      <c r="E230" s="132"/>
      <c r="F230" s="137"/>
      <c r="G230" s="137"/>
      <c r="H230" s="132"/>
      <c r="I230" s="257"/>
      <c r="J230" s="137"/>
      <c r="K230" s="137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</row>
    <row r="231">
      <c r="A231" s="132"/>
      <c r="B231" s="254"/>
      <c r="C231" s="255"/>
      <c r="D231" s="256"/>
      <c r="E231" s="132"/>
      <c r="F231" s="137"/>
      <c r="G231" s="137"/>
      <c r="H231" s="132"/>
      <c r="I231" s="257"/>
      <c r="J231" s="137"/>
      <c r="K231" s="137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</row>
    <row r="232">
      <c r="A232" s="132"/>
      <c r="B232" s="254"/>
      <c r="C232" s="255"/>
      <c r="D232" s="256"/>
      <c r="E232" s="132"/>
      <c r="F232" s="137"/>
      <c r="G232" s="137"/>
      <c r="H232" s="132"/>
      <c r="I232" s="257"/>
      <c r="J232" s="137"/>
      <c r="K232" s="137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</row>
    <row r="233">
      <c r="A233" s="132"/>
      <c r="B233" s="254"/>
      <c r="C233" s="255"/>
      <c r="D233" s="256"/>
      <c r="E233" s="132"/>
      <c r="F233" s="137"/>
      <c r="G233" s="137"/>
      <c r="H233" s="132"/>
      <c r="I233" s="257"/>
      <c r="J233" s="137"/>
      <c r="K233" s="137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</row>
    <row r="234">
      <c r="A234" s="132"/>
      <c r="B234" s="254"/>
      <c r="C234" s="255"/>
      <c r="D234" s="256"/>
      <c r="E234" s="132"/>
      <c r="F234" s="137"/>
      <c r="G234" s="137"/>
      <c r="H234" s="132"/>
      <c r="I234" s="257"/>
      <c r="J234" s="137"/>
      <c r="K234" s="137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</row>
    <row r="235">
      <c r="A235" s="132"/>
      <c r="B235" s="254"/>
      <c r="C235" s="255"/>
      <c r="D235" s="256"/>
      <c r="E235" s="132"/>
      <c r="F235" s="137"/>
      <c r="G235" s="137"/>
      <c r="H235" s="132"/>
      <c r="I235" s="257"/>
      <c r="J235" s="137"/>
      <c r="K235" s="137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</row>
    <row r="236">
      <c r="A236" s="132"/>
      <c r="B236" s="254"/>
      <c r="C236" s="255"/>
      <c r="D236" s="256"/>
      <c r="E236" s="132"/>
      <c r="F236" s="137"/>
      <c r="G236" s="137"/>
      <c r="H236" s="132"/>
      <c r="I236" s="257"/>
      <c r="J236" s="137"/>
      <c r="K236" s="137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</row>
    <row r="237">
      <c r="A237" s="132"/>
      <c r="B237" s="254"/>
      <c r="C237" s="255"/>
      <c r="D237" s="256"/>
      <c r="E237" s="132"/>
      <c r="F237" s="137"/>
      <c r="G237" s="137"/>
      <c r="H237" s="132"/>
      <c r="I237" s="257"/>
      <c r="J237" s="137"/>
      <c r="K237" s="137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</row>
    <row r="238">
      <c r="A238" s="132"/>
      <c r="B238" s="254"/>
      <c r="C238" s="255"/>
      <c r="D238" s="256"/>
      <c r="E238" s="132"/>
      <c r="F238" s="137"/>
      <c r="G238" s="137"/>
      <c r="H238" s="132"/>
      <c r="I238" s="257"/>
      <c r="J238" s="137"/>
      <c r="K238" s="137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</row>
    <row r="239">
      <c r="A239" s="132"/>
      <c r="B239" s="254"/>
      <c r="C239" s="255"/>
      <c r="D239" s="256"/>
      <c r="E239" s="132"/>
      <c r="F239" s="137"/>
      <c r="G239" s="137"/>
      <c r="H239" s="132"/>
      <c r="I239" s="257"/>
      <c r="J239" s="137"/>
      <c r="K239" s="137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</row>
    <row r="240">
      <c r="A240" s="132"/>
      <c r="B240" s="254"/>
      <c r="C240" s="255"/>
      <c r="D240" s="256"/>
      <c r="E240" s="132"/>
      <c r="F240" s="137"/>
      <c r="G240" s="137"/>
      <c r="H240" s="132"/>
      <c r="I240" s="257"/>
      <c r="J240" s="137"/>
      <c r="K240" s="137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</row>
    <row r="241">
      <c r="A241" s="132"/>
      <c r="B241" s="254"/>
      <c r="C241" s="255"/>
      <c r="D241" s="256"/>
      <c r="E241" s="132"/>
      <c r="F241" s="137"/>
      <c r="G241" s="137"/>
      <c r="H241" s="132"/>
      <c r="I241" s="257"/>
      <c r="J241" s="137"/>
      <c r="K241" s="137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</row>
    <row r="242">
      <c r="A242" s="132"/>
      <c r="B242" s="254"/>
      <c r="C242" s="255"/>
      <c r="D242" s="256"/>
      <c r="E242" s="132"/>
      <c r="F242" s="137"/>
      <c r="G242" s="137"/>
      <c r="H242" s="132"/>
      <c r="I242" s="257"/>
      <c r="J242" s="137"/>
      <c r="K242" s="137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</row>
    <row r="243">
      <c r="A243" s="132"/>
      <c r="B243" s="254"/>
      <c r="C243" s="255"/>
      <c r="D243" s="256"/>
      <c r="E243" s="132"/>
      <c r="F243" s="137"/>
      <c r="G243" s="137"/>
      <c r="H243" s="132"/>
      <c r="I243" s="257"/>
      <c r="J243" s="137"/>
      <c r="K243" s="137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</row>
    <row r="244">
      <c r="A244" s="132"/>
      <c r="B244" s="254"/>
      <c r="C244" s="255"/>
      <c r="D244" s="256"/>
      <c r="E244" s="132"/>
      <c r="F244" s="137"/>
      <c r="G244" s="137"/>
      <c r="H244" s="132"/>
      <c r="I244" s="257"/>
      <c r="J244" s="137"/>
      <c r="K244" s="137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</row>
    <row r="245">
      <c r="A245" s="132"/>
      <c r="B245" s="254"/>
      <c r="C245" s="255"/>
      <c r="D245" s="256"/>
      <c r="E245" s="132"/>
      <c r="F245" s="137"/>
      <c r="G245" s="137"/>
      <c r="H245" s="132"/>
      <c r="I245" s="257"/>
      <c r="J245" s="137"/>
      <c r="K245" s="137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</row>
    <row r="246">
      <c r="A246" s="132"/>
      <c r="B246" s="254"/>
      <c r="C246" s="255"/>
      <c r="D246" s="256"/>
      <c r="E246" s="132"/>
      <c r="F246" s="137"/>
      <c r="G246" s="137"/>
      <c r="H246" s="132"/>
      <c r="I246" s="257"/>
      <c r="J246" s="137"/>
      <c r="K246" s="137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</row>
    <row r="247">
      <c r="A247" s="132"/>
      <c r="B247" s="254"/>
      <c r="C247" s="255"/>
      <c r="D247" s="256"/>
      <c r="E247" s="132"/>
      <c r="F247" s="137"/>
      <c r="G247" s="137"/>
      <c r="H247" s="132"/>
      <c r="I247" s="257"/>
      <c r="J247" s="137"/>
      <c r="K247" s="137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</row>
    <row r="248">
      <c r="A248" s="132"/>
      <c r="B248" s="254"/>
      <c r="C248" s="255"/>
      <c r="D248" s="256"/>
      <c r="E248" s="132"/>
      <c r="F248" s="137"/>
      <c r="G248" s="137"/>
      <c r="H248" s="132"/>
      <c r="I248" s="257"/>
      <c r="J248" s="137"/>
      <c r="K248" s="137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</row>
    <row r="249">
      <c r="A249" s="132"/>
      <c r="B249" s="254"/>
      <c r="C249" s="255"/>
      <c r="D249" s="256"/>
      <c r="E249" s="132"/>
      <c r="F249" s="137"/>
      <c r="G249" s="137"/>
      <c r="H249" s="132"/>
      <c r="I249" s="257"/>
      <c r="J249" s="137"/>
      <c r="K249" s="137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</row>
    <row r="250">
      <c r="A250" s="132"/>
      <c r="B250" s="254"/>
      <c r="C250" s="255"/>
      <c r="D250" s="256"/>
      <c r="E250" s="132"/>
      <c r="F250" s="137"/>
      <c r="G250" s="137"/>
      <c r="H250" s="132"/>
      <c r="I250" s="257"/>
      <c r="J250" s="137"/>
      <c r="K250" s="137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</row>
    <row r="251">
      <c r="A251" s="132"/>
      <c r="B251" s="254"/>
      <c r="C251" s="255"/>
      <c r="D251" s="256"/>
      <c r="E251" s="132"/>
      <c r="F251" s="137"/>
      <c r="G251" s="137"/>
      <c r="H251" s="132"/>
      <c r="I251" s="257"/>
      <c r="J251" s="137"/>
      <c r="K251" s="137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</row>
    <row r="252">
      <c r="A252" s="132"/>
      <c r="B252" s="254"/>
      <c r="C252" s="255"/>
      <c r="D252" s="256"/>
      <c r="E252" s="132"/>
      <c r="F252" s="137"/>
      <c r="G252" s="137"/>
      <c r="H252" s="132"/>
      <c r="I252" s="257"/>
      <c r="J252" s="137"/>
      <c r="K252" s="137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</row>
    <row r="253">
      <c r="A253" s="132"/>
      <c r="B253" s="254"/>
      <c r="C253" s="255"/>
      <c r="D253" s="256"/>
      <c r="E253" s="132"/>
      <c r="F253" s="137"/>
      <c r="G253" s="137"/>
      <c r="H253" s="132"/>
      <c r="I253" s="257"/>
      <c r="J253" s="137"/>
      <c r="K253" s="137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</row>
    <row r="254">
      <c r="A254" s="132"/>
      <c r="B254" s="254"/>
      <c r="C254" s="255"/>
      <c r="D254" s="256"/>
      <c r="E254" s="132"/>
      <c r="F254" s="137"/>
      <c r="G254" s="137"/>
      <c r="H254" s="132"/>
      <c r="I254" s="257"/>
      <c r="J254" s="137"/>
      <c r="K254" s="137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</row>
    <row r="255">
      <c r="A255" s="132"/>
      <c r="B255" s="254"/>
      <c r="C255" s="255"/>
      <c r="D255" s="256"/>
      <c r="E255" s="132"/>
      <c r="F255" s="137"/>
      <c r="G255" s="137"/>
      <c r="H255" s="132"/>
      <c r="I255" s="257"/>
      <c r="J255" s="137"/>
      <c r="K255" s="137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</row>
    <row r="256">
      <c r="A256" s="132"/>
      <c r="B256" s="254"/>
      <c r="C256" s="255"/>
      <c r="D256" s="256"/>
      <c r="E256" s="132"/>
      <c r="F256" s="137"/>
      <c r="G256" s="137"/>
      <c r="H256" s="132"/>
      <c r="I256" s="257"/>
      <c r="J256" s="137"/>
      <c r="K256" s="137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</row>
    <row r="257">
      <c r="A257" s="132"/>
      <c r="B257" s="254"/>
      <c r="C257" s="255"/>
      <c r="D257" s="256"/>
      <c r="E257" s="132"/>
      <c r="F257" s="137"/>
      <c r="G257" s="137"/>
      <c r="H257" s="132"/>
      <c r="I257" s="257"/>
      <c r="J257" s="137"/>
      <c r="K257" s="137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</row>
    <row r="258">
      <c r="A258" s="132"/>
      <c r="B258" s="254"/>
      <c r="C258" s="255"/>
      <c r="D258" s="256"/>
      <c r="E258" s="132"/>
      <c r="F258" s="137"/>
      <c r="G258" s="137"/>
      <c r="H258" s="132"/>
      <c r="I258" s="257"/>
      <c r="J258" s="137"/>
      <c r="K258" s="137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</row>
    <row r="259">
      <c r="A259" s="132"/>
      <c r="B259" s="254"/>
      <c r="C259" s="255"/>
      <c r="D259" s="256"/>
      <c r="E259" s="132"/>
      <c r="F259" s="137"/>
      <c r="G259" s="137"/>
      <c r="H259" s="132"/>
      <c r="I259" s="257"/>
      <c r="J259" s="137"/>
      <c r="K259" s="137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</row>
    <row r="260">
      <c r="A260" s="132"/>
      <c r="B260" s="254"/>
      <c r="C260" s="255"/>
      <c r="D260" s="256"/>
      <c r="E260" s="132"/>
      <c r="F260" s="137"/>
      <c r="G260" s="137"/>
      <c r="H260" s="132"/>
      <c r="I260" s="257"/>
      <c r="J260" s="137"/>
      <c r="K260" s="137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</row>
    <row r="261">
      <c r="A261" s="132"/>
      <c r="B261" s="254"/>
      <c r="C261" s="255"/>
      <c r="D261" s="256"/>
      <c r="E261" s="132"/>
      <c r="F261" s="137"/>
      <c r="G261" s="137"/>
      <c r="H261" s="132"/>
      <c r="I261" s="257"/>
      <c r="J261" s="137"/>
      <c r="K261" s="137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</row>
    <row r="262">
      <c r="A262" s="132"/>
      <c r="B262" s="254"/>
      <c r="C262" s="255"/>
      <c r="D262" s="256"/>
      <c r="E262" s="132"/>
      <c r="F262" s="137"/>
      <c r="G262" s="137"/>
      <c r="H262" s="132"/>
      <c r="I262" s="257"/>
      <c r="J262" s="137"/>
      <c r="K262" s="137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</row>
    <row r="263">
      <c r="A263" s="132"/>
      <c r="B263" s="254"/>
      <c r="C263" s="255"/>
      <c r="D263" s="256"/>
      <c r="E263" s="132"/>
      <c r="F263" s="137"/>
      <c r="G263" s="137"/>
      <c r="H263" s="132"/>
      <c r="I263" s="257"/>
      <c r="J263" s="137"/>
      <c r="K263" s="137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</row>
    <row r="264">
      <c r="A264" s="132"/>
      <c r="B264" s="254"/>
      <c r="C264" s="255"/>
      <c r="D264" s="256"/>
      <c r="E264" s="132"/>
      <c r="F264" s="137"/>
      <c r="G264" s="137"/>
      <c r="H264" s="132"/>
      <c r="I264" s="257"/>
      <c r="J264" s="137"/>
      <c r="K264" s="137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</row>
    <row r="265">
      <c r="A265" s="132"/>
      <c r="B265" s="254"/>
      <c r="C265" s="255"/>
      <c r="D265" s="256"/>
      <c r="E265" s="132"/>
      <c r="F265" s="137"/>
      <c r="G265" s="137"/>
      <c r="H265" s="132"/>
      <c r="I265" s="257"/>
      <c r="J265" s="137"/>
      <c r="K265" s="137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</row>
    <row r="266">
      <c r="A266" s="132"/>
      <c r="B266" s="254"/>
      <c r="C266" s="255"/>
      <c r="D266" s="256"/>
      <c r="E266" s="132"/>
      <c r="F266" s="137"/>
      <c r="G266" s="137"/>
      <c r="H266" s="132"/>
      <c r="I266" s="257"/>
      <c r="J266" s="137"/>
      <c r="K266" s="137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</row>
    <row r="267">
      <c r="A267" s="132"/>
      <c r="B267" s="254"/>
      <c r="C267" s="255"/>
      <c r="D267" s="256"/>
      <c r="E267" s="132"/>
      <c r="F267" s="137"/>
      <c r="G267" s="137"/>
      <c r="H267" s="132"/>
      <c r="I267" s="257"/>
      <c r="J267" s="137"/>
      <c r="K267" s="137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</row>
    <row r="268">
      <c r="A268" s="132"/>
      <c r="B268" s="254"/>
      <c r="C268" s="255"/>
      <c r="D268" s="256"/>
      <c r="E268" s="132"/>
      <c r="F268" s="137"/>
      <c r="G268" s="137"/>
      <c r="H268" s="132"/>
      <c r="I268" s="257"/>
      <c r="J268" s="137"/>
      <c r="K268" s="137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</row>
    <row r="269">
      <c r="A269" s="132"/>
      <c r="B269" s="254"/>
      <c r="C269" s="255"/>
      <c r="D269" s="256"/>
      <c r="E269" s="132"/>
      <c r="F269" s="137"/>
      <c r="G269" s="137"/>
      <c r="H269" s="132"/>
      <c r="I269" s="257"/>
      <c r="J269" s="137"/>
      <c r="K269" s="137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</row>
    <row r="270">
      <c r="A270" s="132"/>
      <c r="B270" s="254"/>
      <c r="C270" s="255"/>
      <c r="D270" s="256"/>
      <c r="E270" s="132"/>
      <c r="F270" s="137"/>
      <c r="G270" s="137"/>
      <c r="H270" s="132"/>
      <c r="I270" s="257"/>
      <c r="J270" s="137"/>
      <c r="K270" s="137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</row>
    <row r="271">
      <c r="A271" s="132"/>
      <c r="B271" s="254"/>
      <c r="C271" s="255"/>
      <c r="D271" s="256"/>
      <c r="E271" s="132"/>
      <c r="F271" s="137"/>
      <c r="G271" s="137"/>
      <c r="H271" s="132"/>
      <c r="I271" s="257"/>
      <c r="J271" s="137"/>
      <c r="K271" s="137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</row>
    <row r="272">
      <c r="A272" s="132"/>
      <c r="B272" s="254"/>
      <c r="C272" s="255"/>
      <c r="D272" s="256"/>
      <c r="E272" s="132"/>
      <c r="F272" s="137"/>
      <c r="G272" s="137"/>
      <c r="H272" s="132"/>
      <c r="I272" s="257"/>
      <c r="J272" s="137"/>
      <c r="K272" s="137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</row>
    <row r="273">
      <c r="A273" s="132"/>
      <c r="B273" s="254"/>
      <c r="C273" s="255"/>
      <c r="D273" s="256"/>
      <c r="E273" s="132"/>
      <c r="F273" s="137"/>
      <c r="G273" s="137"/>
      <c r="H273" s="132"/>
      <c r="I273" s="257"/>
      <c r="J273" s="137"/>
      <c r="K273" s="137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</row>
    <row r="274">
      <c r="A274" s="132"/>
      <c r="B274" s="254"/>
      <c r="C274" s="255"/>
      <c r="D274" s="256"/>
      <c r="E274" s="132"/>
      <c r="F274" s="137"/>
      <c r="G274" s="137"/>
      <c r="H274" s="132"/>
      <c r="I274" s="257"/>
      <c r="J274" s="137"/>
      <c r="K274" s="137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</row>
    <row r="275">
      <c r="A275" s="132"/>
      <c r="B275" s="254"/>
      <c r="C275" s="255"/>
      <c r="D275" s="256"/>
      <c r="E275" s="132"/>
      <c r="F275" s="137"/>
      <c r="G275" s="137"/>
      <c r="H275" s="132"/>
      <c r="I275" s="257"/>
      <c r="J275" s="137"/>
      <c r="K275" s="137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</row>
    <row r="276">
      <c r="A276" s="132"/>
      <c r="B276" s="254"/>
      <c r="C276" s="255"/>
      <c r="D276" s="256"/>
      <c r="E276" s="132"/>
      <c r="F276" s="137"/>
      <c r="G276" s="137"/>
      <c r="H276" s="132"/>
      <c r="I276" s="257"/>
      <c r="J276" s="137"/>
      <c r="K276" s="137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</row>
    <row r="277">
      <c r="A277" s="132"/>
      <c r="B277" s="254"/>
      <c r="C277" s="255"/>
      <c r="D277" s="256"/>
      <c r="E277" s="132"/>
      <c r="F277" s="137"/>
      <c r="G277" s="137"/>
      <c r="H277" s="132"/>
      <c r="I277" s="257"/>
      <c r="J277" s="137"/>
      <c r="K277" s="137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</row>
    <row r="278">
      <c r="A278" s="132"/>
      <c r="B278" s="254"/>
      <c r="C278" s="255"/>
      <c r="D278" s="256"/>
      <c r="E278" s="132"/>
      <c r="F278" s="137"/>
      <c r="G278" s="137"/>
      <c r="H278" s="132"/>
      <c r="I278" s="257"/>
      <c r="J278" s="137"/>
      <c r="K278" s="137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</row>
    <row r="279">
      <c r="A279" s="132"/>
      <c r="B279" s="254"/>
      <c r="C279" s="255"/>
      <c r="D279" s="256"/>
      <c r="E279" s="132"/>
      <c r="F279" s="137"/>
      <c r="G279" s="137"/>
      <c r="H279" s="132"/>
      <c r="I279" s="257"/>
      <c r="J279" s="137"/>
      <c r="K279" s="137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</row>
    <row r="280">
      <c r="A280" s="132"/>
      <c r="B280" s="254"/>
      <c r="C280" s="255"/>
      <c r="D280" s="256"/>
      <c r="E280" s="132"/>
      <c r="F280" s="137"/>
      <c r="G280" s="137"/>
      <c r="H280" s="132"/>
      <c r="I280" s="257"/>
      <c r="J280" s="137"/>
      <c r="K280" s="137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</row>
    <row r="281">
      <c r="A281" s="132"/>
      <c r="B281" s="254"/>
      <c r="C281" s="255"/>
      <c r="D281" s="256"/>
      <c r="E281" s="132"/>
      <c r="F281" s="137"/>
      <c r="G281" s="137"/>
      <c r="H281" s="132"/>
      <c r="I281" s="257"/>
      <c r="J281" s="137"/>
      <c r="K281" s="137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</row>
    <row r="282">
      <c r="A282" s="132"/>
      <c r="B282" s="254"/>
      <c r="C282" s="255"/>
      <c r="D282" s="256"/>
      <c r="E282" s="132"/>
      <c r="F282" s="137"/>
      <c r="G282" s="137"/>
      <c r="H282" s="132"/>
      <c r="I282" s="257"/>
      <c r="J282" s="137"/>
      <c r="K282" s="137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</row>
    <row r="283">
      <c r="A283" s="132"/>
      <c r="B283" s="254"/>
      <c r="C283" s="255"/>
      <c r="D283" s="256"/>
      <c r="E283" s="132"/>
      <c r="F283" s="137"/>
      <c r="G283" s="137"/>
      <c r="H283" s="132"/>
      <c r="I283" s="257"/>
      <c r="J283" s="137"/>
      <c r="K283" s="137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</row>
    <row r="284">
      <c r="A284" s="132"/>
      <c r="B284" s="254"/>
      <c r="C284" s="255"/>
      <c r="D284" s="256"/>
      <c r="E284" s="132"/>
      <c r="F284" s="137"/>
      <c r="G284" s="137"/>
      <c r="H284" s="132"/>
      <c r="I284" s="257"/>
      <c r="J284" s="137"/>
      <c r="K284" s="137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</row>
    <row r="285">
      <c r="A285" s="132"/>
      <c r="B285" s="254"/>
      <c r="C285" s="255"/>
      <c r="D285" s="256"/>
      <c r="E285" s="132"/>
      <c r="F285" s="137"/>
      <c r="G285" s="137"/>
      <c r="H285" s="132"/>
      <c r="I285" s="257"/>
      <c r="J285" s="137"/>
      <c r="K285" s="137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</row>
    <row r="286">
      <c r="A286" s="132"/>
      <c r="B286" s="254"/>
      <c r="C286" s="255"/>
      <c r="D286" s="256"/>
      <c r="E286" s="132"/>
      <c r="F286" s="137"/>
      <c r="G286" s="137"/>
      <c r="H286" s="132"/>
      <c r="I286" s="257"/>
      <c r="J286" s="137"/>
      <c r="K286" s="137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</row>
    <row r="287">
      <c r="A287" s="132"/>
      <c r="B287" s="254"/>
      <c r="C287" s="255"/>
      <c r="D287" s="256"/>
      <c r="E287" s="132"/>
      <c r="F287" s="137"/>
      <c r="G287" s="137"/>
      <c r="H287" s="132"/>
      <c r="I287" s="257"/>
      <c r="J287" s="137"/>
      <c r="K287" s="137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</row>
    <row r="288">
      <c r="A288" s="132"/>
      <c r="B288" s="254"/>
      <c r="C288" s="255"/>
      <c r="D288" s="256"/>
      <c r="E288" s="132"/>
      <c r="F288" s="137"/>
      <c r="G288" s="137"/>
      <c r="H288" s="132"/>
      <c r="I288" s="257"/>
      <c r="J288" s="137"/>
      <c r="K288" s="137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</row>
    <row r="289">
      <c r="A289" s="132"/>
      <c r="B289" s="254"/>
      <c r="C289" s="255"/>
      <c r="D289" s="256"/>
      <c r="E289" s="132"/>
      <c r="F289" s="137"/>
      <c r="G289" s="137"/>
      <c r="H289" s="132"/>
      <c r="I289" s="257"/>
      <c r="J289" s="137"/>
      <c r="K289" s="137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</row>
    <row r="290">
      <c r="A290" s="132"/>
      <c r="B290" s="254"/>
      <c r="C290" s="255"/>
      <c r="D290" s="256"/>
      <c r="E290" s="132"/>
      <c r="F290" s="137"/>
      <c r="G290" s="137"/>
      <c r="H290" s="132"/>
      <c r="I290" s="257"/>
      <c r="J290" s="137"/>
      <c r="K290" s="137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</row>
    <row r="291">
      <c r="A291" s="132"/>
      <c r="B291" s="254"/>
      <c r="C291" s="255"/>
      <c r="D291" s="256"/>
      <c r="E291" s="132"/>
      <c r="F291" s="137"/>
      <c r="G291" s="137"/>
      <c r="H291" s="132"/>
      <c r="I291" s="257"/>
      <c r="J291" s="137"/>
      <c r="K291" s="137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</row>
    <row r="292">
      <c r="A292" s="132"/>
      <c r="B292" s="254"/>
      <c r="C292" s="255"/>
      <c r="D292" s="256"/>
      <c r="E292" s="132"/>
      <c r="F292" s="137"/>
      <c r="G292" s="137"/>
      <c r="H292" s="132"/>
      <c r="I292" s="257"/>
      <c r="J292" s="137"/>
      <c r="K292" s="137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</row>
    <row r="293">
      <c r="A293" s="132"/>
      <c r="B293" s="254"/>
      <c r="C293" s="255"/>
      <c r="D293" s="256"/>
      <c r="E293" s="132"/>
      <c r="F293" s="137"/>
      <c r="G293" s="137"/>
      <c r="H293" s="132"/>
      <c r="I293" s="257"/>
      <c r="J293" s="137"/>
      <c r="K293" s="137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</row>
    <row r="294">
      <c r="A294" s="132"/>
      <c r="B294" s="254"/>
      <c r="C294" s="255"/>
      <c r="D294" s="256"/>
      <c r="E294" s="132"/>
      <c r="F294" s="137"/>
      <c r="G294" s="137"/>
      <c r="H294" s="132"/>
      <c r="I294" s="257"/>
      <c r="J294" s="137"/>
      <c r="K294" s="137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</row>
    <row r="295">
      <c r="A295" s="132"/>
      <c r="B295" s="254"/>
      <c r="C295" s="255"/>
      <c r="D295" s="256"/>
      <c r="E295" s="132"/>
      <c r="F295" s="137"/>
      <c r="G295" s="137"/>
      <c r="H295" s="132"/>
      <c r="I295" s="257"/>
      <c r="J295" s="137"/>
      <c r="K295" s="137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</row>
    <row r="296">
      <c r="A296" s="132"/>
      <c r="B296" s="254"/>
      <c r="C296" s="255"/>
      <c r="D296" s="256"/>
      <c r="E296" s="132"/>
      <c r="F296" s="137"/>
      <c r="G296" s="137"/>
      <c r="H296" s="132"/>
      <c r="I296" s="257"/>
      <c r="J296" s="137"/>
      <c r="K296" s="137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</row>
    <row r="297">
      <c r="A297" s="132"/>
      <c r="B297" s="254"/>
      <c r="C297" s="255"/>
      <c r="D297" s="256"/>
      <c r="E297" s="132"/>
      <c r="F297" s="137"/>
      <c r="G297" s="137"/>
      <c r="H297" s="132"/>
      <c r="I297" s="257"/>
      <c r="J297" s="137"/>
      <c r="K297" s="137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</row>
    <row r="298">
      <c r="A298" s="132"/>
      <c r="B298" s="254"/>
      <c r="C298" s="255"/>
      <c r="D298" s="256"/>
      <c r="E298" s="132"/>
      <c r="F298" s="137"/>
      <c r="G298" s="137"/>
      <c r="H298" s="132"/>
      <c r="I298" s="257"/>
      <c r="J298" s="137"/>
      <c r="K298" s="137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</row>
    <row r="299">
      <c r="A299" s="132"/>
      <c r="B299" s="254"/>
      <c r="C299" s="255"/>
      <c r="D299" s="256"/>
      <c r="E299" s="132"/>
      <c r="F299" s="137"/>
      <c r="G299" s="137"/>
      <c r="H299" s="132"/>
      <c r="I299" s="257"/>
      <c r="J299" s="137"/>
      <c r="K299" s="137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</row>
    <row r="300">
      <c r="A300" s="132"/>
      <c r="B300" s="254"/>
      <c r="C300" s="255"/>
      <c r="D300" s="256"/>
      <c r="E300" s="132"/>
      <c r="F300" s="137"/>
      <c r="G300" s="137"/>
      <c r="H300" s="132"/>
      <c r="I300" s="257"/>
      <c r="J300" s="137"/>
      <c r="K300" s="137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</row>
    <row r="301">
      <c r="A301" s="132"/>
      <c r="B301" s="254"/>
      <c r="C301" s="255"/>
      <c r="D301" s="256"/>
      <c r="E301" s="132"/>
      <c r="F301" s="137"/>
      <c r="G301" s="137"/>
      <c r="H301" s="132"/>
      <c r="I301" s="257"/>
      <c r="J301" s="137"/>
      <c r="K301" s="137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</row>
    <row r="302">
      <c r="A302" s="132"/>
      <c r="B302" s="254"/>
      <c r="C302" s="255"/>
      <c r="D302" s="256"/>
      <c r="E302" s="132"/>
      <c r="F302" s="137"/>
      <c r="G302" s="137"/>
      <c r="H302" s="132"/>
      <c r="I302" s="257"/>
      <c r="J302" s="137"/>
      <c r="K302" s="137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</row>
    <row r="303">
      <c r="A303" s="132"/>
      <c r="B303" s="254"/>
      <c r="C303" s="255"/>
      <c r="D303" s="256"/>
      <c r="E303" s="132"/>
      <c r="F303" s="137"/>
      <c r="G303" s="137"/>
      <c r="H303" s="132"/>
      <c r="I303" s="257"/>
      <c r="J303" s="137"/>
      <c r="K303" s="137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</row>
    <row r="304">
      <c r="A304" s="132"/>
      <c r="B304" s="254"/>
      <c r="C304" s="255"/>
      <c r="D304" s="256"/>
      <c r="E304" s="132"/>
      <c r="F304" s="137"/>
      <c r="G304" s="137"/>
      <c r="H304" s="132"/>
      <c r="I304" s="257"/>
      <c r="J304" s="137"/>
      <c r="K304" s="137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</row>
    <row r="305">
      <c r="A305" s="132"/>
      <c r="B305" s="254"/>
      <c r="C305" s="255"/>
      <c r="D305" s="256"/>
      <c r="E305" s="132"/>
      <c r="F305" s="137"/>
      <c r="G305" s="137"/>
      <c r="H305" s="132"/>
      <c r="I305" s="257"/>
      <c r="J305" s="137"/>
      <c r="K305" s="137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</row>
    <row r="306">
      <c r="A306" s="132"/>
      <c r="B306" s="254"/>
      <c r="C306" s="255"/>
      <c r="D306" s="256"/>
      <c r="E306" s="132"/>
      <c r="F306" s="137"/>
      <c r="G306" s="137"/>
      <c r="H306" s="132"/>
      <c r="I306" s="257"/>
      <c r="J306" s="137"/>
      <c r="K306" s="137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</row>
    <row r="307">
      <c r="A307" s="132"/>
      <c r="B307" s="254"/>
      <c r="C307" s="255"/>
      <c r="D307" s="256"/>
      <c r="E307" s="132"/>
      <c r="F307" s="137"/>
      <c r="G307" s="137"/>
      <c r="H307" s="132"/>
      <c r="I307" s="257"/>
      <c r="J307" s="137"/>
      <c r="K307" s="137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</row>
    <row r="308">
      <c r="A308" s="132"/>
      <c r="B308" s="254"/>
      <c r="C308" s="255"/>
      <c r="D308" s="256"/>
      <c r="E308" s="132"/>
      <c r="F308" s="137"/>
      <c r="G308" s="137"/>
      <c r="H308" s="132"/>
      <c r="I308" s="257"/>
      <c r="J308" s="137"/>
      <c r="K308" s="137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</row>
    <row r="309">
      <c r="A309" s="132"/>
      <c r="B309" s="254"/>
      <c r="C309" s="255"/>
      <c r="D309" s="256"/>
      <c r="E309" s="132"/>
      <c r="F309" s="137"/>
      <c r="G309" s="137"/>
      <c r="H309" s="132"/>
      <c r="I309" s="257"/>
      <c r="J309" s="137"/>
      <c r="K309" s="137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</row>
    <row r="310">
      <c r="A310" s="132"/>
      <c r="B310" s="254"/>
      <c r="C310" s="255"/>
      <c r="D310" s="256"/>
      <c r="E310" s="132"/>
      <c r="F310" s="137"/>
      <c r="G310" s="137"/>
      <c r="H310" s="132"/>
      <c r="I310" s="257"/>
      <c r="J310" s="137"/>
      <c r="K310" s="137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</row>
    <row r="311">
      <c r="A311" s="132"/>
      <c r="B311" s="254"/>
      <c r="C311" s="255"/>
      <c r="D311" s="256"/>
      <c r="E311" s="132"/>
      <c r="F311" s="137"/>
      <c r="G311" s="137"/>
      <c r="H311" s="132"/>
      <c r="I311" s="257"/>
      <c r="J311" s="137"/>
      <c r="K311" s="137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</row>
    <row r="312">
      <c r="A312" s="132"/>
      <c r="B312" s="254"/>
      <c r="C312" s="255"/>
      <c r="D312" s="256"/>
      <c r="E312" s="132"/>
      <c r="F312" s="137"/>
      <c r="G312" s="137"/>
      <c r="H312" s="132"/>
      <c r="I312" s="257"/>
      <c r="J312" s="137"/>
      <c r="K312" s="137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</row>
    <row r="313">
      <c r="A313" s="132"/>
      <c r="B313" s="254"/>
      <c r="C313" s="255"/>
      <c r="D313" s="256"/>
      <c r="E313" s="132"/>
      <c r="F313" s="137"/>
      <c r="G313" s="137"/>
      <c r="H313" s="132"/>
      <c r="I313" s="257"/>
      <c r="J313" s="137"/>
      <c r="K313" s="137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</row>
    <row r="314">
      <c r="A314" s="132"/>
      <c r="B314" s="254"/>
      <c r="C314" s="255"/>
      <c r="D314" s="256"/>
      <c r="E314" s="132"/>
      <c r="F314" s="137"/>
      <c r="G314" s="137"/>
      <c r="H314" s="132"/>
      <c r="I314" s="257"/>
      <c r="J314" s="137"/>
      <c r="K314" s="137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</row>
    <row r="315">
      <c r="A315" s="132"/>
      <c r="B315" s="254"/>
      <c r="C315" s="255"/>
      <c r="D315" s="256"/>
      <c r="E315" s="132"/>
      <c r="F315" s="137"/>
      <c r="G315" s="137"/>
      <c r="H315" s="132"/>
      <c r="I315" s="257"/>
      <c r="J315" s="137"/>
      <c r="K315" s="137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</row>
    <row r="316">
      <c r="A316" s="132"/>
      <c r="B316" s="254"/>
      <c r="C316" s="255"/>
      <c r="D316" s="256"/>
      <c r="E316" s="132"/>
      <c r="F316" s="137"/>
      <c r="G316" s="137"/>
      <c r="H316" s="132"/>
      <c r="I316" s="257"/>
      <c r="J316" s="137"/>
      <c r="K316" s="137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</row>
    <row r="317">
      <c r="A317" s="132"/>
      <c r="B317" s="254"/>
      <c r="C317" s="255"/>
      <c r="D317" s="256"/>
      <c r="E317" s="132"/>
      <c r="F317" s="137"/>
      <c r="G317" s="137"/>
      <c r="H317" s="132"/>
      <c r="I317" s="257"/>
      <c r="J317" s="137"/>
      <c r="K317" s="137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</row>
    <row r="318">
      <c r="A318" s="132"/>
      <c r="B318" s="254"/>
      <c r="C318" s="255"/>
      <c r="D318" s="256"/>
      <c r="E318" s="132"/>
      <c r="F318" s="137"/>
      <c r="G318" s="137"/>
      <c r="H318" s="132"/>
      <c r="I318" s="257"/>
      <c r="J318" s="137"/>
      <c r="K318" s="137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</row>
    <row r="319">
      <c r="A319" s="132"/>
      <c r="B319" s="254"/>
      <c r="C319" s="255"/>
      <c r="D319" s="256"/>
      <c r="E319" s="132"/>
      <c r="F319" s="137"/>
      <c r="G319" s="137"/>
      <c r="H319" s="132"/>
      <c r="I319" s="257"/>
      <c r="J319" s="137"/>
      <c r="K319" s="137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</row>
    <row r="320">
      <c r="A320" s="132"/>
      <c r="B320" s="254"/>
      <c r="C320" s="255"/>
      <c r="D320" s="256"/>
      <c r="E320" s="132"/>
      <c r="F320" s="137"/>
      <c r="G320" s="137"/>
      <c r="H320" s="132"/>
      <c r="I320" s="257"/>
      <c r="J320" s="137"/>
      <c r="K320" s="137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</row>
    <row r="321">
      <c r="A321" s="132"/>
      <c r="B321" s="254"/>
      <c r="C321" s="255"/>
      <c r="D321" s="256"/>
      <c r="E321" s="132"/>
      <c r="F321" s="137"/>
      <c r="G321" s="137"/>
      <c r="H321" s="132"/>
      <c r="I321" s="257"/>
      <c r="J321" s="137"/>
      <c r="K321" s="137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</row>
    <row r="322">
      <c r="A322" s="132"/>
      <c r="B322" s="254"/>
      <c r="C322" s="255"/>
      <c r="D322" s="256"/>
      <c r="E322" s="132"/>
      <c r="F322" s="137"/>
      <c r="G322" s="137"/>
      <c r="H322" s="132"/>
      <c r="I322" s="257"/>
      <c r="J322" s="137"/>
      <c r="K322" s="137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</row>
    <row r="323">
      <c r="A323" s="132"/>
      <c r="B323" s="254"/>
      <c r="C323" s="255"/>
      <c r="D323" s="256"/>
      <c r="E323" s="132"/>
      <c r="F323" s="137"/>
      <c r="G323" s="137"/>
      <c r="H323" s="132"/>
      <c r="I323" s="257"/>
      <c r="J323" s="137"/>
      <c r="K323" s="137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</row>
    <row r="324">
      <c r="A324" s="132"/>
      <c r="B324" s="254"/>
      <c r="C324" s="255"/>
      <c r="D324" s="256"/>
      <c r="E324" s="132"/>
      <c r="F324" s="137"/>
      <c r="G324" s="137"/>
      <c r="H324" s="132"/>
      <c r="I324" s="257"/>
      <c r="J324" s="137"/>
      <c r="K324" s="137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</row>
    <row r="325">
      <c r="A325" s="132"/>
      <c r="B325" s="254"/>
      <c r="C325" s="255"/>
      <c r="D325" s="256"/>
      <c r="E325" s="132"/>
      <c r="F325" s="137"/>
      <c r="G325" s="137"/>
      <c r="H325" s="132"/>
      <c r="I325" s="257"/>
      <c r="J325" s="137"/>
      <c r="K325" s="137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</row>
    <row r="326">
      <c r="A326" s="132"/>
      <c r="B326" s="254"/>
      <c r="C326" s="255"/>
      <c r="D326" s="256"/>
      <c r="E326" s="132"/>
      <c r="F326" s="137"/>
      <c r="G326" s="137"/>
      <c r="H326" s="132"/>
      <c r="I326" s="257"/>
      <c r="J326" s="137"/>
      <c r="K326" s="137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</row>
    <row r="327">
      <c r="A327" s="132"/>
      <c r="B327" s="254"/>
      <c r="C327" s="255"/>
      <c r="D327" s="256"/>
      <c r="E327" s="132"/>
      <c r="F327" s="137"/>
      <c r="G327" s="137"/>
      <c r="H327" s="132"/>
      <c r="I327" s="257"/>
      <c r="J327" s="137"/>
      <c r="K327" s="137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</row>
    <row r="328">
      <c r="A328" s="132"/>
      <c r="B328" s="254"/>
      <c r="C328" s="255"/>
      <c r="D328" s="256"/>
      <c r="E328" s="132"/>
      <c r="F328" s="137"/>
      <c r="G328" s="137"/>
      <c r="H328" s="132"/>
      <c r="I328" s="257"/>
      <c r="J328" s="137"/>
      <c r="K328" s="137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</row>
    <row r="329">
      <c r="A329" s="132"/>
      <c r="B329" s="254"/>
      <c r="C329" s="255"/>
      <c r="D329" s="256"/>
      <c r="E329" s="132"/>
      <c r="F329" s="137"/>
      <c r="G329" s="137"/>
      <c r="H329" s="132"/>
      <c r="I329" s="257"/>
      <c r="J329" s="137"/>
      <c r="K329" s="137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</row>
    <row r="330">
      <c r="A330" s="132"/>
      <c r="B330" s="254"/>
      <c r="C330" s="255"/>
      <c r="D330" s="256"/>
      <c r="E330" s="132"/>
      <c r="F330" s="137"/>
      <c r="G330" s="137"/>
      <c r="H330" s="132"/>
      <c r="I330" s="257"/>
      <c r="J330" s="137"/>
      <c r="K330" s="137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</row>
    <row r="331">
      <c r="A331" s="132"/>
      <c r="B331" s="254"/>
      <c r="C331" s="255"/>
      <c r="D331" s="256"/>
      <c r="E331" s="132"/>
      <c r="F331" s="137"/>
      <c r="G331" s="137"/>
      <c r="H331" s="132"/>
      <c r="I331" s="257"/>
      <c r="J331" s="137"/>
      <c r="K331" s="137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</row>
    <row r="332">
      <c r="A332" s="132"/>
      <c r="B332" s="254"/>
      <c r="C332" s="255"/>
      <c r="D332" s="256"/>
      <c r="E332" s="132"/>
      <c r="F332" s="137"/>
      <c r="G332" s="137"/>
      <c r="H332" s="132"/>
      <c r="I332" s="257"/>
      <c r="J332" s="137"/>
      <c r="K332" s="137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</row>
    <row r="333">
      <c r="A333" s="132"/>
      <c r="B333" s="254"/>
      <c r="C333" s="255"/>
      <c r="D333" s="256"/>
      <c r="E333" s="132"/>
      <c r="F333" s="137"/>
      <c r="G333" s="137"/>
      <c r="H333" s="132"/>
      <c r="I333" s="257"/>
      <c r="J333" s="137"/>
      <c r="K333" s="137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</row>
    <row r="334">
      <c r="A334" s="132"/>
      <c r="B334" s="254"/>
      <c r="C334" s="255"/>
      <c r="D334" s="256"/>
      <c r="E334" s="132"/>
      <c r="F334" s="137"/>
      <c r="G334" s="137"/>
      <c r="H334" s="132"/>
      <c r="I334" s="257"/>
      <c r="J334" s="137"/>
      <c r="K334" s="137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</row>
    <row r="335">
      <c r="A335" s="132"/>
      <c r="B335" s="254"/>
      <c r="C335" s="255"/>
      <c r="D335" s="256"/>
      <c r="E335" s="132"/>
      <c r="F335" s="137"/>
      <c r="G335" s="137"/>
      <c r="H335" s="132"/>
      <c r="I335" s="257"/>
      <c r="J335" s="137"/>
      <c r="K335" s="137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</row>
    <row r="336">
      <c r="A336" s="132"/>
      <c r="B336" s="254"/>
      <c r="C336" s="255"/>
      <c r="D336" s="256"/>
      <c r="E336" s="132"/>
      <c r="F336" s="137"/>
      <c r="G336" s="137"/>
      <c r="H336" s="132"/>
      <c r="I336" s="257"/>
      <c r="J336" s="137"/>
      <c r="K336" s="137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</row>
    <row r="337">
      <c r="A337" s="132"/>
      <c r="B337" s="254"/>
      <c r="C337" s="255"/>
      <c r="D337" s="256"/>
      <c r="E337" s="132"/>
      <c r="F337" s="137"/>
      <c r="G337" s="137"/>
      <c r="H337" s="132"/>
      <c r="I337" s="257"/>
      <c r="J337" s="137"/>
      <c r="K337" s="137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</row>
    <row r="338">
      <c r="A338" s="132"/>
      <c r="B338" s="254"/>
      <c r="C338" s="255"/>
      <c r="D338" s="256"/>
      <c r="E338" s="132"/>
      <c r="F338" s="137"/>
      <c r="G338" s="137"/>
      <c r="H338" s="132"/>
      <c r="I338" s="257"/>
      <c r="J338" s="137"/>
      <c r="K338" s="137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</row>
    <row r="339">
      <c r="A339" s="132"/>
      <c r="B339" s="254"/>
      <c r="C339" s="255"/>
      <c r="D339" s="256"/>
      <c r="E339" s="132"/>
      <c r="F339" s="137"/>
      <c r="G339" s="137"/>
      <c r="H339" s="132"/>
      <c r="I339" s="257"/>
      <c r="J339" s="137"/>
      <c r="K339" s="137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</row>
    <row r="340">
      <c r="A340" s="132"/>
      <c r="B340" s="254"/>
      <c r="C340" s="255"/>
      <c r="D340" s="256"/>
      <c r="E340" s="132"/>
      <c r="F340" s="137"/>
      <c r="G340" s="137"/>
      <c r="H340" s="132"/>
      <c r="I340" s="257"/>
      <c r="J340" s="137"/>
      <c r="K340" s="137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</row>
    <row r="341">
      <c r="A341" s="132"/>
      <c r="B341" s="254"/>
      <c r="C341" s="255"/>
      <c r="D341" s="256"/>
      <c r="E341" s="132"/>
      <c r="F341" s="137"/>
      <c r="G341" s="137"/>
      <c r="H341" s="132"/>
      <c r="I341" s="257"/>
      <c r="J341" s="137"/>
      <c r="K341" s="137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</row>
    <row r="342">
      <c r="A342" s="132"/>
      <c r="B342" s="254"/>
      <c r="C342" s="255"/>
      <c r="D342" s="256"/>
      <c r="E342" s="132"/>
      <c r="F342" s="137"/>
      <c r="G342" s="137"/>
      <c r="H342" s="132"/>
      <c r="I342" s="257"/>
      <c r="J342" s="137"/>
      <c r="K342" s="137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</row>
    <row r="343">
      <c r="A343" s="132"/>
      <c r="B343" s="254"/>
      <c r="C343" s="255"/>
      <c r="D343" s="256"/>
      <c r="E343" s="132"/>
      <c r="F343" s="137"/>
      <c r="G343" s="137"/>
      <c r="H343" s="132"/>
      <c r="I343" s="257"/>
      <c r="J343" s="137"/>
      <c r="K343" s="137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</row>
    <row r="344">
      <c r="A344" s="132"/>
      <c r="B344" s="254"/>
      <c r="C344" s="255"/>
      <c r="D344" s="256"/>
      <c r="E344" s="132"/>
      <c r="F344" s="137"/>
      <c r="G344" s="137"/>
      <c r="H344" s="132"/>
      <c r="I344" s="257"/>
      <c r="J344" s="137"/>
      <c r="K344" s="137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</row>
    <row r="345">
      <c r="A345" s="132"/>
      <c r="B345" s="254"/>
      <c r="C345" s="255"/>
      <c r="D345" s="256"/>
      <c r="E345" s="132"/>
      <c r="F345" s="137"/>
      <c r="G345" s="137"/>
      <c r="H345" s="132"/>
      <c r="I345" s="257"/>
      <c r="J345" s="137"/>
      <c r="K345" s="137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</row>
    <row r="346">
      <c r="A346" s="132"/>
      <c r="B346" s="254"/>
      <c r="C346" s="255"/>
      <c r="D346" s="256"/>
      <c r="E346" s="132"/>
      <c r="F346" s="137"/>
      <c r="G346" s="137"/>
      <c r="H346" s="132"/>
      <c r="I346" s="257"/>
      <c r="J346" s="137"/>
      <c r="K346" s="137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</row>
    <row r="347">
      <c r="A347" s="132"/>
      <c r="B347" s="254"/>
      <c r="C347" s="255"/>
      <c r="D347" s="256"/>
      <c r="E347" s="132"/>
      <c r="F347" s="137"/>
      <c r="G347" s="137"/>
      <c r="H347" s="132"/>
      <c r="I347" s="257"/>
      <c r="J347" s="137"/>
      <c r="K347" s="137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</row>
    <row r="348">
      <c r="A348" s="132"/>
      <c r="B348" s="254"/>
      <c r="C348" s="255"/>
      <c r="D348" s="256"/>
      <c r="E348" s="132"/>
      <c r="F348" s="137"/>
      <c r="G348" s="137"/>
      <c r="H348" s="132"/>
      <c r="I348" s="257"/>
      <c r="J348" s="137"/>
      <c r="K348" s="137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</row>
    <row r="349">
      <c r="A349" s="132"/>
      <c r="B349" s="254"/>
      <c r="C349" s="255"/>
      <c r="D349" s="256"/>
      <c r="E349" s="132"/>
      <c r="F349" s="137"/>
      <c r="G349" s="137"/>
      <c r="H349" s="132"/>
      <c r="I349" s="257"/>
      <c r="J349" s="137"/>
      <c r="K349" s="137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</row>
    <row r="350">
      <c r="A350" s="132"/>
      <c r="B350" s="254"/>
      <c r="C350" s="255"/>
      <c r="D350" s="256"/>
      <c r="E350" s="132"/>
      <c r="F350" s="137"/>
      <c r="G350" s="137"/>
      <c r="H350" s="132"/>
      <c r="I350" s="257"/>
      <c r="J350" s="137"/>
      <c r="K350" s="137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</row>
    <row r="351">
      <c r="A351" s="132"/>
      <c r="B351" s="254"/>
      <c r="C351" s="255"/>
      <c r="D351" s="256"/>
      <c r="E351" s="132"/>
      <c r="F351" s="137"/>
      <c r="G351" s="137"/>
      <c r="H351" s="132"/>
      <c r="I351" s="257"/>
      <c r="J351" s="137"/>
      <c r="K351" s="137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</row>
    <row r="352">
      <c r="A352" s="132"/>
      <c r="B352" s="254"/>
      <c r="C352" s="255"/>
      <c r="D352" s="256"/>
      <c r="E352" s="132"/>
      <c r="F352" s="137"/>
      <c r="G352" s="137"/>
      <c r="H352" s="132"/>
      <c r="I352" s="257"/>
      <c r="J352" s="137"/>
      <c r="K352" s="137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</row>
    <row r="353">
      <c r="A353" s="132"/>
      <c r="B353" s="254"/>
      <c r="C353" s="255"/>
      <c r="D353" s="256"/>
      <c r="E353" s="132"/>
      <c r="F353" s="137"/>
      <c r="G353" s="137"/>
      <c r="H353" s="132"/>
      <c r="I353" s="257"/>
      <c r="J353" s="137"/>
      <c r="K353" s="137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</row>
    <row r="354">
      <c r="A354" s="132"/>
      <c r="B354" s="254"/>
      <c r="C354" s="255"/>
      <c r="D354" s="256"/>
      <c r="E354" s="132"/>
      <c r="F354" s="137"/>
      <c r="G354" s="137"/>
      <c r="H354" s="132"/>
      <c r="I354" s="257"/>
      <c r="J354" s="137"/>
      <c r="K354" s="137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</row>
    <row r="355">
      <c r="A355" s="132"/>
      <c r="B355" s="254"/>
      <c r="C355" s="255"/>
      <c r="D355" s="256"/>
      <c r="E355" s="132"/>
      <c r="F355" s="137"/>
      <c r="G355" s="137"/>
      <c r="H355" s="132"/>
      <c r="I355" s="257"/>
      <c r="J355" s="137"/>
      <c r="K355" s="137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</row>
    <row r="356">
      <c r="A356" s="132"/>
      <c r="B356" s="254"/>
      <c r="C356" s="255"/>
      <c r="D356" s="256"/>
      <c r="E356" s="132"/>
      <c r="F356" s="137"/>
      <c r="G356" s="137"/>
      <c r="H356" s="132"/>
      <c r="I356" s="257"/>
      <c r="J356" s="137"/>
      <c r="K356" s="137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</row>
    <row r="357">
      <c r="A357" s="132"/>
      <c r="B357" s="254"/>
      <c r="C357" s="255"/>
      <c r="D357" s="256"/>
      <c r="E357" s="132"/>
      <c r="F357" s="137"/>
      <c r="G357" s="137"/>
      <c r="H357" s="132"/>
      <c r="I357" s="257"/>
      <c r="J357" s="137"/>
      <c r="K357" s="137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</row>
    <row r="358">
      <c r="A358" s="132"/>
      <c r="B358" s="254"/>
      <c r="C358" s="255"/>
      <c r="D358" s="256"/>
      <c r="E358" s="132"/>
      <c r="F358" s="137"/>
      <c r="G358" s="137"/>
      <c r="H358" s="132"/>
      <c r="I358" s="257"/>
      <c r="J358" s="137"/>
      <c r="K358" s="137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</row>
    <row r="359">
      <c r="A359" s="132"/>
      <c r="B359" s="254"/>
      <c r="C359" s="255"/>
      <c r="D359" s="256"/>
      <c r="E359" s="132"/>
      <c r="F359" s="137"/>
      <c r="G359" s="137"/>
      <c r="H359" s="132"/>
      <c r="I359" s="257"/>
      <c r="J359" s="137"/>
      <c r="K359" s="137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</row>
    <row r="360">
      <c r="A360" s="132"/>
      <c r="B360" s="254"/>
      <c r="C360" s="255"/>
      <c r="D360" s="256"/>
      <c r="E360" s="132"/>
      <c r="F360" s="137"/>
      <c r="G360" s="137"/>
      <c r="H360" s="132"/>
      <c r="I360" s="257"/>
      <c r="J360" s="137"/>
      <c r="K360" s="137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</row>
    <row r="361">
      <c r="A361" s="132"/>
      <c r="B361" s="254"/>
      <c r="C361" s="255"/>
      <c r="D361" s="256"/>
      <c r="E361" s="132"/>
      <c r="F361" s="137"/>
      <c r="G361" s="137"/>
      <c r="H361" s="132"/>
      <c r="I361" s="257"/>
      <c r="J361" s="137"/>
      <c r="K361" s="137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</row>
    <row r="362">
      <c r="A362" s="132"/>
      <c r="B362" s="254"/>
      <c r="C362" s="255"/>
      <c r="D362" s="256"/>
      <c r="E362" s="132"/>
      <c r="F362" s="137"/>
      <c r="G362" s="137"/>
      <c r="H362" s="132"/>
      <c r="I362" s="257"/>
      <c r="J362" s="137"/>
      <c r="K362" s="137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</row>
    <row r="363">
      <c r="A363" s="132"/>
      <c r="B363" s="254"/>
      <c r="C363" s="255"/>
      <c r="D363" s="256"/>
      <c r="E363" s="132"/>
      <c r="F363" s="137"/>
      <c r="G363" s="137"/>
      <c r="H363" s="132"/>
      <c r="I363" s="257"/>
      <c r="J363" s="137"/>
      <c r="K363" s="137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</row>
    <row r="364">
      <c r="A364" s="132"/>
      <c r="B364" s="254"/>
      <c r="C364" s="255"/>
      <c r="D364" s="256"/>
      <c r="E364" s="132"/>
      <c r="F364" s="137"/>
      <c r="G364" s="137"/>
      <c r="H364" s="132"/>
      <c r="I364" s="257"/>
      <c r="J364" s="137"/>
      <c r="K364" s="137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</row>
    <row r="365">
      <c r="A365" s="132"/>
      <c r="B365" s="254"/>
      <c r="C365" s="255"/>
      <c r="D365" s="256"/>
      <c r="E365" s="132"/>
      <c r="F365" s="137"/>
      <c r="G365" s="137"/>
      <c r="H365" s="132"/>
      <c r="I365" s="257"/>
      <c r="J365" s="137"/>
      <c r="K365" s="137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</row>
    <row r="366">
      <c r="A366" s="132"/>
      <c r="B366" s="254"/>
      <c r="C366" s="255"/>
      <c r="D366" s="256"/>
      <c r="E366" s="132"/>
      <c r="F366" s="137"/>
      <c r="G366" s="137"/>
      <c r="H366" s="132"/>
      <c r="I366" s="257"/>
      <c r="J366" s="137"/>
      <c r="K366" s="137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</row>
    <row r="367">
      <c r="A367" s="132"/>
      <c r="B367" s="254"/>
      <c r="C367" s="255"/>
      <c r="D367" s="256"/>
      <c r="E367" s="132"/>
      <c r="F367" s="137"/>
      <c r="G367" s="137"/>
      <c r="H367" s="132"/>
      <c r="I367" s="257"/>
      <c r="J367" s="137"/>
      <c r="K367" s="137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</row>
    <row r="368">
      <c r="A368" s="132"/>
      <c r="B368" s="254"/>
      <c r="C368" s="255"/>
      <c r="D368" s="256"/>
      <c r="E368" s="132"/>
      <c r="F368" s="137"/>
      <c r="G368" s="137"/>
      <c r="H368" s="132"/>
      <c r="I368" s="257"/>
      <c r="J368" s="137"/>
      <c r="K368" s="137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</row>
    <row r="369">
      <c r="A369" s="132"/>
      <c r="B369" s="254"/>
      <c r="C369" s="255"/>
      <c r="D369" s="256"/>
      <c r="E369" s="132"/>
      <c r="F369" s="137"/>
      <c r="G369" s="137"/>
      <c r="H369" s="132"/>
      <c r="I369" s="257"/>
      <c r="J369" s="137"/>
      <c r="K369" s="137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</row>
    <row r="370">
      <c r="A370" s="132"/>
      <c r="B370" s="254"/>
      <c r="C370" s="255"/>
      <c r="D370" s="256"/>
      <c r="E370" s="132"/>
      <c r="F370" s="137"/>
      <c r="G370" s="137"/>
      <c r="H370" s="132"/>
      <c r="I370" s="257"/>
      <c r="J370" s="137"/>
      <c r="K370" s="137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</row>
    <row r="371">
      <c r="A371" s="132"/>
      <c r="B371" s="254"/>
      <c r="C371" s="255"/>
      <c r="D371" s="256"/>
      <c r="E371" s="132"/>
      <c r="F371" s="137"/>
      <c r="G371" s="137"/>
      <c r="H371" s="132"/>
      <c r="I371" s="257"/>
      <c r="J371" s="137"/>
      <c r="K371" s="137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</row>
    <row r="372">
      <c r="A372" s="132"/>
      <c r="B372" s="254"/>
      <c r="C372" s="255"/>
      <c r="D372" s="256"/>
      <c r="E372" s="132"/>
      <c r="F372" s="137"/>
      <c r="G372" s="137"/>
      <c r="H372" s="132"/>
      <c r="I372" s="257"/>
      <c r="J372" s="137"/>
      <c r="K372" s="137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</row>
    <row r="373">
      <c r="A373" s="132"/>
      <c r="B373" s="254"/>
      <c r="C373" s="255"/>
      <c r="D373" s="256"/>
      <c r="E373" s="132"/>
      <c r="F373" s="137"/>
      <c r="G373" s="137"/>
      <c r="H373" s="132"/>
      <c r="I373" s="257"/>
      <c r="J373" s="137"/>
      <c r="K373" s="137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</row>
    <row r="374">
      <c r="A374" s="132"/>
      <c r="B374" s="254"/>
      <c r="C374" s="255"/>
      <c r="D374" s="256"/>
      <c r="E374" s="132"/>
      <c r="F374" s="137"/>
      <c r="G374" s="137"/>
      <c r="H374" s="132"/>
      <c r="I374" s="257"/>
      <c r="J374" s="137"/>
      <c r="K374" s="137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</row>
    <row r="375">
      <c r="A375" s="132"/>
      <c r="B375" s="254"/>
      <c r="C375" s="255"/>
      <c r="D375" s="256"/>
      <c r="E375" s="132"/>
      <c r="F375" s="137"/>
      <c r="G375" s="137"/>
      <c r="H375" s="132"/>
      <c r="I375" s="257"/>
      <c r="J375" s="137"/>
      <c r="K375" s="137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</row>
    <row r="376">
      <c r="A376" s="132"/>
      <c r="B376" s="254"/>
      <c r="C376" s="255"/>
      <c r="D376" s="256"/>
      <c r="E376" s="132"/>
      <c r="F376" s="137"/>
      <c r="G376" s="137"/>
      <c r="H376" s="132"/>
      <c r="I376" s="257"/>
      <c r="J376" s="137"/>
      <c r="K376" s="137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</row>
    <row r="377">
      <c r="A377" s="132"/>
      <c r="B377" s="254"/>
      <c r="C377" s="255"/>
      <c r="D377" s="256"/>
      <c r="E377" s="132"/>
      <c r="F377" s="137"/>
      <c r="G377" s="137"/>
      <c r="H377" s="132"/>
      <c r="I377" s="257"/>
      <c r="J377" s="137"/>
      <c r="K377" s="137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</row>
    <row r="378">
      <c r="A378" s="132"/>
      <c r="B378" s="254"/>
      <c r="C378" s="255"/>
      <c r="D378" s="256"/>
      <c r="E378" s="132"/>
      <c r="F378" s="137"/>
      <c r="G378" s="137"/>
      <c r="H378" s="132"/>
      <c r="I378" s="257"/>
      <c r="J378" s="137"/>
      <c r="K378" s="137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</row>
    <row r="379">
      <c r="A379" s="132"/>
      <c r="B379" s="254"/>
      <c r="C379" s="255"/>
      <c r="D379" s="256"/>
      <c r="E379" s="132"/>
      <c r="F379" s="137"/>
      <c r="G379" s="137"/>
      <c r="H379" s="132"/>
      <c r="I379" s="257"/>
      <c r="J379" s="137"/>
      <c r="K379" s="137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</row>
    <row r="380">
      <c r="A380" s="132"/>
      <c r="B380" s="254"/>
      <c r="C380" s="255"/>
      <c r="D380" s="256"/>
      <c r="E380" s="132"/>
      <c r="F380" s="137"/>
      <c r="G380" s="137"/>
      <c r="H380" s="132"/>
      <c r="I380" s="257"/>
      <c r="J380" s="137"/>
      <c r="K380" s="137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</row>
    <row r="381">
      <c r="A381" s="132"/>
      <c r="B381" s="254"/>
      <c r="C381" s="255"/>
      <c r="D381" s="256"/>
      <c r="E381" s="132"/>
      <c r="F381" s="137"/>
      <c r="G381" s="137"/>
      <c r="H381" s="132"/>
      <c r="I381" s="257"/>
      <c r="J381" s="137"/>
      <c r="K381" s="137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</row>
    <row r="382">
      <c r="A382" s="132"/>
      <c r="B382" s="254"/>
      <c r="C382" s="255"/>
      <c r="D382" s="256"/>
      <c r="E382" s="132"/>
      <c r="F382" s="137"/>
      <c r="G382" s="137"/>
      <c r="H382" s="132"/>
      <c r="I382" s="257"/>
      <c r="J382" s="137"/>
      <c r="K382" s="137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</row>
    <row r="383">
      <c r="A383" s="132"/>
      <c r="B383" s="254"/>
      <c r="C383" s="255"/>
      <c r="D383" s="256"/>
      <c r="E383" s="132"/>
      <c r="F383" s="137"/>
      <c r="G383" s="137"/>
      <c r="H383" s="132"/>
      <c r="I383" s="257"/>
      <c r="J383" s="137"/>
      <c r="K383" s="137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</row>
    <row r="384">
      <c r="A384" s="132"/>
      <c r="B384" s="254"/>
      <c r="C384" s="255"/>
      <c r="D384" s="256"/>
      <c r="E384" s="132"/>
      <c r="F384" s="137"/>
      <c r="G384" s="137"/>
      <c r="H384" s="132"/>
      <c r="I384" s="257"/>
      <c r="J384" s="137"/>
      <c r="K384" s="137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</row>
    <row r="385">
      <c r="A385" s="132"/>
      <c r="B385" s="254"/>
      <c r="C385" s="255"/>
      <c r="D385" s="256"/>
      <c r="E385" s="132"/>
      <c r="F385" s="137"/>
      <c r="G385" s="137"/>
      <c r="H385" s="132"/>
      <c r="I385" s="257"/>
      <c r="J385" s="137"/>
      <c r="K385" s="137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</row>
    <row r="386">
      <c r="A386" s="132"/>
      <c r="B386" s="254"/>
      <c r="C386" s="255"/>
      <c r="D386" s="256"/>
      <c r="E386" s="132"/>
      <c r="F386" s="137"/>
      <c r="G386" s="137"/>
      <c r="H386" s="132"/>
      <c r="I386" s="257"/>
      <c r="J386" s="137"/>
      <c r="K386" s="137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</row>
    <row r="387">
      <c r="A387" s="132"/>
      <c r="B387" s="254"/>
      <c r="C387" s="255"/>
      <c r="D387" s="256"/>
      <c r="E387" s="132"/>
      <c r="F387" s="137"/>
      <c r="G387" s="137"/>
      <c r="H387" s="132"/>
      <c r="I387" s="257"/>
      <c r="J387" s="137"/>
      <c r="K387" s="137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</row>
    <row r="388">
      <c r="A388" s="132"/>
      <c r="B388" s="254"/>
      <c r="C388" s="255"/>
      <c r="D388" s="256"/>
      <c r="E388" s="132"/>
      <c r="F388" s="137"/>
      <c r="G388" s="137"/>
      <c r="H388" s="132"/>
      <c r="I388" s="257"/>
      <c r="J388" s="137"/>
      <c r="K388" s="137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</row>
    <row r="389">
      <c r="A389" s="132"/>
      <c r="B389" s="254"/>
      <c r="C389" s="255"/>
      <c r="D389" s="256"/>
      <c r="E389" s="132"/>
      <c r="F389" s="137"/>
      <c r="G389" s="137"/>
      <c r="H389" s="132"/>
      <c r="I389" s="257"/>
      <c r="J389" s="137"/>
      <c r="K389" s="137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</row>
    <row r="390">
      <c r="A390" s="132"/>
      <c r="B390" s="254"/>
      <c r="C390" s="255"/>
      <c r="D390" s="256"/>
      <c r="E390" s="132"/>
      <c r="F390" s="137"/>
      <c r="G390" s="137"/>
      <c r="H390" s="132"/>
      <c r="I390" s="257"/>
      <c r="J390" s="137"/>
      <c r="K390" s="137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</row>
    <row r="391">
      <c r="A391" s="132"/>
      <c r="B391" s="254"/>
      <c r="C391" s="255"/>
      <c r="D391" s="256"/>
      <c r="E391" s="132"/>
      <c r="F391" s="137"/>
      <c r="G391" s="137"/>
      <c r="H391" s="132"/>
      <c r="I391" s="257"/>
      <c r="J391" s="137"/>
      <c r="K391" s="137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</row>
    <row r="392">
      <c r="A392" s="132"/>
      <c r="B392" s="254"/>
      <c r="C392" s="255"/>
      <c r="D392" s="256"/>
      <c r="E392" s="132"/>
      <c r="F392" s="137"/>
      <c r="G392" s="137"/>
      <c r="H392" s="132"/>
      <c r="I392" s="257"/>
      <c r="J392" s="137"/>
      <c r="K392" s="137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</row>
    <row r="393">
      <c r="A393" s="132"/>
      <c r="B393" s="254"/>
      <c r="C393" s="255"/>
      <c r="D393" s="256"/>
      <c r="E393" s="132"/>
      <c r="F393" s="137"/>
      <c r="G393" s="137"/>
      <c r="H393" s="132"/>
      <c r="I393" s="257"/>
      <c r="J393" s="137"/>
      <c r="K393" s="137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</row>
    <row r="394">
      <c r="A394" s="132"/>
      <c r="B394" s="254"/>
      <c r="C394" s="255"/>
      <c r="D394" s="256"/>
      <c r="E394" s="132"/>
      <c r="F394" s="137"/>
      <c r="G394" s="137"/>
      <c r="H394" s="132"/>
      <c r="I394" s="257"/>
      <c r="J394" s="137"/>
      <c r="K394" s="137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</row>
    <row r="395">
      <c r="A395" s="132"/>
      <c r="B395" s="254"/>
      <c r="C395" s="255"/>
      <c r="D395" s="256"/>
      <c r="E395" s="132"/>
      <c r="F395" s="137"/>
      <c r="G395" s="137"/>
      <c r="H395" s="132"/>
      <c r="I395" s="257"/>
      <c r="J395" s="137"/>
      <c r="K395" s="137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</row>
    <row r="396">
      <c r="A396" s="132"/>
      <c r="B396" s="254"/>
      <c r="C396" s="255"/>
      <c r="D396" s="256"/>
      <c r="E396" s="132"/>
      <c r="F396" s="137"/>
      <c r="G396" s="137"/>
      <c r="H396" s="132"/>
      <c r="I396" s="257"/>
      <c r="J396" s="137"/>
      <c r="K396" s="137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</row>
    <row r="397">
      <c r="A397" s="132"/>
      <c r="B397" s="254"/>
      <c r="C397" s="255"/>
      <c r="D397" s="256"/>
      <c r="E397" s="132"/>
      <c r="F397" s="137"/>
      <c r="G397" s="137"/>
      <c r="H397" s="132"/>
      <c r="I397" s="257"/>
      <c r="J397" s="137"/>
      <c r="K397" s="137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</row>
    <row r="398">
      <c r="A398" s="132"/>
      <c r="B398" s="254"/>
      <c r="C398" s="255"/>
      <c r="D398" s="256"/>
      <c r="E398" s="132"/>
      <c r="F398" s="137"/>
      <c r="G398" s="137"/>
      <c r="H398" s="132"/>
      <c r="I398" s="257"/>
      <c r="J398" s="137"/>
      <c r="K398" s="137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</row>
    <row r="399">
      <c r="A399" s="132"/>
      <c r="B399" s="254"/>
      <c r="C399" s="255"/>
      <c r="D399" s="256"/>
      <c r="E399" s="132"/>
      <c r="F399" s="137"/>
      <c r="G399" s="137"/>
      <c r="H399" s="132"/>
      <c r="I399" s="257"/>
      <c r="J399" s="137"/>
      <c r="K399" s="137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</row>
    <row r="400">
      <c r="A400" s="132"/>
      <c r="B400" s="254"/>
      <c r="C400" s="255"/>
      <c r="D400" s="256"/>
      <c r="E400" s="132"/>
      <c r="F400" s="137"/>
      <c r="G400" s="137"/>
      <c r="H400" s="132"/>
      <c r="I400" s="257"/>
      <c r="J400" s="137"/>
      <c r="K400" s="137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</row>
    <row r="401">
      <c r="A401" s="132"/>
      <c r="B401" s="254"/>
      <c r="C401" s="255"/>
      <c r="D401" s="256"/>
      <c r="E401" s="132"/>
      <c r="F401" s="137"/>
      <c r="G401" s="137"/>
      <c r="H401" s="132"/>
      <c r="I401" s="257"/>
      <c r="J401" s="137"/>
      <c r="K401" s="137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</row>
    <row r="402">
      <c r="A402" s="132"/>
      <c r="B402" s="254"/>
      <c r="C402" s="255"/>
      <c r="D402" s="256"/>
      <c r="E402" s="132"/>
      <c r="F402" s="137"/>
      <c r="G402" s="137"/>
      <c r="H402" s="132"/>
      <c r="I402" s="257"/>
      <c r="J402" s="137"/>
      <c r="K402" s="137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</row>
    <row r="403">
      <c r="A403" s="132"/>
      <c r="B403" s="254"/>
      <c r="C403" s="255"/>
      <c r="D403" s="256"/>
      <c r="E403" s="132"/>
      <c r="F403" s="137"/>
      <c r="G403" s="137"/>
      <c r="H403" s="132"/>
      <c r="I403" s="257"/>
      <c r="J403" s="137"/>
      <c r="K403" s="137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</row>
    <row r="404">
      <c r="A404" s="132"/>
      <c r="B404" s="254"/>
      <c r="C404" s="255"/>
      <c r="D404" s="256"/>
      <c r="E404" s="132"/>
      <c r="F404" s="137"/>
      <c r="G404" s="137"/>
      <c r="H404" s="132"/>
      <c r="I404" s="257"/>
      <c r="J404" s="137"/>
      <c r="K404" s="137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</row>
    <row r="405">
      <c r="A405" s="132"/>
      <c r="B405" s="254"/>
      <c r="C405" s="255"/>
      <c r="D405" s="256"/>
      <c r="E405" s="132"/>
      <c r="F405" s="137"/>
      <c r="G405" s="137"/>
      <c r="H405" s="132"/>
      <c r="I405" s="257"/>
      <c r="J405" s="137"/>
      <c r="K405" s="137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</row>
    <row r="406">
      <c r="A406" s="132"/>
      <c r="B406" s="254"/>
      <c r="C406" s="255"/>
      <c r="D406" s="256"/>
      <c r="E406" s="132"/>
      <c r="F406" s="137"/>
      <c r="G406" s="137"/>
      <c r="H406" s="132"/>
      <c r="I406" s="257"/>
      <c r="J406" s="137"/>
      <c r="K406" s="137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</row>
    <row r="407">
      <c r="A407" s="132"/>
      <c r="B407" s="254"/>
      <c r="C407" s="255"/>
      <c r="D407" s="256"/>
      <c r="E407" s="132"/>
      <c r="F407" s="137"/>
      <c r="G407" s="137"/>
      <c r="H407" s="132"/>
      <c r="I407" s="257"/>
      <c r="J407" s="137"/>
      <c r="K407" s="137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</row>
    <row r="408">
      <c r="A408" s="132"/>
      <c r="B408" s="254"/>
      <c r="C408" s="255"/>
      <c r="D408" s="256"/>
      <c r="E408" s="132"/>
      <c r="F408" s="137"/>
      <c r="G408" s="137"/>
      <c r="H408" s="132"/>
      <c r="I408" s="257"/>
      <c r="J408" s="137"/>
      <c r="K408" s="137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</row>
    <row r="409">
      <c r="A409" s="132"/>
      <c r="B409" s="254"/>
      <c r="C409" s="255"/>
      <c r="D409" s="256"/>
      <c r="E409" s="132"/>
      <c r="F409" s="137"/>
      <c r="G409" s="137"/>
      <c r="H409" s="132"/>
      <c r="I409" s="257"/>
      <c r="J409" s="137"/>
      <c r="K409" s="137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</row>
    <row r="410">
      <c r="A410" s="132"/>
      <c r="B410" s="254"/>
      <c r="C410" s="255"/>
      <c r="D410" s="256"/>
      <c r="E410" s="132"/>
      <c r="F410" s="137"/>
      <c r="G410" s="137"/>
      <c r="H410" s="132"/>
      <c r="I410" s="257"/>
      <c r="J410" s="137"/>
      <c r="K410" s="137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</row>
    <row r="411">
      <c r="A411" s="132"/>
      <c r="B411" s="254"/>
      <c r="C411" s="255"/>
      <c r="D411" s="256"/>
      <c r="E411" s="132"/>
      <c r="F411" s="137"/>
      <c r="G411" s="137"/>
      <c r="H411" s="132"/>
      <c r="I411" s="257"/>
      <c r="J411" s="137"/>
      <c r="K411" s="137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</row>
    <row r="412">
      <c r="A412" s="132"/>
      <c r="B412" s="254"/>
      <c r="C412" s="255"/>
      <c r="D412" s="256"/>
      <c r="E412" s="132"/>
      <c r="F412" s="137"/>
      <c r="G412" s="137"/>
      <c r="H412" s="132"/>
      <c r="I412" s="257"/>
      <c r="J412" s="137"/>
      <c r="K412" s="137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</row>
    <row r="413">
      <c r="A413" s="132"/>
      <c r="B413" s="254"/>
      <c r="C413" s="255"/>
      <c r="D413" s="256"/>
      <c r="E413" s="132"/>
      <c r="F413" s="137"/>
      <c r="G413" s="137"/>
      <c r="H413" s="132"/>
      <c r="I413" s="257"/>
      <c r="J413" s="137"/>
      <c r="K413" s="137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</row>
    <row r="414">
      <c r="A414" s="132"/>
      <c r="B414" s="254"/>
      <c r="C414" s="255"/>
      <c r="D414" s="256"/>
      <c r="E414" s="132"/>
      <c r="F414" s="137"/>
      <c r="G414" s="137"/>
      <c r="H414" s="132"/>
      <c r="I414" s="257"/>
      <c r="J414" s="137"/>
      <c r="K414" s="137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</row>
    <row r="415">
      <c r="A415" s="132"/>
      <c r="B415" s="254"/>
      <c r="C415" s="255"/>
      <c r="D415" s="256"/>
      <c r="E415" s="132"/>
      <c r="F415" s="137"/>
      <c r="G415" s="137"/>
      <c r="H415" s="132"/>
      <c r="I415" s="257"/>
      <c r="J415" s="137"/>
      <c r="K415" s="137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</row>
    <row r="416">
      <c r="A416" s="132"/>
      <c r="B416" s="254"/>
      <c r="C416" s="255"/>
      <c r="D416" s="256"/>
      <c r="E416" s="132"/>
      <c r="F416" s="137"/>
      <c r="G416" s="137"/>
      <c r="H416" s="132"/>
      <c r="I416" s="257"/>
      <c r="J416" s="137"/>
      <c r="K416" s="137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</row>
    <row r="417">
      <c r="A417" s="132"/>
      <c r="B417" s="254"/>
      <c r="C417" s="255"/>
      <c r="D417" s="256"/>
      <c r="E417" s="132"/>
      <c r="F417" s="137"/>
      <c r="G417" s="137"/>
      <c r="H417" s="132"/>
      <c r="I417" s="257"/>
      <c r="J417" s="137"/>
      <c r="K417" s="137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</row>
    <row r="418">
      <c r="A418" s="132"/>
      <c r="B418" s="254"/>
      <c r="C418" s="255"/>
      <c r="D418" s="256"/>
      <c r="E418" s="132"/>
      <c r="F418" s="137"/>
      <c r="G418" s="137"/>
      <c r="H418" s="132"/>
      <c r="I418" s="257"/>
      <c r="J418" s="137"/>
      <c r="K418" s="137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</row>
    <row r="419">
      <c r="A419" s="132"/>
      <c r="B419" s="254"/>
      <c r="C419" s="255"/>
      <c r="D419" s="256"/>
      <c r="E419" s="132"/>
      <c r="F419" s="137"/>
      <c r="G419" s="137"/>
      <c r="H419" s="132"/>
      <c r="I419" s="257"/>
      <c r="J419" s="137"/>
      <c r="K419" s="137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</row>
    <row r="420">
      <c r="A420" s="132"/>
      <c r="B420" s="254"/>
      <c r="C420" s="255"/>
      <c r="D420" s="256"/>
      <c r="E420" s="132"/>
      <c r="F420" s="137"/>
      <c r="G420" s="137"/>
      <c r="H420" s="132"/>
      <c r="I420" s="257"/>
      <c r="J420" s="137"/>
      <c r="K420" s="137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</row>
    <row r="421">
      <c r="A421" s="132"/>
      <c r="B421" s="254"/>
      <c r="C421" s="255"/>
      <c r="D421" s="256"/>
      <c r="E421" s="132"/>
      <c r="F421" s="137"/>
      <c r="G421" s="137"/>
      <c r="H421" s="132"/>
      <c r="I421" s="257"/>
      <c r="J421" s="137"/>
      <c r="K421" s="137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</row>
    <row r="422">
      <c r="A422" s="132"/>
      <c r="B422" s="254"/>
      <c r="C422" s="255"/>
      <c r="D422" s="256"/>
      <c r="E422" s="132"/>
      <c r="F422" s="137"/>
      <c r="G422" s="137"/>
      <c r="H422" s="132"/>
      <c r="I422" s="257"/>
      <c r="J422" s="137"/>
      <c r="K422" s="137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</row>
    <row r="423">
      <c r="A423" s="132"/>
      <c r="B423" s="254"/>
      <c r="C423" s="255"/>
      <c r="D423" s="256"/>
      <c r="E423" s="132"/>
      <c r="F423" s="137"/>
      <c r="G423" s="137"/>
      <c r="H423" s="132"/>
      <c r="I423" s="257"/>
      <c r="J423" s="137"/>
      <c r="K423" s="137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</row>
    <row r="424">
      <c r="A424" s="132"/>
      <c r="B424" s="254"/>
      <c r="C424" s="255"/>
      <c r="D424" s="256"/>
      <c r="E424" s="132"/>
      <c r="F424" s="137"/>
      <c r="G424" s="137"/>
      <c r="H424" s="132"/>
      <c r="I424" s="257"/>
      <c r="J424" s="137"/>
      <c r="K424" s="137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</row>
    <row r="425">
      <c r="A425" s="132"/>
      <c r="B425" s="254"/>
      <c r="C425" s="255"/>
      <c r="D425" s="256"/>
      <c r="E425" s="132"/>
      <c r="F425" s="137"/>
      <c r="G425" s="137"/>
      <c r="H425" s="132"/>
      <c r="I425" s="257"/>
      <c r="J425" s="137"/>
      <c r="K425" s="137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</row>
    <row r="426">
      <c r="A426" s="132"/>
      <c r="B426" s="254"/>
      <c r="C426" s="255"/>
      <c r="D426" s="256"/>
      <c r="E426" s="132"/>
      <c r="F426" s="137"/>
      <c r="G426" s="137"/>
      <c r="H426" s="132"/>
      <c r="I426" s="257"/>
      <c r="J426" s="137"/>
      <c r="K426" s="137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</row>
    <row r="427">
      <c r="A427" s="132"/>
      <c r="B427" s="254"/>
      <c r="C427" s="255"/>
      <c r="D427" s="256"/>
      <c r="E427" s="132"/>
      <c r="F427" s="137"/>
      <c r="G427" s="137"/>
      <c r="H427" s="132"/>
      <c r="I427" s="257"/>
      <c r="J427" s="137"/>
      <c r="K427" s="137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</row>
    <row r="428">
      <c r="A428" s="132"/>
      <c r="B428" s="254"/>
      <c r="C428" s="255"/>
      <c r="D428" s="256"/>
      <c r="E428" s="132"/>
      <c r="F428" s="137"/>
      <c r="G428" s="137"/>
      <c r="H428" s="132"/>
      <c r="I428" s="257"/>
      <c r="J428" s="137"/>
      <c r="K428" s="137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</row>
    <row r="429">
      <c r="A429" s="132"/>
      <c r="B429" s="254"/>
      <c r="C429" s="255"/>
      <c r="D429" s="256"/>
      <c r="E429" s="132"/>
      <c r="F429" s="137"/>
      <c r="G429" s="137"/>
      <c r="H429" s="132"/>
      <c r="I429" s="257"/>
      <c r="J429" s="137"/>
      <c r="K429" s="137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</row>
    <row r="430">
      <c r="A430" s="132"/>
      <c r="B430" s="254"/>
      <c r="C430" s="255"/>
      <c r="D430" s="256"/>
      <c r="E430" s="132"/>
      <c r="F430" s="137"/>
      <c r="G430" s="137"/>
      <c r="H430" s="132"/>
      <c r="I430" s="257"/>
      <c r="J430" s="137"/>
      <c r="K430" s="137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</row>
    <row r="431">
      <c r="A431" s="132"/>
      <c r="B431" s="254"/>
      <c r="C431" s="255"/>
      <c r="D431" s="256"/>
      <c r="E431" s="132"/>
      <c r="F431" s="137"/>
      <c r="G431" s="137"/>
      <c r="H431" s="132"/>
      <c r="I431" s="257"/>
      <c r="J431" s="137"/>
      <c r="K431" s="137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</row>
    <row r="432">
      <c r="A432" s="132"/>
      <c r="B432" s="254"/>
      <c r="C432" s="255"/>
      <c r="D432" s="256"/>
      <c r="E432" s="132"/>
      <c r="F432" s="137"/>
      <c r="G432" s="137"/>
      <c r="H432" s="132"/>
      <c r="I432" s="257"/>
      <c r="J432" s="137"/>
      <c r="K432" s="137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</row>
    <row r="433">
      <c r="A433" s="132"/>
      <c r="B433" s="254"/>
      <c r="C433" s="255"/>
      <c r="D433" s="256"/>
      <c r="E433" s="132"/>
      <c r="F433" s="137"/>
      <c r="G433" s="137"/>
      <c r="H433" s="132"/>
      <c r="I433" s="257"/>
      <c r="J433" s="137"/>
      <c r="K433" s="137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</row>
    <row r="434">
      <c r="A434" s="132"/>
      <c r="B434" s="254"/>
      <c r="C434" s="255"/>
      <c r="D434" s="256"/>
      <c r="E434" s="132"/>
      <c r="F434" s="137"/>
      <c r="G434" s="137"/>
      <c r="H434" s="132"/>
      <c r="I434" s="257"/>
      <c r="J434" s="137"/>
      <c r="K434" s="137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</row>
    <row r="435">
      <c r="A435" s="132"/>
      <c r="B435" s="254"/>
      <c r="C435" s="255"/>
      <c r="D435" s="256"/>
      <c r="E435" s="132"/>
      <c r="F435" s="137"/>
      <c r="G435" s="137"/>
      <c r="H435" s="132"/>
      <c r="I435" s="257"/>
      <c r="J435" s="137"/>
      <c r="K435" s="137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</row>
    <row r="436">
      <c r="A436" s="132"/>
      <c r="B436" s="254"/>
      <c r="C436" s="255"/>
      <c r="D436" s="256"/>
      <c r="E436" s="132"/>
      <c r="F436" s="137"/>
      <c r="G436" s="137"/>
      <c r="H436" s="132"/>
      <c r="I436" s="257"/>
      <c r="J436" s="137"/>
      <c r="K436" s="137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</row>
    <row r="437">
      <c r="A437" s="132"/>
      <c r="B437" s="254"/>
      <c r="C437" s="255"/>
      <c r="D437" s="256"/>
      <c r="E437" s="132"/>
      <c r="F437" s="137"/>
      <c r="G437" s="137"/>
      <c r="H437" s="132"/>
      <c r="I437" s="257"/>
      <c r="J437" s="137"/>
      <c r="K437" s="137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</row>
    <row r="438">
      <c r="A438" s="132"/>
      <c r="B438" s="254"/>
      <c r="C438" s="255"/>
      <c r="D438" s="256"/>
      <c r="E438" s="132"/>
      <c r="F438" s="137"/>
      <c r="G438" s="137"/>
      <c r="H438" s="132"/>
      <c r="I438" s="257"/>
      <c r="J438" s="137"/>
      <c r="K438" s="137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</row>
    <row r="439">
      <c r="A439" s="132"/>
      <c r="B439" s="254"/>
      <c r="C439" s="255"/>
      <c r="D439" s="256"/>
      <c r="E439" s="132"/>
      <c r="F439" s="137"/>
      <c r="G439" s="137"/>
      <c r="H439" s="132"/>
      <c r="I439" s="257"/>
      <c r="J439" s="137"/>
      <c r="K439" s="137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</row>
    <row r="440">
      <c r="A440" s="132"/>
      <c r="B440" s="254"/>
      <c r="C440" s="255"/>
      <c r="D440" s="256"/>
      <c r="E440" s="132"/>
      <c r="F440" s="137"/>
      <c r="G440" s="137"/>
      <c r="H440" s="132"/>
      <c r="I440" s="257"/>
      <c r="J440" s="137"/>
      <c r="K440" s="137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</row>
    <row r="441">
      <c r="A441" s="132"/>
      <c r="B441" s="254"/>
      <c r="C441" s="255"/>
      <c r="D441" s="256"/>
      <c r="E441" s="132"/>
      <c r="F441" s="137"/>
      <c r="G441" s="137"/>
      <c r="H441" s="132"/>
      <c r="I441" s="257"/>
      <c r="J441" s="137"/>
      <c r="K441" s="137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</row>
    <row r="442">
      <c r="A442" s="132"/>
      <c r="B442" s="254"/>
      <c r="C442" s="255"/>
      <c r="D442" s="256"/>
      <c r="E442" s="132"/>
      <c r="F442" s="137"/>
      <c r="G442" s="137"/>
      <c r="H442" s="132"/>
      <c r="I442" s="257"/>
      <c r="J442" s="137"/>
      <c r="K442" s="137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</row>
    <row r="443">
      <c r="A443" s="132"/>
      <c r="B443" s="254"/>
      <c r="C443" s="255"/>
      <c r="D443" s="256"/>
      <c r="E443" s="132"/>
      <c r="F443" s="137"/>
      <c r="G443" s="137"/>
      <c r="H443" s="132"/>
      <c r="I443" s="257"/>
      <c r="J443" s="137"/>
      <c r="K443" s="137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</row>
    <row r="444">
      <c r="A444" s="132"/>
      <c r="B444" s="254"/>
      <c r="C444" s="255"/>
      <c r="D444" s="256"/>
      <c r="E444" s="132"/>
      <c r="F444" s="137"/>
      <c r="G444" s="137"/>
      <c r="H444" s="132"/>
      <c r="I444" s="257"/>
      <c r="J444" s="137"/>
      <c r="K444" s="137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</row>
    <row r="445">
      <c r="A445" s="132"/>
      <c r="B445" s="254"/>
      <c r="C445" s="255"/>
      <c r="D445" s="256"/>
      <c r="E445" s="132"/>
      <c r="F445" s="137"/>
      <c r="G445" s="137"/>
      <c r="H445" s="132"/>
      <c r="I445" s="257"/>
      <c r="J445" s="137"/>
      <c r="K445" s="137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</row>
    <row r="446">
      <c r="A446" s="132"/>
      <c r="B446" s="254"/>
      <c r="C446" s="255"/>
      <c r="D446" s="256"/>
      <c r="E446" s="132"/>
      <c r="F446" s="137"/>
      <c r="G446" s="137"/>
      <c r="H446" s="132"/>
      <c r="I446" s="257"/>
      <c r="J446" s="137"/>
      <c r="K446" s="137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</row>
    <row r="447">
      <c r="A447" s="132"/>
      <c r="B447" s="254"/>
      <c r="C447" s="255"/>
      <c r="D447" s="256"/>
      <c r="E447" s="132"/>
      <c r="F447" s="137"/>
      <c r="G447" s="137"/>
      <c r="H447" s="132"/>
      <c r="I447" s="257"/>
      <c r="J447" s="137"/>
      <c r="K447" s="137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</row>
    <row r="448">
      <c r="A448" s="132"/>
      <c r="B448" s="254"/>
      <c r="C448" s="255"/>
      <c r="D448" s="256"/>
      <c r="E448" s="132"/>
      <c r="F448" s="137"/>
      <c r="G448" s="137"/>
      <c r="H448" s="132"/>
      <c r="I448" s="257"/>
      <c r="J448" s="137"/>
      <c r="K448" s="137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</row>
    <row r="449">
      <c r="A449" s="132"/>
      <c r="B449" s="254"/>
      <c r="C449" s="255"/>
      <c r="D449" s="256"/>
      <c r="E449" s="132"/>
      <c r="F449" s="137"/>
      <c r="G449" s="137"/>
      <c r="H449" s="132"/>
      <c r="I449" s="257"/>
      <c r="J449" s="137"/>
      <c r="K449" s="137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</row>
    <row r="450">
      <c r="A450" s="132"/>
      <c r="B450" s="254"/>
      <c r="C450" s="255"/>
      <c r="D450" s="256"/>
      <c r="E450" s="132"/>
      <c r="F450" s="137"/>
      <c r="G450" s="137"/>
      <c r="H450" s="132"/>
      <c r="I450" s="257"/>
      <c r="J450" s="137"/>
      <c r="K450" s="137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</row>
    <row r="451">
      <c r="A451" s="132"/>
      <c r="B451" s="254"/>
      <c r="C451" s="255"/>
      <c r="D451" s="256"/>
      <c r="E451" s="132"/>
      <c r="F451" s="137"/>
      <c r="G451" s="137"/>
      <c r="H451" s="132"/>
      <c r="I451" s="257"/>
      <c r="J451" s="137"/>
      <c r="K451" s="137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</row>
    <row r="452">
      <c r="A452" s="132"/>
      <c r="B452" s="254"/>
      <c r="C452" s="255"/>
      <c r="D452" s="256"/>
      <c r="E452" s="132"/>
      <c r="F452" s="137"/>
      <c r="G452" s="137"/>
      <c r="H452" s="132"/>
      <c r="I452" s="257"/>
      <c r="J452" s="137"/>
      <c r="K452" s="137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</row>
    <row r="453">
      <c r="A453" s="132"/>
      <c r="B453" s="254"/>
      <c r="C453" s="255"/>
      <c r="D453" s="256"/>
      <c r="E453" s="132"/>
      <c r="F453" s="137"/>
      <c r="G453" s="137"/>
      <c r="H453" s="132"/>
      <c r="I453" s="257"/>
      <c r="J453" s="137"/>
      <c r="K453" s="137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</row>
    <row r="454">
      <c r="A454" s="132"/>
      <c r="B454" s="254"/>
      <c r="C454" s="255"/>
      <c r="D454" s="256"/>
      <c r="E454" s="132"/>
      <c r="F454" s="137"/>
      <c r="G454" s="137"/>
      <c r="H454" s="132"/>
      <c r="I454" s="257"/>
      <c r="J454" s="137"/>
      <c r="K454" s="137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</row>
    <row r="455">
      <c r="A455" s="132"/>
      <c r="B455" s="254"/>
      <c r="C455" s="255"/>
      <c r="D455" s="256"/>
      <c r="E455" s="132"/>
      <c r="F455" s="137"/>
      <c r="G455" s="137"/>
      <c r="H455" s="132"/>
      <c r="I455" s="257"/>
      <c r="J455" s="137"/>
      <c r="K455" s="137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</row>
    <row r="456">
      <c r="A456" s="132"/>
      <c r="B456" s="254"/>
      <c r="C456" s="255"/>
      <c r="D456" s="256"/>
      <c r="E456" s="132"/>
      <c r="F456" s="137"/>
      <c r="G456" s="137"/>
      <c r="H456" s="132"/>
      <c r="I456" s="257"/>
      <c r="J456" s="137"/>
      <c r="K456" s="137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</row>
    <row r="457">
      <c r="A457" s="132"/>
      <c r="B457" s="254"/>
      <c r="C457" s="255"/>
      <c r="D457" s="256"/>
      <c r="E457" s="132"/>
      <c r="F457" s="137"/>
      <c r="G457" s="137"/>
      <c r="H457" s="132"/>
      <c r="I457" s="257"/>
      <c r="J457" s="137"/>
      <c r="K457" s="137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</row>
    <row r="458">
      <c r="A458" s="132"/>
      <c r="B458" s="254"/>
      <c r="C458" s="255"/>
      <c r="D458" s="256"/>
      <c r="E458" s="132"/>
      <c r="F458" s="137"/>
      <c r="G458" s="137"/>
      <c r="H458" s="132"/>
      <c r="I458" s="257"/>
      <c r="J458" s="137"/>
      <c r="K458" s="137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</row>
    <row r="459">
      <c r="A459" s="132"/>
      <c r="B459" s="254"/>
      <c r="C459" s="255"/>
      <c r="D459" s="256"/>
      <c r="E459" s="132"/>
      <c r="F459" s="137"/>
      <c r="G459" s="137"/>
      <c r="H459" s="132"/>
      <c r="I459" s="257"/>
      <c r="J459" s="137"/>
      <c r="K459" s="137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</row>
    <row r="460">
      <c r="A460" s="132"/>
      <c r="B460" s="254"/>
      <c r="C460" s="255"/>
      <c r="D460" s="256"/>
      <c r="E460" s="132"/>
      <c r="F460" s="137"/>
      <c r="G460" s="137"/>
      <c r="H460" s="132"/>
      <c r="I460" s="257"/>
      <c r="J460" s="137"/>
      <c r="K460" s="137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</row>
    <row r="461">
      <c r="A461" s="132"/>
      <c r="B461" s="254"/>
      <c r="C461" s="255"/>
      <c r="D461" s="256"/>
      <c r="E461" s="132"/>
      <c r="F461" s="137"/>
      <c r="G461" s="137"/>
      <c r="H461" s="132"/>
      <c r="I461" s="257"/>
      <c r="J461" s="137"/>
      <c r="K461" s="137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</row>
    <row r="462">
      <c r="A462" s="132"/>
      <c r="B462" s="254"/>
      <c r="C462" s="255"/>
      <c r="D462" s="256"/>
      <c r="E462" s="132"/>
      <c r="F462" s="137"/>
      <c r="G462" s="137"/>
      <c r="H462" s="132"/>
      <c r="I462" s="257"/>
      <c r="J462" s="137"/>
      <c r="K462" s="137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</row>
    <row r="463">
      <c r="A463" s="132"/>
      <c r="B463" s="254"/>
      <c r="C463" s="255"/>
      <c r="D463" s="256"/>
      <c r="E463" s="132"/>
      <c r="F463" s="137"/>
      <c r="G463" s="137"/>
      <c r="H463" s="132"/>
      <c r="I463" s="257"/>
      <c r="J463" s="137"/>
      <c r="K463" s="137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</row>
    <row r="464">
      <c r="A464" s="132"/>
      <c r="B464" s="254"/>
      <c r="C464" s="255"/>
      <c r="D464" s="256"/>
      <c r="E464" s="132"/>
      <c r="F464" s="137"/>
      <c r="G464" s="137"/>
      <c r="H464" s="132"/>
      <c r="I464" s="257"/>
      <c r="J464" s="137"/>
      <c r="K464" s="137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</row>
    <row r="465">
      <c r="A465" s="132"/>
      <c r="B465" s="254"/>
      <c r="C465" s="255"/>
      <c r="D465" s="256"/>
      <c r="E465" s="132"/>
      <c r="F465" s="137"/>
      <c r="G465" s="137"/>
      <c r="H465" s="132"/>
      <c r="I465" s="257"/>
      <c r="J465" s="137"/>
      <c r="K465" s="137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</row>
    <row r="466">
      <c r="A466" s="132"/>
      <c r="B466" s="254"/>
      <c r="C466" s="255"/>
      <c r="D466" s="256"/>
      <c r="E466" s="132"/>
      <c r="F466" s="137"/>
      <c r="G466" s="137"/>
      <c r="H466" s="132"/>
      <c r="I466" s="257"/>
      <c r="J466" s="137"/>
      <c r="K466" s="137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</row>
    <row r="467">
      <c r="A467" s="132"/>
      <c r="B467" s="254"/>
      <c r="C467" s="255"/>
      <c r="D467" s="256"/>
      <c r="E467" s="132"/>
      <c r="F467" s="137"/>
      <c r="G467" s="137"/>
      <c r="H467" s="132"/>
      <c r="I467" s="257"/>
      <c r="J467" s="137"/>
      <c r="K467" s="137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</row>
    <row r="468">
      <c r="A468" s="132"/>
      <c r="B468" s="254"/>
      <c r="C468" s="255"/>
      <c r="D468" s="256"/>
      <c r="E468" s="132"/>
      <c r="F468" s="137"/>
      <c r="G468" s="137"/>
      <c r="H468" s="132"/>
      <c r="I468" s="257"/>
      <c r="J468" s="137"/>
      <c r="K468" s="137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</row>
    <row r="469">
      <c r="A469" s="132"/>
      <c r="B469" s="254"/>
      <c r="C469" s="255"/>
      <c r="D469" s="256"/>
      <c r="E469" s="132"/>
      <c r="F469" s="137"/>
      <c r="G469" s="137"/>
      <c r="H469" s="132"/>
      <c r="I469" s="257"/>
      <c r="J469" s="137"/>
      <c r="K469" s="137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</row>
    <row r="470">
      <c r="A470" s="132"/>
      <c r="B470" s="254"/>
      <c r="C470" s="255"/>
      <c r="D470" s="256"/>
      <c r="E470" s="132"/>
      <c r="F470" s="137"/>
      <c r="G470" s="137"/>
      <c r="H470" s="132"/>
      <c r="I470" s="257"/>
      <c r="J470" s="137"/>
      <c r="K470" s="137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</row>
    <row r="471">
      <c r="A471" s="132"/>
      <c r="B471" s="254"/>
      <c r="C471" s="255"/>
      <c r="D471" s="256"/>
      <c r="E471" s="132"/>
      <c r="F471" s="137"/>
      <c r="G471" s="137"/>
      <c r="H471" s="132"/>
      <c r="I471" s="257"/>
      <c r="J471" s="137"/>
      <c r="K471" s="137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</row>
    <row r="472">
      <c r="A472" s="132"/>
      <c r="B472" s="254"/>
      <c r="C472" s="255"/>
      <c r="D472" s="256"/>
      <c r="E472" s="132"/>
      <c r="F472" s="137"/>
      <c r="G472" s="137"/>
      <c r="H472" s="132"/>
      <c r="I472" s="257"/>
      <c r="J472" s="137"/>
      <c r="K472" s="137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</row>
    <row r="473">
      <c r="A473" s="132"/>
      <c r="B473" s="254"/>
      <c r="C473" s="255"/>
      <c r="D473" s="256"/>
      <c r="E473" s="132"/>
      <c r="F473" s="137"/>
      <c r="G473" s="137"/>
      <c r="H473" s="132"/>
      <c r="I473" s="257"/>
      <c r="J473" s="137"/>
      <c r="K473" s="137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</row>
    <row r="474">
      <c r="A474" s="132"/>
      <c r="B474" s="254"/>
      <c r="C474" s="255"/>
      <c r="D474" s="256"/>
      <c r="E474" s="132"/>
      <c r="F474" s="137"/>
      <c r="G474" s="137"/>
      <c r="H474" s="132"/>
      <c r="I474" s="257"/>
      <c r="J474" s="137"/>
      <c r="K474" s="137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</row>
    <row r="475">
      <c r="A475" s="132"/>
      <c r="B475" s="254"/>
      <c r="C475" s="255"/>
      <c r="D475" s="256"/>
      <c r="E475" s="132"/>
      <c r="F475" s="137"/>
      <c r="G475" s="137"/>
      <c r="H475" s="132"/>
      <c r="I475" s="257"/>
      <c r="J475" s="137"/>
      <c r="K475" s="137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</row>
    <row r="476">
      <c r="A476" s="132"/>
      <c r="B476" s="254"/>
      <c r="C476" s="255"/>
      <c r="D476" s="256"/>
      <c r="E476" s="132"/>
      <c r="F476" s="137"/>
      <c r="G476" s="137"/>
      <c r="H476" s="132"/>
      <c r="I476" s="257"/>
      <c r="J476" s="137"/>
      <c r="K476" s="137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</row>
    <row r="477">
      <c r="A477" s="132"/>
      <c r="B477" s="254"/>
      <c r="C477" s="255"/>
      <c r="D477" s="256"/>
      <c r="E477" s="132"/>
      <c r="F477" s="137"/>
      <c r="G477" s="137"/>
      <c r="H477" s="132"/>
      <c r="I477" s="257"/>
      <c r="J477" s="137"/>
      <c r="K477" s="137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</row>
    <row r="478">
      <c r="A478" s="132"/>
      <c r="B478" s="254"/>
      <c r="C478" s="255"/>
      <c r="D478" s="256"/>
      <c r="E478" s="132"/>
      <c r="F478" s="137"/>
      <c r="G478" s="137"/>
      <c r="H478" s="132"/>
      <c r="I478" s="257"/>
      <c r="J478" s="137"/>
      <c r="K478" s="137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</row>
    <row r="479">
      <c r="A479" s="132"/>
      <c r="B479" s="254"/>
      <c r="C479" s="255"/>
      <c r="D479" s="256"/>
      <c r="E479" s="132"/>
      <c r="F479" s="137"/>
      <c r="G479" s="137"/>
      <c r="H479" s="132"/>
      <c r="I479" s="257"/>
      <c r="J479" s="137"/>
      <c r="K479" s="137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</row>
    <row r="480">
      <c r="A480" s="132"/>
      <c r="B480" s="254"/>
      <c r="C480" s="255"/>
      <c r="D480" s="256"/>
      <c r="E480" s="132"/>
      <c r="F480" s="137"/>
      <c r="G480" s="137"/>
      <c r="H480" s="132"/>
      <c r="I480" s="257"/>
      <c r="J480" s="137"/>
      <c r="K480" s="137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</row>
    <row r="481">
      <c r="A481" s="132"/>
      <c r="B481" s="254"/>
      <c r="C481" s="255"/>
      <c r="D481" s="256"/>
      <c r="E481" s="132"/>
      <c r="F481" s="137"/>
      <c r="G481" s="137"/>
      <c r="H481" s="132"/>
      <c r="I481" s="257"/>
      <c r="J481" s="137"/>
      <c r="K481" s="137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</row>
    <row r="482">
      <c r="A482" s="132"/>
      <c r="B482" s="254"/>
      <c r="C482" s="255"/>
      <c r="D482" s="256"/>
      <c r="E482" s="132"/>
      <c r="F482" s="137"/>
      <c r="G482" s="137"/>
      <c r="H482" s="132"/>
      <c r="I482" s="257"/>
      <c r="J482" s="137"/>
      <c r="K482" s="137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</row>
    <row r="483">
      <c r="A483" s="132"/>
      <c r="B483" s="254"/>
      <c r="C483" s="255"/>
      <c r="D483" s="256"/>
      <c r="E483" s="132"/>
      <c r="F483" s="137"/>
      <c r="G483" s="137"/>
      <c r="H483" s="132"/>
      <c r="I483" s="257"/>
      <c r="J483" s="137"/>
      <c r="K483" s="137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</row>
    <row r="484">
      <c r="A484" s="132"/>
      <c r="B484" s="254"/>
      <c r="C484" s="255"/>
      <c r="D484" s="256"/>
      <c r="E484" s="132"/>
      <c r="F484" s="137"/>
      <c r="G484" s="137"/>
      <c r="H484" s="132"/>
      <c r="I484" s="257"/>
      <c r="J484" s="137"/>
      <c r="K484" s="137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</row>
    <row r="485">
      <c r="A485" s="132"/>
      <c r="B485" s="254"/>
      <c r="C485" s="255"/>
      <c r="D485" s="256"/>
      <c r="E485" s="132"/>
      <c r="F485" s="137"/>
      <c r="G485" s="137"/>
      <c r="H485" s="132"/>
      <c r="I485" s="257"/>
      <c r="J485" s="137"/>
      <c r="K485" s="137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</row>
    <row r="486">
      <c r="A486" s="132"/>
      <c r="B486" s="254"/>
      <c r="C486" s="255"/>
      <c r="D486" s="256"/>
      <c r="E486" s="132"/>
      <c r="F486" s="137"/>
      <c r="G486" s="137"/>
      <c r="H486" s="132"/>
      <c r="I486" s="257"/>
      <c r="J486" s="137"/>
      <c r="K486" s="137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</row>
    <row r="487">
      <c r="A487" s="132"/>
      <c r="B487" s="254"/>
      <c r="C487" s="255"/>
      <c r="D487" s="256"/>
      <c r="E487" s="132"/>
      <c r="F487" s="137"/>
      <c r="G487" s="137"/>
      <c r="H487" s="132"/>
      <c r="I487" s="257"/>
      <c r="J487" s="137"/>
      <c r="K487" s="137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</row>
    <row r="488">
      <c r="A488" s="132"/>
      <c r="B488" s="254"/>
      <c r="C488" s="255"/>
      <c r="D488" s="256"/>
      <c r="E488" s="132"/>
      <c r="F488" s="137"/>
      <c r="G488" s="137"/>
      <c r="H488" s="132"/>
      <c r="I488" s="257"/>
      <c r="J488" s="137"/>
      <c r="K488" s="137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</row>
    <row r="489">
      <c r="A489" s="132"/>
      <c r="B489" s="254"/>
      <c r="C489" s="255"/>
      <c r="D489" s="256"/>
      <c r="E489" s="132"/>
      <c r="F489" s="137"/>
      <c r="G489" s="137"/>
      <c r="H489" s="132"/>
      <c r="I489" s="257"/>
      <c r="J489" s="137"/>
      <c r="K489" s="137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</row>
    <row r="490">
      <c r="A490" s="132"/>
      <c r="B490" s="254"/>
      <c r="C490" s="255"/>
      <c r="D490" s="256"/>
      <c r="E490" s="132"/>
      <c r="F490" s="137"/>
      <c r="G490" s="137"/>
      <c r="H490" s="132"/>
      <c r="I490" s="257"/>
      <c r="J490" s="137"/>
      <c r="K490" s="137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</row>
    <row r="491">
      <c r="A491" s="132"/>
      <c r="B491" s="254"/>
      <c r="C491" s="255"/>
      <c r="D491" s="256"/>
      <c r="E491" s="132"/>
      <c r="F491" s="137"/>
      <c r="G491" s="137"/>
      <c r="H491" s="132"/>
      <c r="I491" s="257"/>
      <c r="J491" s="137"/>
      <c r="K491" s="137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</row>
    <row r="492">
      <c r="A492" s="132"/>
      <c r="B492" s="254"/>
      <c r="C492" s="255"/>
      <c r="D492" s="256"/>
      <c r="E492" s="132"/>
      <c r="F492" s="137"/>
      <c r="G492" s="137"/>
      <c r="H492" s="132"/>
      <c r="I492" s="257"/>
      <c r="J492" s="137"/>
      <c r="K492" s="137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</row>
    <row r="493">
      <c r="A493" s="132"/>
      <c r="B493" s="254"/>
      <c r="C493" s="255"/>
      <c r="D493" s="256"/>
      <c r="E493" s="132"/>
      <c r="F493" s="137"/>
      <c r="G493" s="137"/>
      <c r="H493" s="132"/>
      <c r="I493" s="257"/>
      <c r="J493" s="137"/>
      <c r="K493" s="137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</row>
    <row r="494">
      <c r="A494" s="132"/>
      <c r="B494" s="254"/>
      <c r="C494" s="255"/>
      <c r="D494" s="256"/>
      <c r="E494" s="132"/>
      <c r="F494" s="137"/>
      <c r="G494" s="137"/>
      <c r="H494" s="132"/>
      <c r="I494" s="257"/>
      <c r="J494" s="137"/>
      <c r="K494" s="137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</row>
    <row r="495">
      <c r="A495" s="132"/>
      <c r="B495" s="254"/>
      <c r="C495" s="255"/>
      <c r="D495" s="256"/>
      <c r="E495" s="132"/>
      <c r="F495" s="137"/>
      <c r="G495" s="137"/>
      <c r="H495" s="132"/>
      <c r="I495" s="257"/>
      <c r="J495" s="137"/>
      <c r="K495" s="137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</row>
    <row r="496">
      <c r="A496" s="132"/>
      <c r="B496" s="254"/>
      <c r="C496" s="255"/>
      <c r="D496" s="256"/>
      <c r="E496" s="132"/>
      <c r="F496" s="137"/>
      <c r="G496" s="137"/>
      <c r="H496" s="132"/>
      <c r="I496" s="257"/>
      <c r="J496" s="137"/>
      <c r="K496" s="137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</row>
    <row r="497">
      <c r="A497" s="132"/>
      <c r="B497" s="254"/>
      <c r="C497" s="255"/>
      <c r="D497" s="256"/>
      <c r="E497" s="132"/>
      <c r="F497" s="137"/>
      <c r="G497" s="137"/>
      <c r="H497" s="132"/>
      <c r="I497" s="257"/>
      <c r="J497" s="137"/>
      <c r="K497" s="137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</row>
    <row r="498">
      <c r="A498" s="132"/>
      <c r="B498" s="254"/>
      <c r="C498" s="255"/>
      <c r="D498" s="256"/>
      <c r="E498" s="132"/>
      <c r="F498" s="137"/>
      <c r="G498" s="137"/>
      <c r="H498" s="132"/>
      <c r="I498" s="257"/>
      <c r="J498" s="137"/>
      <c r="K498" s="137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</row>
    <row r="499">
      <c r="A499" s="132"/>
      <c r="B499" s="254"/>
      <c r="C499" s="255"/>
      <c r="D499" s="256"/>
      <c r="E499" s="132"/>
      <c r="F499" s="137"/>
      <c r="G499" s="137"/>
      <c r="H499" s="132"/>
      <c r="I499" s="257"/>
      <c r="J499" s="137"/>
      <c r="K499" s="137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</row>
    <row r="500">
      <c r="A500" s="132"/>
      <c r="B500" s="254"/>
      <c r="C500" s="255"/>
      <c r="D500" s="256"/>
      <c r="E500" s="132"/>
      <c r="F500" s="137"/>
      <c r="G500" s="137"/>
      <c r="H500" s="132"/>
      <c r="I500" s="257"/>
      <c r="J500" s="137"/>
      <c r="K500" s="137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</row>
    <row r="501">
      <c r="A501" s="132"/>
      <c r="B501" s="254"/>
      <c r="C501" s="255"/>
      <c r="D501" s="256"/>
      <c r="E501" s="132"/>
      <c r="F501" s="137"/>
      <c r="G501" s="137"/>
      <c r="H501" s="132"/>
      <c r="I501" s="257"/>
      <c r="J501" s="137"/>
      <c r="K501" s="137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</row>
    <row r="502">
      <c r="A502" s="132"/>
      <c r="B502" s="254"/>
      <c r="C502" s="255"/>
      <c r="D502" s="256"/>
      <c r="E502" s="132"/>
      <c r="F502" s="137"/>
      <c r="G502" s="137"/>
      <c r="H502" s="132"/>
      <c r="I502" s="257"/>
      <c r="J502" s="137"/>
      <c r="K502" s="137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</row>
    <row r="503">
      <c r="A503" s="132"/>
      <c r="B503" s="254"/>
      <c r="C503" s="255"/>
      <c r="D503" s="256"/>
      <c r="E503" s="132"/>
      <c r="F503" s="137"/>
      <c r="G503" s="137"/>
      <c r="H503" s="132"/>
      <c r="I503" s="257"/>
      <c r="J503" s="137"/>
      <c r="K503" s="137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</row>
    <row r="504">
      <c r="A504" s="132"/>
      <c r="B504" s="254"/>
      <c r="C504" s="255"/>
      <c r="D504" s="256"/>
      <c r="E504" s="132"/>
      <c r="F504" s="137"/>
      <c r="G504" s="137"/>
      <c r="H504" s="132"/>
      <c r="I504" s="257"/>
      <c r="J504" s="137"/>
      <c r="K504" s="137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</row>
    <row r="505">
      <c r="A505" s="132"/>
      <c r="B505" s="254"/>
      <c r="C505" s="255"/>
      <c r="D505" s="256"/>
      <c r="E505" s="132"/>
      <c r="F505" s="137"/>
      <c r="G505" s="137"/>
      <c r="H505" s="132"/>
      <c r="I505" s="257"/>
      <c r="J505" s="137"/>
      <c r="K505" s="137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</row>
    <row r="506">
      <c r="A506" s="132"/>
      <c r="B506" s="254"/>
      <c r="C506" s="255"/>
      <c r="D506" s="256"/>
      <c r="E506" s="132"/>
      <c r="F506" s="137"/>
      <c r="G506" s="137"/>
      <c r="H506" s="132"/>
      <c r="I506" s="257"/>
      <c r="J506" s="137"/>
      <c r="K506" s="137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</row>
    <row r="507">
      <c r="A507" s="132"/>
      <c r="B507" s="254"/>
      <c r="C507" s="255"/>
      <c r="D507" s="256"/>
      <c r="E507" s="132"/>
      <c r="F507" s="137"/>
      <c r="G507" s="137"/>
      <c r="H507" s="132"/>
      <c r="I507" s="257"/>
      <c r="J507" s="137"/>
      <c r="K507" s="137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</row>
    <row r="508">
      <c r="A508" s="132"/>
      <c r="B508" s="254"/>
      <c r="C508" s="255"/>
      <c r="D508" s="256"/>
      <c r="E508" s="132"/>
      <c r="F508" s="137"/>
      <c r="G508" s="137"/>
      <c r="H508" s="132"/>
      <c r="I508" s="257"/>
      <c r="J508" s="137"/>
      <c r="K508" s="137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</row>
    <row r="509">
      <c r="A509" s="132"/>
      <c r="B509" s="254"/>
      <c r="C509" s="255"/>
      <c r="D509" s="256"/>
      <c r="E509" s="132"/>
      <c r="F509" s="137"/>
      <c r="G509" s="137"/>
      <c r="H509" s="132"/>
      <c r="I509" s="257"/>
      <c r="J509" s="137"/>
      <c r="K509" s="137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</row>
    <row r="510">
      <c r="A510" s="132"/>
      <c r="B510" s="254"/>
      <c r="C510" s="255"/>
      <c r="D510" s="256"/>
      <c r="E510" s="132"/>
      <c r="F510" s="137"/>
      <c r="G510" s="137"/>
      <c r="H510" s="132"/>
      <c r="I510" s="257"/>
      <c r="J510" s="137"/>
      <c r="K510" s="137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</row>
    <row r="511">
      <c r="A511" s="132"/>
      <c r="B511" s="254"/>
      <c r="C511" s="255"/>
      <c r="D511" s="256"/>
      <c r="E511" s="132"/>
      <c r="F511" s="137"/>
      <c r="G511" s="137"/>
      <c r="H511" s="132"/>
      <c r="I511" s="257"/>
      <c r="J511" s="137"/>
      <c r="K511" s="137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</row>
    <row r="512">
      <c r="A512" s="132"/>
      <c r="B512" s="254"/>
      <c r="C512" s="255"/>
      <c r="D512" s="256"/>
      <c r="E512" s="132"/>
      <c r="F512" s="137"/>
      <c r="G512" s="137"/>
      <c r="H512" s="132"/>
      <c r="I512" s="257"/>
      <c r="J512" s="137"/>
      <c r="K512" s="137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</row>
    <row r="513">
      <c r="A513" s="132"/>
      <c r="B513" s="254"/>
      <c r="C513" s="255"/>
      <c r="D513" s="256"/>
      <c r="E513" s="132"/>
      <c r="F513" s="137"/>
      <c r="G513" s="137"/>
      <c r="H513" s="132"/>
      <c r="I513" s="257"/>
      <c r="J513" s="137"/>
      <c r="K513" s="137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</row>
    <row r="514">
      <c r="A514" s="132"/>
      <c r="B514" s="254"/>
      <c r="C514" s="255"/>
      <c r="D514" s="256"/>
      <c r="E514" s="132"/>
      <c r="F514" s="137"/>
      <c r="G514" s="137"/>
      <c r="H514" s="132"/>
      <c r="I514" s="257"/>
      <c r="J514" s="137"/>
      <c r="K514" s="137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</row>
    <row r="515">
      <c r="A515" s="132"/>
      <c r="B515" s="254"/>
      <c r="C515" s="255"/>
      <c r="D515" s="256"/>
      <c r="E515" s="132"/>
      <c r="F515" s="137"/>
      <c r="G515" s="137"/>
      <c r="H515" s="132"/>
      <c r="I515" s="257"/>
      <c r="J515" s="137"/>
      <c r="K515" s="137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</row>
    <row r="516">
      <c r="A516" s="132"/>
      <c r="B516" s="254"/>
      <c r="C516" s="255"/>
      <c r="D516" s="256"/>
      <c r="E516" s="132"/>
      <c r="F516" s="137"/>
      <c r="G516" s="137"/>
      <c r="H516" s="132"/>
      <c r="I516" s="257"/>
      <c r="J516" s="137"/>
      <c r="K516" s="137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</row>
    <row r="517">
      <c r="A517" s="132"/>
      <c r="B517" s="254"/>
      <c r="C517" s="255"/>
      <c r="D517" s="256"/>
      <c r="E517" s="132"/>
      <c r="F517" s="137"/>
      <c r="G517" s="137"/>
      <c r="H517" s="132"/>
      <c r="I517" s="257"/>
      <c r="J517" s="137"/>
      <c r="K517" s="137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</row>
    <row r="518">
      <c r="A518" s="132"/>
      <c r="B518" s="254"/>
      <c r="C518" s="255"/>
      <c r="D518" s="256"/>
      <c r="E518" s="132"/>
      <c r="F518" s="137"/>
      <c r="G518" s="137"/>
      <c r="H518" s="132"/>
      <c r="I518" s="257"/>
      <c r="J518" s="137"/>
      <c r="K518" s="137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</row>
    <row r="519">
      <c r="A519" s="132"/>
      <c r="B519" s="254"/>
      <c r="C519" s="255"/>
      <c r="D519" s="256"/>
      <c r="E519" s="132"/>
      <c r="F519" s="137"/>
      <c r="G519" s="137"/>
      <c r="H519" s="132"/>
      <c r="I519" s="257"/>
      <c r="J519" s="137"/>
      <c r="K519" s="137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</row>
    <row r="520">
      <c r="A520" s="132"/>
      <c r="B520" s="254"/>
      <c r="C520" s="255"/>
      <c r="D520" s="256"/>
      <c r="E520" s="132"/>
      <c r="F520" s="137"/>
      <c r="G520" s="137"/>
      <c r="H520" s="132"/>
      <c r="I520" s="257"/>
      <c r="J520" s="137"/>
      <c r="K520" s="137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</row>
    <row r="521">
      <c r="A521" s="132"/>
      <c r="B521" s="254"/>
      <c r="C521" s="255"/>
      <c r="D521" s="256"/>
      <c r="E521" s="132"/>
      <c r="F521" s="137"/>
      <c r="G521" s="137"/>
      <c r="H521" s="132"/>
      <c r="I521" s="257"/>
      <c r="J521" s="137"/>
      <c r="K521" s="137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</row>
    <row r="522">
      <c r="A522" s="132"/>
      <c r="B522" s="254"/>
      <c r="C522" s="255"/>
      <c r="D522" s="256"/>
      <c r="E522" s="132"/>
      <c r="F522" s="137"/>
      <c r="G522" s="137"/>
      <c r="H522" s="132"/>
      <c r="I522" s="257"/>
      <c r="J522" s="137"/>
      <c r="K522" s="137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</row>
    <row r="523">
      <c r="A523" s="132"/>
      <c r="B523" s="254"/>
      <c r="C523" s="255"/>
      <c r="D523" s="256"/>
      <c r="E523" s="132"/>
      <c r="F523" s="137"/>
      <c r="G523" s="137"/>
      <c r="H523" s="132"/>
      <c r="I523" s="257"/>
      <c r="J523" s="137"/>
      <c r="K523" s="137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</row>
    <row r="524">
      <c r="A524" s="132"/>
      <c r="B524" s="254"/>
      <c r="C524" s="255"/>
      <c r="D524" s="256"/>
      <c r="E524" s="132"/>
      <c r="F524" s="137"/>
      <c r="G524" s="137"/>
      <c r="H524" s="132"/>
      <c r="I524" s="257"/>
      <c r="J524" s="137"/>
      <c r="K524" s="137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</row>
    <row r="525">
      <c r="A525" s="132"/>
      <c r="B525" s="254"/>
      <c r="C525" s="255"/>
      <c r="D525" s="256"/>
      <c r="E525" s="132"/>
      <c r="F525" s="137"/>
      <c r="G525" s="137"/>
      <c r="H525" s="132"/>
      <c r="I525" s="257"/>
      <c r="J525" s="137"/>
      <c r="K525" s="137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</row>
    <row r="526">
      <c r="A526" s="132"/>
      <c r="B526" s="254"/>
      <c r="C526" s="255"/>
      <c r="D526" s="256"/>
      <c r="E526" s="132"/>
      <c r="F526" s="137"/>
      <c r="G526" s="137"/>
      <c r="H526" s="132"/>
      <c r="I526" s="257"/>
      <c r="J526" s="137"/>
      <c r="K526" s="137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</row>
    <row r="527">
      <c r="A527" s="132"/>
      <c r="B527" s="254"/>
      <c r="C527" s="255"/>
      <c r="D527" s="256"/>
      <c r="E527" s="132"/>
      <c r="F527" s="137"/>
      <c r="G527" s="137"/>
      <c r="H527" s="132"/>
      <c r="I527" s="257"/>
      <c r="J527" s="137"/>
      <c r="K527" s="137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</row>
    <row r="528">
      <c r="A528" s="132"/>
      <c r="B528" s="254"/>
      <c r="C528" s="255"/>
      <c r="D528" s="256"/>
      <c r="E528" s="132"/>
      <c r="F528" s="137"/>
      <c r="G528" s="137"/>
      <c r="H528" s="132"/>
      <c r="I528" s="257"/>
      <c r="J528" s="137"/>
      <c r="K528" s="137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</row>
    <row r="529">
      <c r="A529" s="132"/>
      <c r="B529" s="254"/>
      <c r="C529" s="255"/>
      <c r="D529" s="256"/>
      <c r="E529" s="132"/>
      <c r="F529" s="137"/>
      <c r="G529" s="137"/>
      <c r="H529" s="132"/>
      <c r="I529" s="257"/>
      <c r="J529" s="137"/>
      <c r="K529" s="137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</row>
    <row r="530">
      <c r="A530" s="132"/>
      <c r="B530" s="254"/>
      <c r="C530" s="255"/>
      <c r="D530" s="256"/>
      <c r="E530" s="132"/>
      <c r="F530" s="137"/>
      <c r="G530" s="137"/>
      <c r="H530" s="132"/>
      <c r="I530" s="257"/>
      <c r="J530" s="137"/>
      <c r="K530" s="137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</row>
    <row r="531">
      <c r="A531" s="132"/>
      <c r="B531" s="254"/>
      <c r="C531" s="255"/>
      <c r="D531" s="256"/>
      <c r="E531" s="132"/>
      <c r="F531" s="137"/>
      <c r="G531" s="137"/>
      <c r="H531" s="132"/>
      <c r="I531" s="257"/>
      <c r="J531" s="137"/>
      <c r="K531" s="137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</row>
    <row r="532">
      <c r="A532" s="132"/>
      <c r="B532" s="254"/>
      <c r="C532" s="255"/>
      <c r="D532" s="256"/>
      <c r="E532" s="132"/>
      <c r="F532" s="137"/>
      <c r="G532" s="137"/>
      <c r="H532" s="132"/>
      <c r="I532" s="257"/>
      <c r="J532" s="137"/>
      <c r="K532" s="137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</row>
    <row r="533">
      <c r="A533" s="132"/>
      <c r="B533" s="254"/>
      <c r="C533" s="255"/>
      <c r="D533" s="256"/>
      <c r="E533" s="132"/>
      <c r="F533" s="137"/>
      <c r="G533" s="137"/>
      <c r="H533" s="132"/>
      <c r="I533" s="257"/>
      <c r="J533" s="137"/>
      <c r="K533" s="137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</row>
    <row r="534">
      <c r="A534" s="132"/>
      <c r="B534" s="254"/>
      <c r="C534" s="255"/>
      <c r="D534" s="256"/>
      <c r="E534" s="132"/>
      <c r="F534" s="137"/>
      <c r="G534" s="137"/>
      <c r="H534" s="132"/>
      <c r="I534" s="257"/>
      <c r="J534" s="137"/>
      <c r="K534" s="137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</row>
    <row r="535">
      <c r="A535" s="132"/>
      <c r="B535" s="254"/>
      <c r="C535" s="255"/>
      <c r="D535" s="256"/>
      <c r="E535" s="132"/>
      <c r="F535" s="137"/>
      <c r="G535" s="137"/>
      <c r="H535" s="132"/>
      <c r="I535" s="257"/>
      <c r="J535" s="137"/>
      <c r="K535" s="137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</row>
    <row r="536">
      <c r="A536" s="132"/>
      <c r="B536" s="254"/>
      <c r="C536" s="255"/>
      <c r="D536" s="256"/>
      <c r="E536" s="132"/>
      <c r="F536" s="137"/>
      <c r="G536" s="137"/>
      <c r="H536" s="132"/>
      <c r="I536" s="257"/>
      <c r="J536" s="137"/>
      <c r="K536" s="137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</row>
    <row r="537">
      <c r="A537" s="132"/>
      <c r="B537" s="254"/>
      <c r="C537" s="255"/>
      <c r="D537" s="256"/>
      <c r="E537" s="132"/>
      <c r="F537" s="137"/>
      <c r="G537" s="137"/>
      <c r="H537" s="132"/>
      <c r="I537" s="257"/>
      <c r="J537" s="137"/>
      <c r="K537" s="137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</row>
    <row r="538">
      <c r="A538" s="132"/>
      <c r="B538" s="254"/>
      <c r="C538" s="255"/>
      <c r="D538" s="256"/>
      <c r="E538" s="132"/>
      <c r="F538" s="137"/>
      <c r="G538" s="137"/>
      <c r="H538" s="132"/>
      <c r="I538" s="257"/>
      <c r="J538" s="137"/>
      <c r="K538" s="137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</row>
    <row r="539">
      <c r="A539" s="132"/>
      <c r="B539" s="254"/>
      <c r="C539" s="255"/>
      <c r="D539" s="256"/>
      <c r="E539" s="132"/>
      <c r="F539" s="137"/>
      <c r="G539" s="137"/>
      <c r="H539" s="132"/>
      <c r="I539" s="257"/>
      <c r="J539" s="137"/>
      <c r="K539" s="137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</row>
    <row r="540">
      <c r="A540" s="132"/>
      <c r="B540" s="254"/>
      <c r="C540" s="255"/>
      <c r="D540" s="256"/>
      <c r="E540" s="132"/>
      <c r="F540" s="137"/>
      <c r="G540" s="137"/>
      <c r="H540" s="132"/>
      <c r="I540" s="257"/>
      <c r="J540" s="137"/>
      <c r="K540" s="137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</row>
    <row r="541">
      <c r="A541" s="132"/>
      <c r="B541" s="254"/>
      <c r="C541" s="255"/>
      <c r="D541" s="256"/>
      <c r="E541" s="132"/>
      <c r="F541" s="137"/>
      <c r="G541" s="137"/>
      <c r="H541" s="132"/>
      <c r="I541" s="257"/>
      <c r="J541" s="137"/>
      <c r="K541" s="137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</row>
    <row r="542">
      <c r="A542" s="132"/>
      <c r="B542" s="254"/>
      <c r="C542" s="255"/>
      <c r="D542" s="256"/>
      <c r="E542" s="132"/>
      <c r="F542" s="137"/>
      <c r="G542" s="137"/>
      <c r="H542" s="132"/>
      <c r="I542" s="257"/>
      <c r="J542" s="137"/>
      <c r="K542" s="137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</row>
    <row r="543">
      <c r="A543" s="132"/>
      <c r="B543" s="254"/>
      <c r="C543" s="255"/>
      <c r="D543" s="256"/>
      <c r="E543" s="132"/>
      <c r="F543" s="137"/>
      <c r="G543" s="137"/>
      <c r="H543" s="132"/>
      <c r="I543" s="257"/>
      <c r="J543" s="137"/>
      <c r="K543" s="137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</row>
    <row r="544">
      <c r="A544" s="132"/>
      <c r="B544" s="254"/>
      <c r="C544" s="255"/>
      <c r="D544" s="256"/>
      <c r="E544" s="132"/>
      <c r="F544" s="137"/>
      <c r="G544" s="137"/>
      <c r="H544" s="132"/>
      <c r="I544" s="257"/>
      <c r="J544" s="137"/>
      <c r="K544" s="137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</row>
    <row r="545">
      <c r="A545" s="132"/>
      <c r="B545" s="254"/>
      <c r="C545" s="255"/>
      <c r="D545" s="256"/>
      <c r="E545" s="132"/>
      <c r="F545" s="137"/>
      <c r="G545" s="137"/>
      <c r="H545" s="132"/>
      <c r="I545" s="257"/>
      <c r="J545" s="137"/>
      <c r="K545" s="137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</row>
    <row r="546">
      <c r="A546" s="132"/>
      <c r="B546" s="254"/>
      <c r="C546" s="255"/>
      <c r="D546" s="256"/>
      <c r="E546" s="132"/>
      <c r="F546" s="137"/>
      <c r="G546" s="137"/>
      <c r="H546" s="132"/>
      <c r="I546" s="257"/>
      <c r="J546" s="137"/>
      <c r="K546" s="137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</row>
    <row r="547">
      <c r="A547" s="132"/>
      <c r="B547" s="254"/>
      <c r="C547" s="255"/>
      <c r="D547" s="256"/>
      <c r="E547" s="132"/>
      <c r="F547" s="137"/>
      <c r="G547" s="137"/>
      <c r="H547" s="132"/>
      <c r="I547" s="257"/>
      <c r="J547" s="137"/>
      <c r="K547" s="137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</row>
    <row r="548">
      <c r="A548" s="132"/>
      <c r="B548" s="254"/>
      <c r="C548" s="255"/>
      <c r="D548" s="256"/>
      <c r="E548" s="132"/>
      <c r="F548" s="137"/>
      <c r="G548" s="137"/>
      <c r="H548" s="132"/>
      <c r="I548" s="257"/>
      <c r="J548" s="137"/>
      <c r="K548" s="137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</row>
    <row r="549">
      <c r="A549" s="132"/>
      <c r="B549" s="254"/>
      <c r="C549" s="255"/>
      <c r="D549" s="256"/>
      <c r="E549" s="132"/>
      <c r="F549" s="137"/>
      <c r="G549" s="137"/>
      <c r="H549" s="132"/>
      <c r="I549" s="257"/>
      <c r="J549" s="137"/>
      <c r="K549" s="137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</row>
    <row r="550">
      <c r="A550" s="132"/>
      <c r="B550" s="254"/>
      <c r="C550" s="255"/>
      <c r="D550" s="256"/>
      <c r="E550" s="132"/>
      <c r="F550" s="137"/>
      <c r="G550" s="137"/>
      <c r="H550" s="132"/>
      <c r="I550" s="257"/>
      <c r="J550" s="137"/>
      <c r="K550" s="137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</row>
    <row r="551">
      <c r="A551" s="132"/>
      <c r="B551" s="254"/>
      <c r="C551" s="255"/>
      <c r="D551" s="256"/>
      <c r="E551" s="132"/>
      <c r="F551" s="137"/>
      <c r="G551" s="137"/>
      <c r="H551" s="132"/>
      <c r="I551" s="257"/>
      <c r="J551" s="137"/>
      <c r="K551" s="137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</row>
    <row r="552">
      <c r="A552" s="132"/>
      <c r="B552" s="254"/>
      <c r="C552" s="255"/>
      <c r="D552" s="256"/>
      <c r="E552" s="132"/>
      <c r="F552" s="137"/>
      <c r="G552" s="137"/>
      <c r="H552" s="132"/>
      <c r="I552" s="257"/>
      <c r="J552" s="137"/>
      <c r="K552" s="137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</row>
    <row r="553">
      <c r="A553" s="132"/>
      <c r="B553" s="254"/>
      <c r="C553" s="255"/>
      <c r="D553" s="256"/>
      <c r="E553" s="132"/>
      <c r="F553" s="137"/>
      <c r="G553" s="137"/>
      <c r="H553" s="132"/>
      <c r="I553" s="257"/>
      <c r="J553" s="137"/>
      <c r="K553" s="137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</row>
    <row r="554">
      <c r="A554" s="132"/>
      <c r="B554" s="254"/>
      <c r="C554" s="255"/>
      <c r="D554" s="256"/>
      <c r="E554" s="132"/>
      <c r="F554" s="137"/>
      <c r="G554" s="137"/>
      <c r="H554" s="132"/>
      <c r="I554" s="257"/>
      <c r="J554" s="137"/>
      <c r="K554" s="137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</row>
    <row r="555">
      <c r="A555" s="132"/>
      <c r="B555" s="254"/>
      <c r="C555" s="255"/>
      <c r="D555" s="256"/>
      <c r="E555" s="132"/>
      <c r="F555" s="137"/>
      <c r="G555" s="137"/>
      <c r="H555" s="132"/>
      <c r="I555" s="257"/>
      <c r="J555" s="137"/>
      <c r="K555" s="137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</row>
    <row r="556">
      <c r="A556" s="132"/>
      <c r="B556" s="254"/>
      <c r="C556" s="255"/>
      <c r="D556" s="256"/>
      <c r="E556" s="132"/>
      <c r="F556" s="137"/>
      <c r="G556" s="137"/>
      <c r="H556" s="132"/>
      <c r="I556" s="257"/>
      <c r="J556" s="137"/>
      <c r="K556" s="137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</row>
    <row r="557">
      <c r="A557" s="132"/>
      <c r="B557" s="254"/>
      <c r="C557" s="255"/>
      <c r="D557" s="256"/>
      <c r="E557" s="132"/>
      <c r="F557" s="137"/>
      <c r="G557" s="137"/>
      <c r="H557" s="132"/>
      <c r="I557" s="257"/>
      <c r="J557" s="137"/>
      <c r="K557" s="137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</row>
    <row r="558">
      <c r="A558" s="132"/>
      <c r="B558" s="254"/>
      <c r="C558" s="255"/>
      <c r="D558" s="256"/>
      <c r="E558" s="132"/>
      <c r="F558" s="137"/>
      <c r="G558" s="137"/>
      <c r="H558" s="132"/>
      <c r="I558" s="257"/>
      <c r="J558" s="137"/>
      <c r="K558" s="137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</row>
    <row r="559">
      <c r="A559" s="132"/>
      <c r="B559" s="254"/>
      <c r="C559" s="255"/>
      <c r="D559" s="256"/>
      <c r="E559" s="132"/>
      <c r="F559" s="137"/>
      <c r="G559" s="137"/>
      <c r="H559" s="132"/>
      <c r="I559" s="257"/>
      <c r="J559" s="137"/>
      <c r="K559" s="137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</row>
    <row r="560">
      <c r="A560" s="132"/>
      <c r="B560" s="254"/>
      <c r="C560" s="255"/>
      <c r="D560" s="256"/>
      <c r="E560" s="132"/>
      <c r="F560" s="137"/>
      <c r="G560" s="137"/>
      <c r="H560" s="132"/>
      <c r="I560" s="257"/>
      <c r="J560" s="137"/>
      <c r="K560" s="137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</row>
    <row r="561">
      <c r="A561" s="132"/>
      <c r="B561" s="254"/>
      <c r="C561" s="255"/>
      <c r="D561" s="256"/>
      <c r="E561" s="132"/>
      <c r="F561" s="137"/>
      <c r="G561" s="137"/>
      <c r="H561" s="132"/>
      <c r="I561" s="257"/>
      <c r="J561" s="137"/>
      <c r="K561" s="137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</row>
    <row r="562">
      <c r="A562" s="132"/>
      <c r="B562" s="254"/>
      <c r="C562" s="255"/>
      <c r="D562" s="256"/>
      <c r="E562" s="132"/>
      <c r="F562" s="137"/>
      <c r="G562" s="137"/>
      <c r="H562" s="132"/>
      <c r="I562" s="257"/>
      <c r="J562" s="137"/>
      <c r="K562" s="137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</row>
    <row r="563">
      <c r="A563" s="132"/>
      <c r="B563" s="254"/>
      <c r="C563" s="255"/>
      <c r="D563" s="256"/>
      <c r="E563" s="132"/>
      <c r="F563" s="137"/>
      <c r="G563" s="137"/>
      <c r="H563" s="132"/>
      <c r="I563" s="257"/>
      <c r="J563" s="137"/>
      <c r="K563" s="137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</row>
    <row r="564">
      <c r="A564" s="132"/>
      <c r="B564" s="254"/>
      <c r="C564" s="255"/>
      <c r="D564" s="256"/>
      <c r="E564" s="132"/>
      <c r="F564" s="137"/>
      <c r="G564" s="137"/>
      <c r="H564" s="132"/>
      <c r="I564" s="257"/>
      <c r="J564" s="137"/>
      <c r="K564" s="137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</row>
    <row r="565">
      <c r="A565" s="132"/>
      <c r="B565" s="254"/>
      <c r="C565" s="255"/>
      <c r="D565" s="256"/>
      <c r="E565" s="132"/>
      <c r="F565" s="137"/>
      <c r="G565" s="137"/>
      <c r="H565" s="132"/>
      <c r="I565" s="257"/>
      <c r="J565" s="137"/>
      <c r="K565" s="137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</row>
    <row r="566">
      <c r="A566" s="132"/>
      <c r="B566" s="254"/>
      <c r="C566" s="255"/>
      <c r="D566" s="256"/>
      <c r="E566" s="132"/>
      <c r="F566" s="137"/>
      <c r="G566" s="137"/>
      <c r="H566" s="132"/>
      <c r="I566" s="257"/>
      <c r="J566" s="137"/>
      <c r="K566" s="137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</row>
    <row r="567">
      <c r="A567" s="132"/>
      <c r="B567" s="254"/>
      <c r="C567" s="255"/>
      <c r="D567" s="256"/>
      <c r="E567" s="132"/>
      <c r="F567" s="137"/>
      <c r="G567" s="137"/>
      <c r="H567" s="132"/>
      <c r="I567" s="257"/>
      <c r="J567" s="137"/>
      <c r="K567" s="137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</row>
    <row r="568">
      <c r="A568" s="132"/>
      <c r="B568" s="254"/>
      <c r="C568" s="255"/>
      <c r="D568" s="256"/>
      <c r="E568" s="132"/>
      <c r="F568" s="137"/>
      <c r="G568" s="137"/>
      <c r="H568" s="132"/>
      <c r="I568" s="257"/>
      <c r="J568" s="137"/>
      <c r="K568" s="137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</row>
    <row r="569">
      <c r="A569" s="132"/>
      <c r="B569" s="254"/>
      <c r="C569" s="255"/>
      <c r="D569" s="256"/>
      <c r="E569" s="132"/>
      <c r="F569" s="137"/>
      <c r="G569" s="137"/>
      <c r="H569" s="132"/>
      <c r="I569" s="257"/>
      <c r="J569" s="137"/>
      <c r="K569" s="137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</row>
    <row r="570">
      <c r="A570" s="132"/>
      <c r="B570" s="254"/>
      <c r="C570" s="255"/>
      <c r="D570" s="256"/>
      <c r="E570" s="132"/>
      <c r="F570" s="137"/>
      <c r="G570" s="137"/>
      <c r="H570" s="132"/>
      <c r="I570" s="257"/>
      <c r="J570" s="137"/>
      <c r="K570" s="137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</row>
    <row r="571">
      <c r="A571" s="132"/>
      <c r="B571" s="254"/>
      <c r="C571" s="255"/>
      <c r="D571" s="256"/>
      <c r="E571" s="132"/>
      <c r="F571" s="137"/>
      <c r="G571" s="137"/>
      <c r="H571" s="132"/>
      <c r="I571" s="257"/>
      <c r="J571" s="137"/>
      <c r="K571" s="137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</row>
    <row r="572">
      <c r="A572" s="132"/>
      <c r="B572" s="254"/>
      <c r="C572" s="255"/>
      <c r="D572" s="256"/>
      <c r="E572" s="132"/>
      <c r="F572" s="137"/>
      <c r="G572" s="137"/>
      <c r="H572" s="132"/>
      <c r="I572" s="257"/>
      <c r="J572" s="137"/>
      <c r="K572" s="137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</row>
    <row r="573">
      <c r="A573" s="132"/>
      <c r="B573" s="254"/>
      <c r="C573" s="255"/>
      <c r="D573" s="256"/>
      <c r="E573" s="132"/>
      <c r="F573" s="137"/>
      <c r="G573" s="137"/>
      <c r="H573" s="132"/>
      <c r="I573" s="257"/>
      <c r="J573" s="137"/>
      <c r="K573" s="137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</row>
    <row r="574">
      <c r="A574" s="132"/>
      <c r="B574" s="254"/>
      <c r="C574" s="255"/>
      <c r="D574" s="256"/>
      <c r="E574" s="132"/>
      <c r="F574" s="137"/>
      <c r="G574" s="137"/>
      <c r="H574" s="132"/>
      <c r="I574" s="257"/>
      <c r="J574" s="137"/>
      <c r="K574" s="137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</row>
    <row r="575">
      <c r="A575" s="132"/>
      <c r="B575" s="254"/>
      <c r="C575" s="255"/>
      <c r="D575" s="256"/>
      <c r="E575" s="132"/>
      <c r="F575" s="137"/>
      <c r="G575" s="137"/>
      <c r="H575" s="132"/>
      <c r="I575" s="257"/>
      <c r="J575" s="137"/>
      <c r="K575" s="137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</row>
    <row r="576">
      <c r="A576" s="132"/>
      <c r="B576" s="254"/>
      <c r="C576" s="255"/>
      <c r="D576" s="256"/>
      <c r="E576" s="132"/>
      <c r="F576" s="137"/>
      <c r="G576" s="137"/>
      <c r="H576" s="132"/>
      <c r="I576" s="257"/>
      <c r="J576" s="137"/>
      <c r="K576" s="137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</row>
    <row r="577">
      <c r="A577" s="132"/>
      <c r="B577" s="254"/>
      <c r="C577" s="255"/>
      <c r="D577" s="256"/>
      <c r="E577" s="132"/>
      <c r="F577" s="137"/>
      <c r="G577" s="137"/>
      <c r="H577" s="132"/>
      <c r="I577" s="257"/>
      <c r="J577" s="137"/>
      <c r="K577" s="137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</row>
    <row r="578">
      <c r="A578" s="132"/>
      <c r="B578" s="254"/>
      <c r="C578" s="255"/>
      <c r="D578" s="256"/>
      <c r="E578" s="132"/>
      <c r="F578" s="137"/>
      <c r="G578" s="137"/>
      <c r="H578" s="132"/>
      <c r="I578" s="257"/>
      <c r="J578" s="137"/>
      <c r="K578" s="137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</row>
    <row r="579">
      <c r="A579" s="132"/>
      <c r="B579" s="254"/>
      <c r="C579" s="255"/>
      <c r="D579" s="256"/>
      <c r="E579" s="132"/>
      <c r="F579" s="137"/>
      <c r="G579" s="137"/>
      <c r="H579" s="132"/>
      <c r="I579" s="257"/>
      <c r="J579" s="137"/>
      <c r="K579" s="137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</row>
    <row r="580">
      <c r="A580" s="132"/>
      <c r="B580" s="254"/>
      <c r="C580" s="255"/>
      <c r="D580" s="256"/>
      <c r="E580" s="132"/>
      <c r="F580" s="137"/>
      <c r="G580" s="137"/>
      <c r="H580" s="132"/>
      <c r="I580" s="257"/>
      <c r="J580" s="137"/>
      <c r="K580" s="137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</row>
    <row r="581">
      <c r="A581" s="132"/>
      <c r="B581" s="254"/>
      <c r="C581" s="255"/>
      <c r="D581" s="256"/>
      <c r="E581" s="132"/>
      <c r="F581" s="137"/>
      <c r="G581" s="137"/>
      <c r="H581" s="132"/>
      <c r="I581" s="257"/>
      <c r="J581" s="137"/>
      <c r="K581" s="137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</row>
    <row r="582">
      <c r="A582" s="132"/>
      <c r="B582" s="254"/>
      <c r="C582" s="255"/>
      <c r="D582" s="256"/>
      <c r="E582" s="132"/>
      <c r="F582" s="137"/>
      <c r="G582" s="137"/>
      <c r="H582" s="132"/>
      <c r="I582" s="257"/>
      <c r="J582" s="137"/>
      <c r="K582" s="137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</row>
    <row r="583">
      <c r="A583" s="132"/>
      <c r="B583" s="254"/>
      <c r="C583" s="255"/>
      <c r="D583" s="256"/>
      <c r="E583" s="132"/>
      <c r="F583" s="137"/>
      <c r="G583" s="137"/>
      <c r="H583" s="132"/>
      <c r="I583" s="257"/>
      <c r="J583" s="137"/>
      <c r="K583" s="137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</row>
    <row r="584">
      <c r="A584" s="132"/>
      <c r="B584" s="254"/>
      <c r="C584" s="255"/>
      <c r="D584" s="256"/>
      <c r="E584" s="132"/>
      <c r="F584" s="137"/>
      <c r="G584" s="137"/>
      <c r="H584" s="132"/>
      <c r="I584" s="257"/>
      <c r="J584" s="137"/>
      <c r="K584" s="137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</row>
    <row r="585">
      <c r="A585" s="132"/>
      <c r="B585" s="254"/>
      <c r="C585" s="255"/>
      <c r="D585" s="256"/>
      <c r="E585" s="132"/>
      <c r="F585" s="137"/>
      <c r="G585" s="137"/>
      <c r="H585" s="132"/>
      <c r="I585" s="257"/>
      <c r="J585" s="137"/>
      <c r="K585" s="137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</row>
    <row r="586">
      <c r="A586" s="132"/>
      <c r="B586" s="254"/>
      <c r="C586" s="255"/>
      <c r="D586" s="256"/>
      <c r="E586" s="132"/>
      <c r="F586" s="137"/>
      <c r="G586" s="137"/>
      <c r="H586" s="132"/>
      <c r="I586" s="257"/>
      <c r="J586" s="137"/>
      <c r="K586" s="137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</row>
    <row r="587">
      <c r="A587" s="132"/>
      <c r="B587" s="254"/>
      <c r="C587" s="255"/>
      <c r="D587" s="256"/>
      <c r="E587" s="132"/>
      <c r="F587" s="137"/>
      <c r="G587" s="137"/>
      <c r="H587" s="132"/>
      <c r="I587" s="257"/>
      <c r="J587" s="137"/>
      <c r="K587" s="137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</row>
    <row r="588">
      <c r="A588" s="132"/>
      <c r="B588" s="254"/>
      <c r="C588" s="255"/>
      <c r="D588" s="256"/>
      <c r="E588" s="132"/>
      <c r="F588" s="137"/>
      <c r="G588" s="137"/>
      <c r="H588" s="132"/>
      <c r="I588" s="257"/>
      <c r="J588" s="137"/>
      <c r="K588" s="137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</row>
    <row r="589">
      <c r="A589" s="132"/>
      <c r="B589" s="254"/>
      <c r="C589" s="255"/>
      <c r="D589" s="256"/>
      <c r="E589" s="132"/>
      <c r="F589" s="137"/>
      <c r="G589" s="137"/>
      <c r="H589" s="132"/>
      <c r="I589" s="257"/>
      <c r="J589" s="137"/>
      <c r="K589" s="137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</row>
    <row r="590">
      <c r="A590" s="132"/>
      <c r="B590" s="254"/>
      <c r="C590" s="255"/>
      <c r="D590" s="256"/>
      <c r="E590" s="132"/>
      <c r="F590" s="137"/>
      <c r="G590" s="137"/>
      <c r="H590" s="132"/>
      <c r="I590" s="257"/>
      <c r="J590" s="137"/>
      <c r="K590" s="137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</row>
    <row r="591">
      <c r="A591" s="132"/>
      <c r="B591" s="254"/>
      <c r="C591" s="255"/>
      <c r="D591" s="256"/>
      <c r="E591" s="132"/>
      <c r="F591" s="137"/>
      <c r="G591" s="137"/>
      <c r="H591" s="132"/>
      <c r="I591" s="257"/>
      <c r="J591" s="137"/>
      <c r="K591" s="137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</row>
    <row r="592">
      <c r="A592" s="132"/>
      <c r="B592" s="254"/>
      <c r="C592" s="255"/>
      <c r="D592" s="256"/>
      <c r="E592" s="132"/>
      <c r="F592" s="137"/>
      <c r="G592" s="137"/>
      <c r="H592" s="132"/>
      <c r="I592" s="257"/>
      <c r="J592" s="137"/>
      <c r="K592" s="137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</row>
    <row r="593">
      <c r="A593" s="132"/>
      <c r="B593" s="254"/>
      <c r="C593" s="255"/>
      <c r="D593" s="256"/>
      <c r="E593" s="132"/>
      <c r="F593" s="137"/>
      <c r="G593" s="137"/>
      <c r="H593" s="132"/>
      <c r="I593" s="257"/>
      <c r="J593" s="137"/>
      <c r="K593" s="137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</row>
    <row r="594">
      <c r="A594" s="132"/>
      <c r="B594" s="254"/>
      <c r="C594" s="255"/>
      <c r="D594" s="256"/>
      <c r="E594" s="132"/>
      <c r="F594" s="137"/>
      <c r="G594" s="137"/>
      <c r="H594" s="132"/>
      <c r="I594" s="257"/>
      <c r="J594" s="137"/>
      <c r="K594" s="137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</row>
    <row r="595">
      <c r="A595" s="132"/>
      <c r="B595" s="254"/>
      <c r="C595" s="255"/>
      <c r="D595" s="256"/>
      <c r="E595" s="132"/>
      <c r="F595" s="137"/>
      <c r="G595" s="137"/>
      <c r="H595" s="132"/>
      <c r="I595" s="257"/>
      <c r="J595" s="137"/>
      <c r="K595" s="137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</row>
    <row r="596">
      <c r="A596" s="132"/>
      <c r="B596" s="254"/>
      <c r="C596" s="255"/>
      <c r="D596" s="256"/>
      <c r="E596" s="132"/>
      <c r="F596" s="137"/>
      <c r="G596" s="137"/>
      <c r="H596" s="132"/>
      <c r="I596" s="257"/>
      <c r="J596" s="137"/>
      <c r="K596" s="137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</row>
    <row r="597">
      <c r="A597" s="132"/>
      <c r="B597" s="254"/>
      <c r="C597" s="255"/>
      <c r="D597" s="256"/>
      <c r="E597" s="132"/>
      <c r="F597" s="137"/>
      <c r="G597" s="137"/>
      <c r="H597" s="132"/>
      <c r="I597" s="257"/>
      <c r="J597" s="137"/>
      <c r="K597" s="137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</row>
    <row r="598">
      <c r="A598" s="132"/>
      <c r="B598" s="254"/>
      <c r="C598" s="255"/>
      <c r="D598" s="256"/>
      <c r="E598" s="132"/>
      <c r="F598" s="137"/>
      <c r="G598" s="137"/>
      <c r="H598" s="132"/>
      <c r="I598" s="257"/>
      <c r="J598" s="137"/>
      <c r="K598" s="137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</row>
    <row r="599">
      <c r="A599" s="132"/>
      <c r="B599" s="254"/>
      <c r="C599" s="255"/>
      <c r="D599" s="256"/>
      <c r="E599" s="132"/>
      <c r="F599" s="137"/>
      <c r="G599" s="137"/>
      <c r="H599" s="132"/>
      <c r="I599" s="257"/>
      <c r="J599" s="137"/>
      <c r="K599" s="137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</row>
    <row r="600">
      <c r="A600" s="132"/>
      <c r="B600" s="254"/>
      <c r="C600" s="255"/>
      <c r="D600" s="256"/>
      <c r="E600" s="132"/>
      <c r="F600" s="137"/>
      <c r="G600" s="137"/>
      <c r="H600" s="132"/>
      <c r="I600" s="257"/>
      <c r="J600" s="137"/>
      <c r="K600" s="137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</row>
    <row r="601">
      <c r="A601" s="132"/>
      <c r="B601" s="254"/>
      <c r="C601" s="255"/>
      <c r="D601" s="256"/>
      <c r="E601" s="132"/>
      <c r="F601" s="137"/>
      <c r="G601" s="137"/>
      <c r="H601" s="132"/>
      <c r="I601" s="257"/>
      <c r="J601" s="137"/>
      <c r="K601" s="137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</row>
    <row r="602">
      <c r="A602" s="132"/>
      <c r="B602" s="254"/>
      <c r="C602" s="255"/>
      <c r="D602" s="256"/>
      <c r="E602" s="132"/>
      <c r="F602" s="137"/>
      <c r="G602" s="137"/>
      <c r="H602" s="132"/>
      <c r="I602" s="257"/>
      <c r="J602" s="137"/>
      <c r="K602" s="137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</row>
    <row r="603">
      <c r="A603" s="132"/>
      <c r="B603" s="254"/>
      <c r="C603" s="255"/>
      <c r="D603" s="256"/>
      <c r="E603" s="132"/>
      <c r="F603" s="137"/>
      <c r="G603" s="137"/>
      <c r="H603" s="132"/>
      <c r="I603" s="257"/>
      <c r="J603" s="137"/>
      <c r="K603" s="137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</row>
    <row r="604">
      <c r="A604" s="132"/>
      <c r="B604" s="254"/>
      <c r="C604" s="255"/>
      <c r="D604" s="256"/>
      <c r="E604" s="132"/>
      <c r="F604" s="137"/>
      <c r="G604" s="137"/>
      <c r="H604" s="132"/>
      <c r="I604" s="257"/>
      <c r="J604" s="137"/>
      <c r="K604" s="137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</row>
    <row r="605">
      <c r="A605" s="132"/>
      <c r="B605" s="254"/>
      <c r="C605" s="255"/>
      <c r="D605" s="256"/>
      <c r="E605" s="132"/>
      <c r="F605" s="137"/>
      <c r="G605" s="137"/>
      <c r="H605" s="132"/>
      <c r="I605" s="257"/>
      <c r="J605" s="137"/>
      <c r="K605" s="137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</row>
    <row r="606">
      <c r="A606" s="132"/>
      <c r="B606" s="254"/>
      <c r="C606" s="255"/>
      <c r="D606" s="256"/>
      <c r="E606" s="132"/>
      <c r="F606" s="137"/>
      <c r="G606" s="137"/>
      <c r="H606" s="132"/>
      <c r="I606" s="257"/>
      <c r="J606" s="137"/>
      <c r="K606" s="137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</row>
    <row r="607">
      <c r="A607" s="132"/>
      <c r="B607" s="254"/>
      <c r="C607" s="255"/>
      <c r="D607" s="256"/>
      <c r="E607" s="132"/>
      <c r="F607" s="137"/>
      <c r="G607" s="137"/>
      <c r="H607" s="132"/>
      <c r="I607" s="257"/>
      <c r="J607" s="137"/>
      <c r="K607" s="137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</row>
    <row r="608">
      <c r="A608" s="132"/>
      <c r="B608" s="254"/>
      <c r="C608" s="255"/>
      <c r="D608" s="256"/>
      <c r="E608" s="132"/>
      <c r="F608" s="137"/>
      <c r="G608" s="137"/>
      <c r="H608" s="132"/>
      <c r="I608" s="257"/>
      <c r="J608" s="137"/>
      <c r="K608" s="137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</row>
    <row r="609">
      <c r="A609" s="132"/>
      <c r="B609" s="254"/>
      <c r="C609" s="255"/>
      <c r="D609" s="256"/>
      <c r="E609" s="132"/>
      <c r="F609" s="137"/>
      <c r="G609" s="137"/>
      <c r="H609" s="132"/>
      <c r="I609" s="257"/>
      <c r="J609" s="137"/>
      <c r="K609" s="137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</row>
    <row r="610">
      <c r="A610" s="132"/>
      <c r="B610" s="254"/>
      <c r="C610" s="255"/>
      <c r="D610" s="256"/>
      <c r="E610" s="132"/>
      <c r="F610" s="137"/>
      <c r="G610" s="137"/>
      <c r="H610" s="132"/>
      <c r="I610" s="257"/>
      <c r="J610" s="137"/>
      <c r="K610" s="137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</row>
    <row r="611">
      <c r="A611" s="132"/>
      <c r="B611" s="254"/>
      <c r="C611" s="255"/>
      <c r="D611" s="256"/>
      <c r="E611" s="132"/>
      <c r="F611" s="137"/>
      <c r="G611" s="137"/>
      <c r="H611" s="132"/>
      <c r="I611" s="257"/>
      <c r="J611" s="137"/>
      <c r="K611" s="137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</row>
    <row r="612">
      <c r="A612" s="132"/>
      <c r="B612" s="254"/>
      <c r="C612" s="255"/>
      <c r="D612" s="256"/>
      <c r="E612" s="132"/>
      <c r="F612" s="137"/>
      <c r="G612" s="137"/>
      <c r="H612" s="132"/>
      <c r="I612" s="257"/>
      <c r="J612" s="137"/>
      <c r="K612" s="137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</row>
    <row r="613">
      <c r="A613" s="132"/>
      <c r="B613" s="254"/>
      <c r="C613" s="255"/>
      <c r="D613" s="256"/>
      <c r="E613" s="132"/>
      <c r="F613" s="137"/>
      <c r="G613" s="137"/>
      <c r="H613" s="132"/>
      <c r="I613" s="257"/>
      <c r="J613" s="137"/>
      <c r="K613" s="137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</row>
    <row r="614">
      <c r="A614" s="132"/>
      <c r="B614" s="254"/>
      <c r="C614" s="255"/>
      <c r="D614" s="256"/>
      <c r="E614" s="132"/>
      <c r="F614" s="137"/>
      <c r="G614" s="137"/>
      <c r="H614" s="132"/>
      <c r="I614" s="257"/>
      <c r="J614" s="137"/>
      <c r="K614" s="137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</row>
    <row r="615">
      <c r="A615" s="132"/>
      <c r="B615" s="254"/>
      <c r="C615" s="255"/>
      <c r="D615" s="256"/>
      <c r="E615" s="132"/>
      <c r="F615" s="137"/>
      <c r="G615" s="137"/>
      <c r="H615" s="132"/>
      <c r="I615" s="257"/>
      <c r="J615" s="137"/>
      <c r="K615" s="137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</row>
    <row r="616">
      <c r="A616" s="132"/>
      <c r="B616" s="254"/>
      <c r="C616" s="255"/>
      <c r="D616" s="256"/>
      <c r="E616" s="132"/>
      <c r="F616" s="137"/>
      <c r="G616" s="137"/>
      <c r="H616" s="132"/>
      <c r="I616" s="257"/>
      <c r="J616" s="137"/>
      <c r="K616" s="137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</row>
    <row r="617">
      <c r="A617" s="132"/>
      <c r="B617" s="254"/>
      <c r="C617" s="255"/>
      <c r="D617" s="256"/>
      <c r="E617" s="132"/>
      <c r="F617" s="137"/>
      <c r="G617" s="137"/>
      <c r="H617" s="132"/>
      <c r="I617" s="257"/>
      <c r="J617" s="137"/>
      <c r="K617" s="137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</row>
    <row r="618">
      <c r="A618" s="132"/>
      <c r="B618" s="254"/>
      <c r="C618" s="255"/>
      <c r="D618" s="256"/>
      <c r="E618" s="132"/>
      <c r="F618" s="137"/>
      <c r="G618" s="137"/>
      <c r="H618" s="132"/>
      <c r="I618" s="257"/>
      <c r="J618" s="137"/>
      <c r="K618" s="137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</row>
    <row r="619">
      <c r="A619" s="132"/>
      <c r="B619" s="254"/>
      <c r="C619" s="255"/>
      <c r="D619" s="256"/>
      <c r="E619" s="132"/>
      <c r="F619" s="137"/>
      <c r="G619" s="137"/>
      <c r="H619" s="132"/>
      <c r="I619" s="257"/>
      <c r="J619" s="137"/>
      <c r="K619" s="137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</row>
    <row r="620">
      <c r="A620" s="132"/>
      <c r="B620" s="254"/>
      <c r="C620" s="255"/>
      <c r="D620" s="256"/>
      <c r="E620" s="132"/>
      <c r="F620" s="137"/>
      <c r="G620" s="137"/>
      <c r="H620" s="132"/>
      <c r="I620" s="257"/>
      <c r="J620" s="137"/>
      <c r="K620" s="137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</row>
    <row r="621">
      <c r="A621" s="132"/>
      <c r="B621" s="254"/>
      <c r="C621" s="255"/>
      <c r="D621" s="256"/>
      <c r="E621" s="132"/>
      <c r="F621" s="137"/>
      <c r="G621" s="137"/>
      <c r="H621" s="132"/>
      <c r="I621" s="257"/>
      <c r="J621" s="137"/>
      <c r="K621" s="137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</row>
    <row r="622">
      <c r="A622" s="132"/>
      <c r="B622" s="254"/>
      <c r="C622" s="255"/>
      <c r="D622" s="256"/>
      <c r="E622" s="132"/>
      <c r="F622" s="137"/>
      <c r="G622" s="137"/>
      <c r="H622" s="132"/>
      <c r="I622" s="257"/>
      <c r="J622" s="137"/>
      <c r="K622" s="137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</row>
    <row r="623">
      <c r="A623" s="132"/>
      <c r="B623" s="254"/>
      <c r="C623" s="255"/>
      <c r="D623" s="256"/>
      <c r="E623" s="132"/>
      <c r="F623" s="137"/>
      <c r="G623" s="137"/>
      <c r="H623" s="132"/>
      <c r="I623" s="257"/>
      <c r="J623" s="137"/>
      <c r="K623" s="137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</row>
    <row r="624">
      <c r="A624" s="132"/>
      <c r="B624" s="254"/>
      <c r="C624" s="255"/>
      <c r="D624" s="256"/>
      <c r="E624" s="132"/>
      <c r="F624" s="137"/>
      <c r="G624" s="137"/>
      <c r="H624" s="132"/>
      <c r="I624" s="257"/>
      <c r="J624" s="137"/>
      <c r="K624" s="137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</row>
    <row r="625">
      <c r="A625" s="132"/>
      <c r="B625" s="254"/>
      <c r="C625" s="255"/>
      <c r="D625" s="256"/>
      <c r="E625" s="132"/>
      <c r="F625" s="137"/>
      <c r="G625" s="137"/>
      <c r="H625" s="132"/>
      <c r="I625" s="257"/>
      <c r="J625" s="137"/>
      <c r="K625" s="137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</row>
    <row r="626">
      <c r="A626" s="132"/>
      <c r="B626" s="254"/>
      <c r="C626" s="255"/>
      <c r="D626" s="256"/>
      <c r="E626" s="132"/>
      <c r="F626" s="137"/>
      <c r="G626" s="137"/>
      <c r="H626" s="132"/>
      <c r="I626" s="257"/>
      <c r="J626" s="137"/>
      <c r="K626" s="137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</row>
    <row r="627">
      <c r="A627" s="132"/>
      <c r="B627" s="254"/>
      <c r="C627" s="255"/>
      <c r="D627" s="256"/>
      <c r="E627" s="132"/>
      <c r="F627" s="137"/>
      <c r="G627" s="137"/>
      <c r="H627" s="132"/>
      <c r="I627" s="257"/>
      <c r="J627" s="137"/>
      <c r="K627" s="137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</row>
    <row r="628">
      <c r="A628" s="132"/>
      <c r="B628" s="254"/>
      <c r="C628" s="255"/>
      <c r="D628" s="256"/>
      <c r="E628" s="132"/>
      <c r="F628" s="137"/>
      <c r="G628" s="137"/>
      <c r="H628" s="132"/>
      <c r="I628" s="257"/>
      <c r="J628" s="137"/>
      <c r="K628" s="137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</row>
    <row r="629">
      <c r="A629" s="132"/>
      <c r="B629" s="254"/>
      <c r="C629" s="255"/>
      <c r="D629" s="256"/>
      <c r="E629" s="132"/>
      <c r="F629" s="137"/>
      <c r="G629" s="137"/>
      <c r="H629" s="132"/>
      <c r="I629" s="257"/>
      <c r="J629" s="137"/>
      <c r="K629" s="137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</row>
    <row r="630">
      <c r="A630" s="132"/>
      <c r="B630" s="254"/>
      <c r="C630" s="255"/>
      <c r="D630" s="256"/>
      <c r="E630" s="132"/>
      <c r="F630" s="137"/>
      <c r="G630" s="137"/>
      <c r="H630" s="132"/>
      <c r="I630" s="257"/>
      <c r="J630" s="137"/>
      <c r="K630" s="137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</row>
    <row r="631">
      <c r="A631" s="132"/>
      <c r="B631" s="254"/>
      <c r="C631" s="255"/>
      <c r="D631" s="256"/>
      <c r="E631" s="132"/>
      <c r="F631" s="137"/>
      <c r="G631" s="137"/>
      <c r="H631" s="132"/>
      <c r="I631" s="257"/>
      <c r="J631" s="137"/>
      <c r="K631" s="137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</row>
    <row r="632">
      <c r="A632" s="132"/>
      <c r="B632" s="254"/>
      <c r="C632" s="255"/>
      <c r="D632" s="256"/>
      <c r="E632" s="132"/>
      <c r="F632" s="137"/>
      <c r="G632" s="137"/>
      <c r="H632" s="132"/>
      <c r="I632" s="257"/>
      <c r="J632" s="137"/>
      <c r="K632" s="137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</row>
    <row r="633">
      <c r="A633" s="132"/>
      <c r="B633" s="254"/>
      <c r="C633" s="255"/>
      <c r="D633" s="256"/>
      <c r="E633" s="132"/>
      <c r="F633" s="137"/>
      <c r="G633" s="137"/>
      <c r="H633" s="132"/>
      <c r="I633" s="257"/>
      <c r="J633" s="137"/>
      <c r="K633" s="137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</row>
    <row r="634">
      <c r="A634" s="132"/>
      <c r="B634" s="254"/>
      <c r="C634" s="255"/>
      <c r="D634" s="256"/>
      <c r="E634" s="132"/>
      <c r="F634" s="137"/>
      <c r="G634" s="137"/>
      <c r="H634" s="132"/>
      <c r="I634" s="257"/>
      <c r="J634" s="137"/>
      <c r="K634" s="137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</row>
    <row r="635">
      <c r="A635" s="132"/>
      <c r="B635" s="254"/>
      <c r="C635" s="255"/>
      <c r="D635" s="256"/>
      <c r="E635" s="132"/>
      <c r="F635" s="137"/>
      <c r="G635" s="137"/>
      <c r="H635" s="132"/>
      <c r="I635" s="257"/>
      <c r="J635" s="137"/>
      <c r="K635" s="137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</row>
    <row r="636">
      <c r="A636" s="132"/>
      <c r="B636" s="254"/>
      <c r="C636" s="255"/>
      <c r="D636" s="256"/>
      <c r="E636" s="132"/>
      <c r="F636" s="137"/>
      <c r="G636" s="137"/>
      <c r="H636" s="132"/>
      <c r="I636" s="257"/>
      <c r="J636" s="137"/>
      <c r="K636" s="137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</row>
    <row r="637">
      <c r="A637" s="132"/>
      <c r="B637" s="254"/>
      <c r="C637" s="255"/>
      <c r="D637" s="256"/>
      <c r="E637" s="132"/>
      <c r="F637" s="137"/>
      <c r="G637" s="137"/>
      <c r="H637" s="132"/>
      <c r="I637" s="257"/>
      <c r="J637" s="137"/>
      <c r="K637" s="137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</row>
    <row r="638">
      <c r="A638" s="132"/>
      <c r="B638" s="254"/>
      <c r="C638" s="255"/>
      <c r="D638" s="256"/>
      <c r="E638" s="132"/>
      <c r="F638" s="137"/>
      <c r="G638" s="137"/>
      <c r="H638" s="132"/>
      <c r="I638" s="257"/>
      <c r="J638" s="137"/>
      <c r="K638" s="137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</row>
    <row r="639">
      <c r="A639" s="132"/>
      <c r="B639" s="254"/>
      <c r="C639" s="255"/>
      <c r="D639" s="256"/>
      <c r="E639" s="132"/>
      <c r="F639" s="137"/>
      <c r="G639" s="137"/>
      <c r="H639" s="132"/>
      <c r="I639" s="257"/>
      <c r="J639" s="137"/>
      <c r="K639" s="137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</row>
    <row r="640">
      <c r="A640" s="132"/>
      <c r="B640" s="254"/>
      <c r="C640" s="255"/>
      <c r="D640" s="256"/>
      <c r="E640" s="132"/>
      <c r="F640" s="137"/>
      <c r="G640" s="137"/>
      <c r="H640" s="132"/>
      <c r="I640" s="257"/>
      <c r="J640" s="137"/>
      <c r="K640" s="137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</row>
    <row r="641">
      <c r="A641" s="132"/>
      <c r="B641" s="254"/>
      <c r="C641" s="255"/>
      <c r="D641" s="256"/>
      <c r="E641" s="132"/>
      <c r="F641" s="137"/>
      <c r="G641" s="137"/>
      <c r="H641" s="132"/>
      <c r="I641" s="257"/>
      <c r="J641" s="137"/>
      <c r="K641" s="137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</row>
    <row r="642">
      <c r="A642" s="132"/>
      <c r="B642" s="254"/>
      <c r="C642" s="255"/>
      <c r="D642" s="256"/>
      <c r="E642" s="132"/>
      <c r="F642" s="137"/>
      <c r="G642" s="137"/>
      <c r="H642" s="132"/>
      <c r="I642" s="257"/>
      <c r="J642" s="137"/>
      <c r="K642" s="137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</row>
    <row r="643">
      <c r="A643" s="132"/>
      <c r="B643" s="254"/>
      <c r="C643" s="255"/>
      <c r="D643" s="256"/>
      <c r="E643" s="132"/>
      <c r="F643" s="137"/>
      <c r="G643" s="137"/>
      <c r="H643" s="132"/>
      <c r="I643" s="257"/>
      <c r="J643" s="137"/>
      <c r="K643" s="137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</row>
    <row r="644">
      <c r="A644" s="132"/>
      <c r="B644" s="254"/>
      <c r="C644" s="255"/>
      <c r="D644" s="256"/>
      <c r="E644" s="132"/>
      <c r="F644" s="137"/>
      <c r="G644" s="137"/>
      <c r="H644" s="132"/>
      <c r="I644" s="257"/>
      <c r="J644" s="137"/>
      <c r="K644" s="137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</row>
    <row r="645">
      <c r="A645" s="132"/>
      <c r="B645" s="254"/>
      <c r="C645" s="255"/>
      <c r="D645" s="256"/>
      <c r="E645" s="132"/>
      <c r="F645" s="137"/>
      <c r="G645" s="137"/>
      <c r="H645" s="132"/>
      <c r="I645" s="257"/>
      <c r="J645" s="137"/>
      <c r="K645" s="137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</row>
    <row r="646">
      <c r="A646" s="132"/>
      <c r="B646" s="254"/>
      <c r="C646" s="255"/>
      <c r="D646" s="256"/>
      <c r="E646" s="132"/>
      <c r="F646" s="137"/>
      <c r="G646" s="137"/>
      <c r="H646" s="132"/>
      <c r="I646" s="257"/>
      <c r="J646" s="137"/>
      <c r="K646" s="137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</row>
    <row r="647">
      <c r="A647" s="132"/>
      <c r="B647" s="254"/>
      <c r="C647" s="255"/>
      <c r="D647" s="256"/>
      <c r="E647" s="132"/>
      <c r="F647" s="137"/>
      <c r="G647" s="137"/>
      <c r="H647" s="132"/>
      <c r="I647" s="257"/>
      <c r="J647" s="137"/>
      <c r="K647" s="137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</row>
    <row r="648">
      <c r="A648" s="132"/>
      <c r="B648" s="254"/>
      <c r="C648" s="255"/>
      <c r="D648" s="256"/>
      <c r="E648" s="132"/>
      <c r="F648" s="137"/>
      <c r="G648" s="137"/>
      <c r="H648" s="132"/>
      <c r="I648" s="257"/>
      <c r="J648" s="137"/>
      <c r="K648" s="137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</row>
    <row r="649">
      <c r="A649" s="132"/>
      <c r="B649" s="254"/>
      <c r="C649" s="255"/>
      <c r="D649" s="256"/>
      <c r="E649" s="132"/>
      <c r="F649" s="137"/>
      <c r="G649" s="137"/>
      <c r="H649" s="132"/>
      <c r="I649" s="257"/>
      <c r="J649" s="137"/>
      <c r="K649" s="137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</row>
    <row r="650">
      <c r="A650" s="132"/>
      <c r="B650" s="254"/>
      <c r="C650" s="255"/>
      <c r="D650" s="256"/>
      <c r="E650" s="132"/>
      <c r="F650" s="137"/>
      <c r="G650" s="137"/>
      <c r="H650" s="132"/>
      <c r="I650" s="257"/>
      <c r="J650" s="137"/>
      <c r="K650" s="137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</row>
    <row r="651">
      <c r="A651" s="132"/>
      <c r="B651" s="254"/>
      <c r="C651" s="255"/>
      <c r="D651" s="256"/>
      <c r="E651" s="132"/>
      <c r="F651" s="137"/>
      <c r="G651" s="137"/>
      <c r="H651" s="132"/>
      <c r="I651" s="257"/>
      <c r="J651" s="137"/>
      <c r="K651" s="137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</row>
    <row r="652">
      <c r="A652" s="132"/>
      <c r="B652" s="254"/>
      <c r="C652" s="255"/>
      <c r="D652" s="256"/>
      <c r="E652" s="132"/>
      <c r="F652" s="137"/>
      <c r="G652" s="137"/>
      <c r="H652" s="132"/>
      <c r="I652" s="257"/>
      <c r="J652" s="137"/>
      <c r="K652" s="137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</row>
    <row r="653">
      <c r="A653" s="132"/>
      <c r="B653" s="254"/>
      <c r="C653" s="255"/>
      <c r="D653" s="256"/>
      <c r="E653" s="132"/>
      <c r="F653" s="137"/>
      <c r="G653" s="137"/>
      <c r="H653" s="132"/>
      <c r="I653" s="257"/>
      <c r="J653" s="137"/>
      <c r="K653" s="137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</row>
    <row r="654">
      <c r="A654" s="132"/>
      <c r="B654" s="254"/>
      <c r="C654" s="255"/>
      <c r="D654" s="256"/>
      <c r="E654" s="132"/>
      <c r="F654" s="137"/>
      <c r="G654" s="137"/>
      <c r="H654" s="132"/>
      <c r="I654" s="257"/>
      <c r="J654" s="137"/>
      <c r="K654" s="137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</row>
    <row r="655">
      <c r="A655" s="132"/>
      <c r="B655" s="254"/>
      <c r="C655" s="255"/>
      <c r="D655" s="256"/>
      <c r="E655" s="132"/>
      <c r="F655" s="137"/>
      <c r="G655" s="137"/>
      <c r="H655" s="132"/>
      <c r="I655" s="257"/>
      <c r="J655" s="137"/>
      <c r="K655" s="137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</row>
    <row r="656">
      <c r="A656" s="132"/>
      <c r="B656" s="254"/>
      <c r="C656" s="255"/>
      <c r="D656" s="256"/>
      <c r="E656" s="132"/>
      <c r="F656" s="137"/>
      <c r="G656" s="137"/>
      <c r="H656" s="132"/>
      <c r="I656" s="257"/>
      <c r="J656" s="137"/>
      <c r="K656" s="137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</row>
    <row r="657">
      <c r="A657" s="132"/>
      <c r="B657" s="254"/>
      <c r="C657" s="255"/>
      <c r="D657" s="256"/>
      <c r="E657" s="132"/>
      <c r="F657" s="137"/>
      <c r="G657" s="137"/>
      <c r="H657" s="132"/>
      <c r="I657" s="257"/>
      <c r="J657" s="137"/>
      <c r="K657" s="137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</row>
    <row r="658">
      <c r="A658" s="132"/>
      <c r="B658" s="254"/>
      <c r="C658" s="255"/>
      <c r="D658" s="256"/>
      <c r="E658" s="132"/>
      <c r="F658" s="137"/>
      <c r="G658" s="137"/>
      <c r="H658" s="132"/>
      <c r="I658" s="257"/>
      <c r="J658" s="137"/>
      <c r="K658" s="137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</row>
    <row r="659">
      <c r="A659" s="132"/>
      <c r="B659" s="254"/>
      <c r="C659" s="255"/>
      <c r="D659" s="256"/>
      <c r="E659" s="132"/>
      <c r="F659" s="137"/>
      <c r="G659" s="137"/>
      <c r="H659" s="132"/>
      <c r="I659" s="257"/>
      <c r="J659" s="137"/>
      <c r="K659" s="137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</row>
    <row r="660">
      <c r="A660" s="132"/>
      <c r="B660" s="254"/>
      <c r="C660" s="255"/>
      <c r="D660" s="256"/>
      <c r="E660" s="132"/>
      <c r="F660" s="137"/>
      <c r="G660" s="137"/>
      <c r="H660" s="132"/>
      <c r="I660" s="257"/>
      <c r="J660" s="137"/>
      <c r="K660" s="137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</row>
    <row r="661">
      <c r="A661" s="132"/>
      <c r="B661" s="254"/>
      <c r="C661" s="255"/>
      <c r="D661" s="256"/>
      <c r="E661" s="132"/>
      <c r="F661" s="137"/>
      <c r="G661" s="137"/>
      <c r="H661" s="132"/>
      <c r="I661" s="257"/>
      <c r="J661" s="137"/>
      <c r="K661" s="137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</row>
    <row r="662">
      <c r="A662" s="132"/>
      <c r="B662" s="254"/>
      <c r="C662" s="255"/>
      <c r="D662" s="256"/>
      <c r="E662" s="132"/>
      <c r="F662" s="137"/>
      <c r="G662" s="137"/>
      <c r="H662" s="132"/>
      <c r="I662" s="257"/>
      <c r="J662" s="137"/>
      <c r="K662" s="137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</row>
    <row r="663">
      <c r="A663" s="132"/>
      <c r="B663" s="254"/>
      <c r="C663" s="255"/>
      <c r="D663" s="256"/>
      <c r="E663" s="132"/>
      <c r="F663" s="137"/>
      <c r="G663" s="137"/>
      <c r="H663" s="132"/>
      <c r="I663" s="257"/>
      <c r="J663" s="137"/>
      <c r="K663" s="137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</row>
    <row r="664">
      <c r="A664" s="132"/>
      <c r="B664" s="254"/>
      <c r="C664" s="255"/>
      <c r="D664" s="256"/>
      <c r="E664" s="132"/>
      <c r="F664" s="137"/>
      <c r="G664" s="137"/>
      <c r="H664" s="132"/>
      <c r="I664" s="257"/>
      <c r="J664" s="137"/>
      <c r="K664" s="137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</row>
    <row r="665">
      <c r="A665" s="132"/>
      <c r="B665" s="254"/>
      <c r="C665" s="255"/>
      <c r="D665" s="256"/>
      <c r="E665" s="132"/>
      <c r="F665" s="137"/>
      <c r="G665" s="137"/>
      <c r="H665" s="132"/>
      <c r="I665" s="257"/>
      <c r="J665" s="137"/>
      <c r="K665" s="137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</row>
    <row r="666">
      <c r="A666" s="132"/>
      <c r="B666" s="254"/>
      <c r="C666" s="255"/>
      <c r="D666" s="256"/>
      <c r="E666" s="132"/>
      <c r="F666" s="137"/>
      <c r="G666" s="137"/>
      <c r="H666" s="132"/>
      <c r="I666" s="257"/>
      <c r="J666" s="137"/>
      <c r="K666" s="137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</row>
    <row r="667">
      <c r="A667" s="132"/>
      <c r="B667" s="254"/>
      <c r="C667" s="255"/>
      <c r="D667" s="256"/>
      <c r="E667" s="132"/>
      <c r="F667" s="137"/>
      <c r="G667" s="137"/>
      <c r="H667" s="132"/>
      <c r="I667" s="257"/>
      <c r="J667" s="137"/>
      <c r="K667" s="137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</row>
    <row r="668">
      <c r="A668" s="132"/>
      <c r="B668" s="254"/>
      <c r="C668" s="255"/>
      <c r="D668" s="256"/>
      <c r="E668" s="132"/>
      <c r="F668" s="137"/>
      <c r="G668" s="137"/>
      <c r="H668" s="132"/>
      <c r="I668" s="257"/>
      <c r="J668" s="137"/>
      <c r="K668" s="137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</row>
    <row r="669">
      <c r="A669" s="132"/>
      <c r="B669" s="254"/>
      <c r="C669" s="255"/>
      <c r="D669" s="256"/>
      <c r="E669" s="132"/>
      <c r="F669" s="137"/>
      <c r="G669" s="137"/>
      <c r="H669" s="132"/>
      <c r="I669" s="257"/>
      <c r="J669" s="137"/>
      <c r="K669" s="137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</row>
    <row r="670">
      <c r="A670" s="132"/>
      <c r="B670" s="254"/>
      <c r="C670" s="255"/>
      <c r="D670" s="256"/>
      <c r="E670" s="132"/>
      <c r="F670" s="137"/>
      <c r="G670" s="137"/>
      <c r="H670" s="132"/>
      <c r="I670" s="257"/>
      <c r="J670" s="137"/>
      <c r="K670" s="137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</row>
    <row r="671">
      <c r="A671" s="132"/>
      <c r="B671" s="254"/>
      <c r="C671" s="255"/>
      <c r="D671" s="256"/>
      <c r="E671" s="132"/>
      <c r="F671" s="137"/>
      <c r="G671" s="137"/>
      <c r="H671" s="132"/>
      <c r="I671" s="257"/>
      <c r="J671" s="137"/>
      <c r="K671" s="137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</row>
    <row r="672">
      <c r="A672" s="132"/>
      <c r="B672" s="254"/>
      <c r="C672" s="255"/>
      <c r="D672" s="256"/>
      <c r="E672" s="132"/>
      <c r="F672" s="137"/>
      <c r="G672" s="137"/>
      <c r="H672" s="132"/>
      <c r="I672" s="257"/>
      <c r="J672" s="137"/>
      <c r="K672" s="137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</row>
    <row r="673">
      <c r="A673" s="132"/>
      <c r="B673" s="254"/>
      <c r="C673" s="255"/>
      <c r="D673" s="256"/>
      <c r="E673" s="132"/>
      <c r="F673" s="137"/>
      <c r="G673" s="137"/>
      <c r="H673" s="132"/>
      <c r="I673" s="257"/>
      <c r="J673" s="137"/>
      <c r="K673" s="137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</row>
    <row r="674">
      <c r="A674" s="132"/>
      <c r="B674" s="254"/>
      <c r="C674" s="255"/>
      <c r="D674" s="256"/>
      <c r="E674" s="132"/>
      <c r="F674" s="137"/>
      <c r="G674" s="137"/>
      <c r="H674" s="132"/>
      <c r="I674" s="257"/>
      <c r="J674" s="137"/>
      <c r="K674" s="137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</row>
    <row r="675">
      <c r="A675" s="132"/>
      <c r="B675" s="254"/>
      <c r="C675" s="255"/>
      <c r="D675" s="256"/>
      <c r="E675" s="132"/>
      <c r="F675" s="137"/>
      <c r="G675" s="137"/>
      <c r="H675" s="132"/>
      <c r="I675" s="257"/>
      <c r="J675" s="137"/>
      <c r="K675" s="137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</row>
    <row r="676">
      <c r="A676" s="132"/>
      <c r="B676" s="254"/>
      <c r="C676" s="255"/>
      <c r="D676" s="256"/>
      <c r="E676" s="132"/>
      <c r="F676" s="137"/>
      <c r="G676" s="137"/>
      <c r="H676" s="132"/>
      <c r="I676" s="257"/>
      <c r="J676" s="137"/>
      <c r="K676" s="137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</row>
    <row r="677">
      <c r="A677" s="132"/>
      <c r="B677" s="254"/>
      <c r="C677" s="255"/>
      <c r="D677" s="256"/>
      <c r="E677" s="132"/>
      <c r="F677" s="137"/>
      <c r="G677" s="137"/>
      <c r="H677" s="132"/>
      <c r="I677" s="257"/>
      <c r="J677" s="137"/>
      <c r="K677" s="137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</row>
    <row r="678">
      <c r="A678" s="132"/>
      <c r="B678" s="254"/>
      <c r="C678" s="255"/>
      <c r="D678" s="256"/>
      <c r="E678" s="132"/>
      <c r="F678" s="137"/>
      <c r="G678" s="137"/>
      <c r="H678" s="132"/>
      <c r="I678" s="257"/>
      <c r="J678" s="137"/>
      <c r="K678" s="137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</row>
    <row r="679">
      <c r="A679" s="132"/>
      <c r="B679" s="254"/>
      <c r="C679" s="255"/>
      <c r="D679" s="256"/>
      <c r="E679" s="132"/>
      <c r="F679" s="137"/>
      <c r="G679" s="137"/>
      <c r="H679" s="132"/>
      <c r="I679" s="257"/>
      <c r="J679" s="137"/>
      <c r="K679" s="137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</row>
    <row r="680">
      <c r="A680" s="132"/>
      <c r="B680" s="254"/>
      <c r="C680" s="255"/>
      <c r="D680" s="256"/>
      <c r="E680" s="132"/>
      <c r="F680" s="137"/>
      <c r="G680" s="137"/>
      <c r="H680" s="132"/>
      <c r="I680" s="257"/>
      <c r="J680" s="137"/>
      <c r="K680" s="137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</row>
    <row r="681">
      <c r="A681" s="132"/>
      <c r="B681" s="254"/>
      <c r="C681" s="255"/>
      <c r="D681" s="256"/>
      <c r="E681" s="132"/>
      <c r="F681" s="137"/>
      <c r="G681" s="137"/>
      <c r="H681" s="132"/>
      <c r="I681" s="257"/>
      <c r="J681" s="137"/>
      <c r="K681" s="137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</row>
    <row r="682">
      <c r="A682" s="132"/>
      <c r="B682" s="254"/>
      <c r="C682" s="255"/>
      <c r="D682" s="256"/>
      <c r="E682" s="132"/>
      <c r="F682" s="137"/>
      <c r="G682" s="137"/>
      <c r="H682" s="132"/>
      <c r="I682" s="257"/>
      <c r="J682" s="137"/>
      <c r="K682" s="137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</row>
    <row r="683">
      <c r="A683" s="132"/>
      <c r="B683" s="254"/>
      <c r="C683" s="255"/>
      <c r="D683" s="256"/>
      <c r="E683" s="132"/>
      <c r="F683" s="137"/>
      <c r="G683" s="137"/>
      <c r="H683" s="132"/>
      <c r="I683" s="257"/>
      <c r="J683" s="137"/>
      <c r="K683" s="137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</row>
    <row r="684">
      <c r="A684" s="132"/>
      <c r="B684" s="254"/>
      <c r="C684" s="255"/>
      <c r="D684" s="256"/>
      <c r="E684" s="132"/>
      <c r="F684" s="137"/>
      <c r="G684" s="137"/>
      <c r="H684" s="132"/>
      <c r="I684" s="257"/>
      <c r="J684" s="137"/>
      <c r="K684" s="137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</row>
    <row r="685">
      <c r="A685" s="132"/>
      <c r="B685" s="254"/>
      <c r="C685" s="255"/>
      <c r="D685" s="256"/>
      <c r="E685" s="132"/>
      <c r="F685" s="137"/>
      <c r="G685" s="137"/>
      <c r="H685" s="132"/>
      <c r="I685" s="257"/>
      <c r="J685" s="137"/>
      <c r="K685" s="137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</row>
    <row r="686">
      <c r="A686" s="132"/>
      <c r="B686" s="254"/>
      <c r="C686" s="255"/>
      <c r="D686" s="256"/>
      <c r="E686" s="132"/>
      <c r="F686" s="137"/>
      <c r="G686" s="137"/>
      <c r="H686" s="132"/>
      <c r="I686" s="257"/>
      <c r="J686" s="137"/>
      <c r="K686" s="137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</row>
    <row r="687">
      <c r="A687" s="132"/>
      <c r="B687" s="254"/>
      <c r="C687" s="255"/>
      <c r="D687" s="256"/>
      <c r="E687" s="132"/>
      <c r="F687" s="137"/>
      <c r="G687" s="137"/>
      <c r="H687" s="132"/>
      <c r="I687" s="257"/>
      <c r="J687" s="137"/>
      <c r="K687" s="137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</row>
    <row r="688">
      <c r="A688" s="132"/>
      <c r="B688" s="254"/>
      <c r="C688" s="255"/>
      <c r="D688" s="256"/>
      <c r="E688" s="132"/>
      <c r="F688" s="137"/>
      <c r="G688" s="137"/>
      <c r="H688" s="132"/>
      <c r="I688" s="257"/>
      <c r="J688" s="137"/>
      <c r="K688" s="137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</row>
    <row r="689">
      <c r="A689" s="132"/>
      <c r="B689" s="254"/>
      <c r="C689" s="255"/>
      <c r="D689" s="256"/>
      <c r="E689" s="132"/>
      <c r="F689" s="137"/>
      <c r="G689" s="137"/>
      <c r="H689" s="132"/>
      <c r="I689" s="257"/>
      <c r="J689" s="137"/>
      <c r="K689" s="137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</row>
    <row r="690">
      <c r="A690" s="132"/>
      <c r="B690" s="254"/>
      <c r="C690" s="255"/>
      <c r="D690" s="256"/>
      <c r="E690" s="132"/>
      <c r="F690" s="137"/>
      <c r="G690" s="137"/>
      <c r="H690" s="132"/>
      <c r="I690" s="257"/>
      <c r="J690" s="137"/>
      <c r="K690" s="137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</row>
    <row r="691">
      <c r="A691" s="132"/>
      <c r="B691" s="254"/>
      <c r="C691" s="255"/>
      <c r="D691" s="256"/>
      <c r="E691" s="132"/>
      <c r="F691" s="137"/>
      <c r="G691" s="137"/>
      <c r="H691" s="132"/>
      <c r="I691" s="257"/>
      <c r="J691" s="137"/>
      <c r="K691" s="137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</row>
    <row r="692">
      <c r="A692" s="132"/>
      <c r="B692" s="254"/>
      <c r="C692" s="255"/>
      <c r="D692" s="256"/>
      <c r="E692" s="132"/>
      <c r="F692" s="137"/>
      <c r="G692" s="137"/>
      <c r="H692" s="132"/>
      <c r="I692" s="257"/>
      <c r="J692" s="137"/>
      <c r="K692" s="137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</row>
    <row r="693">
      <c r="A693" s="132"/>
      <c r="B693" s="254"/>
      <c r="C693" s="255"/>
      <c r="D693" s="256"/>
      <c r="E693" s="132"/>
      <c r="F693" s="137"/>
      <c r="G693" s="137"/>
      <c r="H693" s="132"/>
      <c r="I693" s="257"/>
      <c r="J693" s="137"/>
      <c r="K693" s="137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</row>
    <row r="694">
      <c r="A694" s="132"/>
      <c r="B694" s="254"/>
      <c r="C694" s="255"/>
      <c r="D694" s="256"/>
      <c r="E694" s="132"/>
      <c r="F694" s="137"/>
      <c r="G694" s="137"/>
      <c r="H694" s="132"/>
      <c r="I694" s="257"/>
      <c r="J694" s="137"/>
      <c r="K694" s="137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</row>
    <row r="695">
      <c r="A695" s="132"/>
      <c r="B695" s="254"/>
      <c r="C695" s="255"/>
      <c r="D695" s="256"/>
      <c r="E695" s="132"/>
      <c r="F695" s="137"/>
      <c r="G695" s="137"/>
      <c r="H695" s="132"/>
      <c r="I695" s="257"/>
      <c r="J695" s="137"/>
      <c r="K695" s="137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</row>
    <row r="696">
      <c r="A696" s="132"/>
      <c r="B696" s="254"/>
      <c r="C696" s="255"/>
      <c r="D696" s="256"/>
      <c r="E696" s="132"/>
      <c r="F696" s="137"/>
      <c r="G696" s="137"/>
      <c r="H696" s="132"/>
      <c r="I696" s="257"/>
      <c r="J696" s="137"/>
      <c r="K696" s="137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</row>
    <row r="697">
      <c r="A697" s="132"/>
      <c r="B697" s="254"/>
      <c r="C697" s="255"/>
      <c r="D697" s="256"/>
      <c r="E697" s="132"/>
      <c r="F697" s="137"/>
      <c r="G697" s="137"/>
      <c r="H697" s="132"/>
      <c r="I697" s="257"/>
      <c r="J697" s="137"/>
      <c r="K697" s="137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</row>
    <row r="698">
      <c r="A698" s="132"/>
      <c r="B698" s="254"/>
      <c r="C698" s="255"/>
      <c r="D698" s="256"/>
      <c r="E698" s="132"/>
      <c r="F698" s="137"/>
      <c r="G698" s="137"/>
      <c r="H698" s="132"/>
      <c r="I698" s="257"/>
      <c r="J698" s="137"/>
      <c r="K698" s="137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</row>
    <row r="699">
      <c r="A699" s="132"/>
      <c r="B699" s="254"/>
      <c r="C699" s="255"/>
      <c r="D699" s="256"/>
      <c r="E699" s="132"/>
      <c r="F699" s="137"/>
      <c r="G699" s="137"/>
      <c r="H699" s="132"/>
      <c r="I699" s="257"/>
      <c r="J699" s="137"/>
      <c r="K699" s="137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</row>
    <row r="700">
      <c r="A700" s="132"/>
      <c r="B700" s="254"/>
      <c r="C700" s="255"/>
      <c r="D700" s="256"/>
      <c r="E700" s="132"/>
      <c r="F700" s="137"/>
      <c r="G700" s="137"/>
      <c r="H700" s="132"/>
      <c r="I700" s="257"/>
      <c r="J700" s="137"/>
      <c r="K700" s="137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</row>
    <row r="701">
      <c r="A701" s="132"/>
      <c r="B701" s="254"/>
      <c r="C701" s="255"/>
      <c r="D701" s="256"/>
      <c r="E701" s="132"/>
      <c r="F701" s="137"/>
      <c r="G701" s="137"/>
      <c r="H701" s="132"/>
      <c r="I701" s="257"/>
      <c r="J701" s="137"/>
      <c r="K701" s="137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</row>
    <row r="702">
      <c r="A702" s="132"/>
      <c r="B702" s="254"/>
      <c r="C702" s="255"/>
      <c r="D702" s="256"/>
      <c r="E702" s="132"/>
      <c r="F702" s="137"/>
      <c r="G702" s="137"/>
      <c r="H702" s="132"/>
      <c r="I702" s="257"/>
      <c r="J702" s="137"/>
      <c r="K702" s="137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</row>
    <row r="703">
      <c r="A703" s="132"/>
      <c r="B703" s="254"/>
      <c r="C703" s="255"/>
      <c r="D703" s="256"/>
      <c r="E703" s="132"/>
      <c r="F703" s="137"/>
      <c r="G703" s="137"/>
      <c r="H703" s="132"/>
      <c r="I703" s="257"/>
      <c r="J703" s="137"/>
      <c r="K703" s="137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</row>
    <row r="704">
      <c r="A704" s="132"/>
      <c r="B704" s="254"/>
      <c r="C704" s="255"/>
      <c r="D704" s="256"/>
      <c r="E704" s="132"/>
      <c r="F704" s="137"/>
      <c r="G704" s="137"/>
      <c r="H704" s="132"/>
      <c r="I704" s="257"/>
      <c r="J704" s="137"/>
      <c r="K704" s="137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</row>
    <row r="705">
      <c r="A705" s="132"/>
      <c r="B705" s="254"/>
      <c r="C705" s="255"/>
      <c r="D705" s="256"/>
      <c r="E705" s="132"/>
      <c r="F705" s="137"/>
      <c r="G705" s="137"/>
      <c r="H705" s="132"/>
      <c r="I705" s="257"/>
      <c r="J705" s="137"/>
      <c r="K705" s="137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</row>
    <row r="706">
      <c r="A706" s="132"/>
      <c r="B706" s="254"/>
      <c r="C706" s="255"/>
      <c r="D706" s="256"/>
      <c r="E706" s="132"/>
      <c r="F706" s="137"/>
      <c r="G706" s="137"/>
      <c r="H706" s="132"/>
      <c r="I706" s="257"/>
      <c r="J706" s="137"/>
      <c r="K706" s="137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</row>
    <row r="707">
      <c r="A707" s="132"/>
      <c r="B707" s="254"/>
      <c r="C707" s="255"/>
      <c r="D707" s="256"/>
      <c r="E707" s="132"/>
      <c r="F707" s="137"/>
      <c r="G707" s="137"/>
      <c r="H707" s="132"/>
      <c r="I707" s="257"/>
      <c r="J707" s="137"/>
      <c r="K707" s="137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</row>
    <row r="708">
      <c r="A708" s="132"/>
      <c r="B708" s="254"/>
      <c r="C708" s="255"/>
      <c r="D708" s="256"/>
      <c r="E708" s="132"/>
      <c r="F708" s="137"/>
      <c r="G708" s="137"/>
      <c r="H708" s="132"/>
      <c r="I708" s="257"/>
      <c r="J708" s="137"/>
      <c r="K708" s="137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</row>
    <row r="709">
      <c r="A709" s="132"/>
      <c r="B709" s="254"/>
      <c r="C709" s="255"/>
      <c r="D709" s="256"/>
      <c r="E709" s="132"/>
      <c r="F709" s="137"/>
      <c r="G709" s="137"/>
      <c r="H709" s="132"/>
      <c r="I709" s="257"/>
      <c r="J709" s="137"/>
      <c r="K709" s="137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</row>
    <row r="710">
      <c r="A710" s="132"/>
      <c r="B710" s="254"/>
      <c r="C710" s="255"/>
      <c r="D710" s="256"/>
      <c r="E710" s="132"/>
      <c r="F710" s="137"/>
      <c r="G710" s="137"/>
      <c r="H710" s="132"/>
      <c r="I710" s="257"/>
      <c r="J710" s="137"/>
      <c r="K710" s="137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</row>
    <row r="711">
      <c r="A711" s="132"/>
      <c r="B711" s="254"/>
      <c r="C711" s="255"/>
      <c r="D711" s="256"/>
      <c r="E711" s="132"/>
      <c r="F711" s="137"/>
      <c r="G711" s="137"/>
      <c r="H711" s="132"/>
      <c r="I711" s="257"/>
      <c r="J711" s="137"/>
      <c r="K711" s="137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</row>
    <row r="712">
      <c r="A712" s="132"/>
      <c r="B712" s="254"/>
      <c r="C712" s="255"/>
      <c r="D712" s="256"/>
      <c r="E712" s="132"/>
      <c r="F712" s="137"/>
      <c r="G712" s="137"/>
      <c r="H712" s="132"/>
      <c r="I712" s="257"/>
      <c r="J712" s="137"/>
      <c r="K712" s="137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</row>
    <row r="713">
      <c r="A713" s="132"/>
      <c r="B713" s="254"/>
      <c r="C713" s="255"/>
      <c r="D713" s="256"/>
      <c r="E713" s="132"/>
      <c r="F713" s="137"/>
      <c r="G713" s="137"/>
      <c r="H713" s="132"/>
      <c r="I713" s="257"/>
      <c r="J713" s="137"/>
      <c r="K713" s="137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</row>
    <row r="714">
      <c r="A714" s="132"/>
      <c r="B714" s="254"/>
      <c r="C714" s="255"/>
      <c r="D714" s="256"/>
      <c r="E714" s="132"/>
      <c r="F714" s="137"/>
      <c r="G714" s="137"/>
      <c r="H714" s="132"/>
      <c r="I714" s="257"/>
      <c r="J714" s="137"/>
      <c r="K714" s="137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</row>
    <row r="715">
      <c r="A715" s="132"/>
      <c r="B715" s="254"/>
      <c r="C715" s="255"/>
      <c r="D715" s="256"/>
      <c r="E715" s="132"/>
      <c r="F715" s="137"/>
      <c r="G715" s="137"/>
      <c r="H715" s="132"/>
      <c r="I715" s="257"/>
      <c r="J715" s="137"/>
      <c r="K715" s="137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</row>
    <row r="716">
      <c r="A716" s="132"/>
      <c r="B716" s="254"/>
      <c r="C716" s="255"/>
      <c r="D716" s="256"/>
      <c r="E716" s="132"/>
      <c r="F716" s="137"/>
      <c r="G716" s="137"/>
      <c r="H716" s="132"/>
      <c r="I716" s="257"/>
      <c r="J716" s="137"/>
      <c r="K716" s="137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</row>
    <row r="717">
      <c r="A717" s="132"/>
      <c r="B717" s="254"/>
      <c r="C717" s="255"/>
      <c r="D717" s="256"/>
      <c r="E717" s="132"/>
      <c r="F717" s="137"/>
      <c r="G717" s="137"/>
      <c r="H717" s="132"/>
      <c r="I717" s="257"/>
      <c r="J717" s="137"/>
      <c r="K717" s="137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</row>
    <row r="718">
      <c r="A718" s="132"/>
      <c r="B718" s="254"/>
      <c r="C718" s="255"/>
      <c r="D718" s="256"/>
      <c r="E718" s="132"/>
      <c r="F718" s="137"/>
      <c r="G718" s="137"/>
      <c r="H718" s="132"/>
      <c r="I718" s="257"/>
      <c r="J718" s="137"/>
      <c r="K718" s="137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</row>
    <row r="719">
      <c r="A719" s="132"/>
      <c r="B719" s="254"/>
      <c r="C719" s="255"/>
      <c r="D719" s="256"/>
      <c r="E719" s="132"/>
      <c r="F719" s="137"/>
      <c r="G719" s="137"/>
      <c r="H719" s="132"/>
      <c r="I719" s="257"/>
      <c r="J719" s="137"/>
      <c r="K719" s="137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</row>
    <row r="720">
      <c r="A720" s="132"/>
      <c r="B720" s="254"/>
      <c r="C720" s="255"/>
      <c r="D720" s="256"/>
      <c r="E720" s="132"/>
      <c r="F720" s="137"/>
      <c r="G720" s="137"/>
      <c r="H720" s="132"/>
      <c r="I720" s="257"/>
      <c r="J720" s="137"/>
      <c r="K720" s="137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</row>
    <row r="721">
      <c r="A721" s="132"/>
      <c r="B721" s="254"/>
      <c r="C721" s="255"/>
      <c r="D721" s="256"/>
      <c r="E721" s="132"/>
      <c r="F721" s="137"/>
      <c r="G721" s="137"/>
      <c r="H721" s="132"/>
      <c r="I721" s="257"/>
      <c r="J721" s="137"/>
      <c r="K721" s="137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</row>
    <row r="722">
      <c r="A722" s="132"/>
      <c r="B722" s="254"/>
      <c r="C722" s="255"/>
      <c r="D722" s="256"/>
      <c r="E722" s="132"/>
      <c r="F722" s="137"/>
      <c r="G722" s="137"/>
      <c r="H722" s="132"/>
      <c r="I722" s="257"/>
      <c r="J722" s="137"/>
      <c r="K722" s="137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</row>
    <row r="723">
      <c r="A723" s="132"/>
      <c r="B723" s="254"/>
      <c r="C723" s="255"/>
      <c r="D723" s="256"/>
      <c r="E723" s="132"/>
      <c r="F723" s="137"/>
      <c r="G723" s="137"/>
      <c r="H723" s="132"/>
      <c r="I723" s="257"/>
      <c r="J723" s="137"/>
      <c r="K723" s="137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</row>
    <row r="724">
      <c r="A724" s="132"/>
      <c r="B724" s="254"/>
      <c r="C724" s="255"/>
      <c r="D724" s="256"/>
      <c r="E724" s="132"/>
      <c r="F724" s="137"/>
      <c r="G724" s="137"/>
      <c r="H724" s="132"/>
      <c r="I724" s="257"/>
      <c r="J724" s="137"/>
      <c r="K724" s="137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</row>
    <row r="725">
      <c r="A725" s="132"/>
      <c r="B725" s="254"/>
      <c r="C725" s="255"/>
      <c r="D725" s="256"/>
      <c r="E725" s="132"/>
      <c r="F725" s="137"/>
      <c r="G725" s="137"/>
      <c r="H725" s="132"/>
      <c r="I725" s="257"/>
      <c r="J725" s="137"/>
      <c r="K725" s="137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</row>
    <row r="726">
      <c r="A726" s="132"/>
      <c r="B726" s="254"/>
      <c r="C726" s="255"/>
      <c r="D726" s="256"/>
      <c r="E726" s="132"/>
      <c r="F726" s="137"/>
      <c r="G726" s="137"/>
      <c r="H726" s="132"/>
      <c r="I726" s="257"/>
      <c r="J726" s="137"/>
      <c r="K726" s="137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</row>
    <row r="727">
      <c r="A727" s="132"/>
      <c r="B727" s="254"/>
      <c r="C727" s="255"/>
      <c r="D727" s="256"/>
      <c r="E727" s="132"/>
      <c r="F727" s="137"/>
      <c r="G727" s="137"/>
      <c r="H727" s="132"/>
      <c r="I727" s="257"/>
      <c r="J727" s="137"/>
      <c r="K727" s="137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</row>
    <row r="728">
      <c r="A728" s="132"/>
      <c r="B728" s="254"/>
      <c r="C728" s="255"/>
      <c r="D728" s="256"/>
      <c r="E728" s="132"/>
      <c r="F728" s="137"/>
      <c r="G728" s="137"/>
      <c r="H728" s="132"/>
      <c r="I728" s="257"/>
      <c r="J728" s="137"/>
      <c r="K728" s="137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</row>
    <row r="729">
      <c r="A729" s="132"/>
      <c r="B729" s="254"/>
      <c r="C729" s="255"/>
      <c r="D729" s="256"/>
      <c r="E729" s="132"/>
      <c r="F729" s="137"/>
      <c r="G729" s="137"/>
      <c r="H729" s="132"/>
      <c r="I729" s="257"/>
      <c r="J729" s="137"/>
      <c r="K729" s="137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</row>
    <row r="730">
      <c r="A730" s="132"/>
      <c r="B730" s="254"/>
      <c r="C730" s="255"/>
      <c r="D730" s="256"/>
      <c r="E730" s="132"/>
      <c r="F730" s="137"/>
      <c r="G730" s="137"/>
      <c r="H730" s="132"/>
      <c r="I730" s="257"/>
      <c r="J730" s="137"/>
      <c r="K730" s="137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</row>
    <row r="731">
      <c r="A731" s="132"/>
      <c r="B731" s="254"/>
      <c r="C731" s="255"/>
      <c r="D731" s="256"/>
      <c r="E731" s="132"/>
      <c r="F731" s="137"/>
      <c r="G731" s="137"/>
      <c r="H731" s="132"/>
      <c r="I731" s="257"/>
      <c r="J731" s="137"/>
      <c r="K731" s="137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</row>
    <row r="732">
      <c r="A732" s="132"/>
      <c r="B732" s="254"/>
      <c r="C732" s="255"/>
      <c r="D732" s="256"/>
      <c r="E732" s="132"/>
      <c r="F732" s="137"/>
      <c r="G732" s="137"/>
      <c r="H732" s="132"/>
      <c r="I732" s="257"/>
      <c r="J732" s="137"/>
      <c r="K732" s="137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</row>
    <row r="733">
      <c r="A733" s="132"/>
      <c r="B733" s="254"/>
      <c r="C733" s="255"/>
      <c r="D733" s="256"/>
      <c r="E733" s="132"/>
      <c r="F733" s="137"/>
      <c r="G733" s="137"/>
      <c r="H733" s="132"/>
      <c r="I733" s="257"/>
      <c r="J733" s="137"/>
      <c r="K733" s="137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</row>
    <row r="734">
      <c r="A734" s="132"/>
      <c r="B734" s="254"/>
      <c r="C734" s="255"/>
      <c r="D734" s="256"/>
      <c r="E734" s="132"/>
      <c r="F734" s="137"/>
      <c r="G734" s="137"/>
      <c r="H734" s="132"/>
      <c r="I734" s="257"/>
      <c r="J734" s="137"/>
      <c r="K734" s="137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</row>
    <row r="735">
      <c r="A735" s="132"/>
      <c r="B735" s="254"/>
      <c r="C735" s="255"/>
      <c r="D735" s="256"/>
      <c r="E735" s="132"/>
      <c r="F735" s="137"/>
      <c r="G735" s="137"/>
      <c r="H735" s="132"/>
      <c r="I735" s="257"/>
      <c r="J735" s="137"/>
      <c r="K735" s="137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</row>
    <row r="736">
      <c r="A736" s="132"/>
      <c r="B736" s="254"/>
      <c r="C736" s="255"/>
      <c r="D736" s="256"/>
      <c r="E736" s="132"/>
      <c r="F736" s="137"/>
      <c r="G736" s="137"/>
      <c r="H736" s="132"/>
      <c r="I736" s="257"/>
      <c r="J736" s="137"/>
      <c r="K736" s="137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</row>
    <row r="737">
      <c r="A737" s="132"/>
      <c r="B737" s="254"/>
      <c r="C737" s="255"/>
      <c r="D737" s="256"/>
      <c r="E737" s="132"/>
      <c r="F737" s="137"/>
      <c r="G737" s="137"/>
      <c r="H737" s="132"/>
      <c r="I737" s="257"/>
      <c r="J737" s="137"/>
      <c r="K737" s="137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</row>
    <row r="738">
      <c r="A738" s="132"/>
      <c r="B738" s="254"/>
      <c r="C738" s="255"/>
      <c r="D738" s="256"/>
      <c r="E738" s="132"/>
      <c r="F738" s="137"/>
      <c r="G738" s="137"/>
      <c r="H738" s="132"/>
      <c r="I738" s="257"/>
      <c r="J738" s="137"/>
      <c r="K738" s="137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</row>
    <row r="739">
      <c r="A739" s="132"/>
      <c r="B739" s="254"/>
      <c r="C739" s="255"/>
      <c r="D739" s="256"/>
      <c r="E739" s="132"/>
      <c r="F739" s="137"/>
      <c r="G739" s="137"/>
      <c r="H739" s="132"/>
      <c r="I739" s="257"/>
      <c r="J739" s="137"/>
      <c r="K739" s="137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</row>
    <row r="740">
      <c r="A740" s="132"/>
      <c r="B740" s="254"/>
      <c r="C740" s="255"/>
      <c r="D740" s="256"/>
      <c r="E740" s="132"/>
      <c r="F740" s="137"/>
      <c r="G740" s="137"/>
      <c r="H740" s="132"/>
      <c r="I740" s="257"/>
      <c r="J740" s="137"/>
      <c r="K740" s="137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</row>
    <row r="741">
      <c r="A741" s="132"/>
      <c r="B741" s="254"/>
      <c r="C741" s="255"/>
      <c r="D741" s="256"/>
      <c r="E741" s="132"/>
      <c r="F741" s="137"/>
      <c r="G741" s="137"/>
      <c r="H741" s="132"/>
      <c r="I741" s="257"/>
      <c r="J741" s="137"/>
      <c r="K741" s="137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</row>
    <row r="742">
      <c r="A742" s="132"/>
      <c r="B742" s="254"/>
      <c r="C742" s="255"/>
      <c r="D742" s="256"/>
      <c r="E742" s="132"/>
      <c r="F742" s="137"/>
      <c r="G742" s="137"/>
      <c r="H742" s="132"/>
      <c r="I742" s="257"/>
      <c r="J742" s="137"/>
      <c r="K742" s="137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</row>
    <row r="743">
      <c r="A743" s="132"/>
      <c r="B743" s="254"/>
      <c r="C743" s="255"/>
      <c r="D743" s="256"/>
      <c r="E743" s="132"/>
      <c r="F743" s="137"/>
      <c r="G743" s="137"/>
      <c r="H743" s="132"/>
      <c r="I743" s="257"/>
      <c r="J743" s="137"/>
      <c r="K743" s="137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</row>
    <row r="744">
      <c r="A744" s="132"/>
      <c r="B744" s="254"/>
      <c r="C744" s="255"/>
      <c r="D744" s="256"/>
      <c r="E744" s="132"/>
      <c r="F744" s="137"/>
      <c r="G744" s="137"/>
      <c r="H744" s="132"/>
      <c r="I744" s="257"/>
      <c r="J744" s="137"/>
      <c r="K744" s="137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</row>
    <row r="745">
      <c r="A745" s="132"/>
      <c r="B745" s="254"/>
      <c r="C745" s="255"/>
      <c r="D745" s="256"/>
      <c r="E745" s="132"/>
      <c r="F745" s="137"/>
      <c r="G745" s="137"/>
      <c r="H745" s="132"/>
      <c r="I745" s="257"/>
      <c r="J745" s="137"/>
      <c r="K745" s="137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</row>
    <row r="746">
      <c r="A746" s="132"/>
      <c r="B746" s="254"/>
      <c r="C746" s="255"/>
      <c r="D746" s="256"/>
      <c r="E746" s="132"/>
      <c r="F746" s="137"/>
      <c r="G746" s="137"/>
      <c r="H746" s="132"/>
      <c r="I746" s="257"/>
      <c r="J746" s="137"/>
      <c r="K746" s="137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</row>
    <row r="747">
      <c r="A747" s="132"/>
      <c r="B747" s="254"/>
      <c r="C747" s="255"/>
      <c r="D747" s="256"/>
      <c r="E747" s="132"/>
      <c r="F747" s="137"/>
      <c r="G747" s="137"/>
      <c r="H747" s="132"/>
      <c r="I747" s="257"/>
      <c r="J747" s="137"/>
      <c r="K747" s="137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</row>
    <row r="748">
      <c r="A748" s="132"/>
      <c r="B748" s="254"/>
      <c r="C748" s="255"/>
      <c r="D748" s="256"/>
      <c r="E748" s="132"/>
      <c r="F748" s="137"/>
      <c r="G748" s="137"/>
      <c r="H748" s="132"/>
      <c r="I748" s="257"/>
      <c r="J748" s="137"/>
      <c r="K748" s="137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</row>
    <row r="749">
      <c r="A749" s="132"/>
      <c r="B749" s="254"/>
      <c r="C749" s="255"/>
      <c r="D749" s="256"/>
      <c r="E749" s="132"/>
      <c r="F749" s="137"/>
      <c r="G749" s="137"/>
      <c r="H749" s="132"/>
      <c r="I749" s="257"/>
      <c r="J749" s="137"/>
      <c r="K749" s="137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</row>
    <row r="750">
      <c r="A750" s="132"/>
      <c r="B750" s="254"/>
      <c r="C750" s="255"/>
      <c r="D750" s="256"/>
      <c r="E750" s="132"/>
      <c r="F750" s="137"/>
      <c r="G750" s="137"/>
      <c r="H750" s="132"/>
      <c r="I750" s="257"/>
      <c r="J750" s="137"/>
      <c r="K750" s="137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</row>
    <row r="751">
      <c r="A751" s="132"/>
      <c r="B751" s="254"/>
      <c r="C751" s="255"/>
      <c r="D751" s="256"/>
      <c r="E751" s="132"/>
      <c r="F751" s="137"/>
      <c r="G751" s="137"/>
      <c r="H751" s="132"/>
      <c r="I751" s="257"/>
      <c r="J751" s="137"/>
      <c r="K751" s="137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</row>
    <row r="752">
      <c r="A752" s="132"/>
      <c r="B752" s="254"/>
      <c r="C752" s="255"/>
      <c r="D752" s="256"/>
      <c r="E752" s="132"/>
      <c r="F752" s="137"/>
      <c r="G752" s="137"/>
      <c r="H752" s="132"/>
      <c r="I752" s="257"/>
      <c r="J752" s="137"/>
      <c r="K752" s="137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</row>
    <row r="753">
      <c r="A753" s="132"/>
      <c r="B753" s="254"/>
      <c r="C753" s="255"/>
      <c r="D753" s="256"/>
      <c r="E753" s="132"/>
      <c r="F753" s="137"/>
      <c r="G753" s="137"/>
      <c r="H753" s="132"/>
      <c r="I753" s="257"/>
      <c r="J753" s="137"/>
      <c r="K753" s="137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</row>
    <row r="754">
      <c r="A754" s="132"/>
      <c r="B754" s="254"/>
      <c r="C754" s="255"/>
      <c r="D754" s="256"/>
      <c r="E754" s="132"/>
      <c r="F754" s="137"/>
      <c r="G754" s="137"/>
      <c r="H754" s="132"/>
      <c r="I754" s="257"/>
      <c r="J754" s="137"/>
      <c r="K754" s="137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</row>
    <row r="755">
      <c r="A755" s="132"/>
      <c r="B755" s="254"/>
      <c r="C755" s="255"/>
      <c r="D755" s="256"/>
      <c r="E755" s="132"/>
      <c r="F755" s="137"/>
      <c r="G755" s="137"/>
      <c r="H755" s="132"/>
      <c r="I755" s="257"/>
      <c r="J755" s="137"/>
      <c r="K755" s="137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</row>
    <row r="756">
      <c r="A756" s="132"/>
      <c r="B756" s="254"/>
      <c r="C756" s="255"/>
      <c r="D756" s="256"/>
      <c r="E756" s="132"/>
      <c r="F756" s="137"/>
      <c r="G756" s="137"/>
      <c r="H756" s="132"/>
      <c r="I756" s="257"/>
      <c r="J756" s="137"/>
      <c r="K756" s="137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</row>
    <row r="757">
      <c r="A757" s="132"/>
      <c r="B757" s="254"/>
      <c r="C757" s="255"/>
      <c r="D757" s="256"/>
      <c r="E757" s="132"/>
      <c r="F757" s="137"/>
      <c r="G757" s="137"/>
      <c r="H757" s="132"/>
      <c r="I757" s="257"/>
      <c r="J757" s="137"/>
      <c r="K757" s="137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</row>
    <row r="758">
      <c r="A758" s="132"/>
      <c r="B758" s="254"/>
      <c r="C758" s="255"/>
      <c r="D758" s="256"/>
      <c r="E758" s="132"/>
      <c r="F758" s="137"/>
      <c r="G758" s="137"/>
      <c r="H758" s="132"/>
      <c r="I758" s="257"/>
      <c r="J758" s="137"/>
      <c r="K758" s="137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</row>
    <row r="759">
      <c r="A759" s="132"/>
      <c r="B759" s="254"/>
      <c r="C759" s="255"/>
      <c r="D759" s="256"/>
      <c r="E759" s="132"/>
      <c r="F759" s="137"/>
      <c r="G759" s="137"/>
      <c r="H759" s="132"/>
      <c r="I759" s="257"/>
      <c r="J759" s="137"/>
      <c r="K759" s="137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</row>
    <row r="760">
      <c r="A760" s="132"/>
      <c r="B760" s="254"/>
      <c r="C760" s="255"/>
      <c r="D760" s="256"/>
      <c r="E760" s="132"/>
      <c r="F760" s="137"/>
      <c r="G760" s="137"/>
      <c r="H760" s="132"/>
      <c r="I760" s="257"/>
      <c r="J760" s="137"/>
      <c r="K760" s="137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</row>
    <row r="761">
      <c r="A761" s="132"/>
      <c r="B761" s="254"/>
      <c r="C761" s="255"/>
      <c r="D761" s="256"/>
      <c r="E761" s="132"/>
      <c r="F761" s="137"/>
      <c r="G761" s="137"/>
      <c r="H761" s="132"/>
      <c r="I761" s="257"/>
      <c r="J761" s="137"/>
      <c r="K761" s="137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</row>
    <row r="762">
      <c r="A762" s="132"/>
      <c r="B762" s="254"/>
      <c r="C762" s="255"/>
      <c r="D762" s="256"/>
      <c r="E762" s="132"/>
      <c r="F762" s="137"/>
      <c r="G762" s="137"/>
      <c r="H762" s="132"/>
      <c r="I762" s="257"/>
      <c r="J762" s="137"/>
      <c r="K762" s="137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</row>
    <row r="763">
      <c r="A763" s="132"/>
      <c r="B763" s="254"/>
      <c r="C763" s="255"/>
      <c r="D763" s="256"/>
      <c r="E763" s="132"/>
      <c r="F763" s="137"/>
      <c r="G763" s="137"/>
      <c r="H763" s="132"/>
      <c r="I763" s="257"/>
      <c r="J763" s="137"/>
      <c r="K763" s="137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</row>
    <row r="764">
      <c r="A764" s="132"/>
      <c r="B764" s="254"/>
      <c r="C764" s="255"/>
      <c r="D764" s="256"/>
      <c r="E764" s="132"/>
      <c r="F764" s="137"/>
      <c r="G764" s="137"/>
      <c r="H764" s="132"/>
      <c r="I764" s="257"/>
      <c r="J764" s="137"/>
      <c r="K764" s="137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</row>
    <row r="765">
      <c r="A765" s="132"/>
      <c r="B765" s="254"/>
      <c r="C765" s="255"/>
      <c r="D765" s="256"/>
      <c r="E765" s="132"/>
      <c r="F765" s="137"/>
      <c r="G765" s="137"/>
      <c r="H765" s="132"/>
      <c r="I765" s="257"/>
      <c r="J765" s="137"/>
      <c r="K765" s="137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</row>
    <row r="766">
      <c r="A766" s="132"/>
      <c r="B766" s="254"/>
      <c r="C766" s="255"/>
      <c r="D766" s="256"/>
      <c r="E766" s="132"/>
      <c r="F766" s="137"/>
      <c r="G766" s="137"/>
      <c r="H766" s="132"/>
      <c r="I766" s="257"/>
      <c r="J766" s="137"/>
      <c r="K766" s="137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</row>
    <row r="767">
      <c r="A767" s="132"/>
      <c r="B767" s="254"/>
      <c r="C767" s="255"/>
      <c r="D767" s="256"/>
      <c r="E767" s="132"/>
      <c r="F767" s="137"/>
      <c r="G767" s="137"/>
      <c r="H767" s="132"/>
      <c r="I767" s="257"/>
      <c r="J767" s="137"/>
      <c r="K767" s="137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</row>
    <row r="768">
      <c r="A768" s="132"/>
      <c r="B768" s="254"/>
      <c r="C768" s="255"/>
      <c r="D768" s="256"/>
      <c r="E768" s="132"/>
      <c r="F768" s="137"/>
      <c r="G768" s="137"/>
      <c r="H768" s="132"/>
      <c r="I768" s="257"/>
      <c r="J768" s="137"/>
      <c r="K768" s="137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</row>
    <row r="769">
      <c r="A769" s="132"/>
      <c r="B769" s="254"/>
      <c r="C769" s="255"/>
      <c r="D769" s="256"/>
      <c r="E769" s="132"/>
      <c r="F769" s="137"/>
      <c r="G769" s="137"/>
      <c r="H769" s="132"/>
      <c r="I769" s="257"/>
      <c r="J769" s="137"/>
      <c r="K769" s="137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</row>
    <row r="770">
      <c r="A770" s="132"/>
      <c r="B770" s="254"/>
      <c r="C770" s="255"/>
      <c r="D770" s="256"/>
      <c r="E770" s="132"/>
      <c r="F770" s="137"/>
      <c r="G770" s="137"/>
      <c r="H770" s="132"/>
      <c r="I770" s="257"/>
      <c r="J770" s="137"/>
      <c r="K770" s="137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</row>
    <row r="771">
      <c r="A771" s="132"/>
      <c r="B771" s="254"/>
      <c r="C771" s="255"/>
      <c r="D771" s="256"/>
      <c r="E771" s="132"/>
      <c r="F771" s="137"/>
      <c r="G771" s="137"/>
      <c r="H771" s="132"/>
      <c r="I771" s="257"/>
      <c r="J771" s="137"/>
      <c r="K771" s="137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</row>
    <row r="772">
      <c r="A772" s="132"/>
      <c r="B772" s="254"/>
      <c r="C772" s="255"/>
      <c r="D772" s="256"/>
      <c r="E772" s="132"/>
      <c r="F772" s="137"/>
      <c r="G772" s="137"/>
      <c r="H772" s="132"/>
      <c r="I772" s="257"/>
      <c r="J772" s="137"/>
      <c r="K772" s="137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</row>
    <row r="773">
      <c r="A773" s="132"/>
      <c r="B773" s="254"/>
      <c r="C773" s="255"/>
      <c r="D773" s="256"/>
      <c r="E773" s="132"/>
      <c r="F773" s="137"/>
      <c r="G773" s="137"/>
      <c r="H773" s="132"/>
      <c r="I773" s="257"/>
      <c r="J773" s="137"/>
      <c r="K773" s="137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</row>
    <row r="774">
      <c r="A774" s="132"/>
      <c r="B774" s="254"/>
      <c r="C774" s="255"/>
      <c r="D774" s="256"/>
      <c r="E774" s="132"/>
      <c r="F774" s="137"/>
      <c r="G774" s="137"/>
      <c r="H774" s="132"/>
      <c r="I774" s="257"/>
      <c r="J774" s="137"/>
      <c r="K774" s="137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</row>
    <row r="775">
      <c r="A775" s="132"/>
      <c r="B775" s="254"/>
      <c r="C775" s="255"/>
      <c r="D775" s="256"/>
      <c r="E775" s="132"/>
      <c r="F775" s="137"/>
      <c r="G775" s="137"/>
      <c r="H775" s="132"/>
      <c r="I775" s="257"/>
      <c r="J775" s="137"/>
      <c r="K775" s="137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</row>
    <row r="776">
      <c r="A776" s="132"/>
      <c r="B776" s="254"/>
      <c r="C776" s="255"/>
      <c r="D776" s="256"/>
      <c r="E776" s="132"/>
      <c r="F776" s="137"/>
      <c r="G776" s="137"/>
      <c r="H776" s="132"/>
      <c r="I776" s="257"/>
      <c r="J776" s="137"/>
      <c r="K776" s="137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</row>
    <row r="777">
      <c r="A777" s="132"/>
      <c r="B777" s="254"/>
      <c r="C777" s="255"/>
      <c r="D777" s="256"/>
      <c r="E777" s="132"/>
      <c r="F777" s="137"/>
      <c r="G777" s="137"/>
      <c r="H777" s="132"/>
      <c r="I777" s="257"/>
      <c r="J777" s="137"/>
      <c r="K777" s="137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</row>
    <row r="778">
      <c r="A778" s="132"/>
      <c r="B778" s="254"/>
      <c r="C778" s="255"/>
      <c r="D778" s="256"/>
      <c r="E778" s="132"/>
      <c r="F778" s="137"/>
      <c r="G778" s="137"/>
      <c r="H778" s="132"/>
      <c r="I778" s="257"/>
      <c r="J778" s="137"/>
      <c r="K778" s="137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</row>
    <row r="779">
      <c r="A779" s="132"/>
      <c r="B779" s="254"/>
      <c r="C779" s="255"/>
      <c r="D779" s="256"/>
      <c r="E779" s="132"/>
      <c r="F779" s="137"/>
      <c r="G779" s="137"/>
      <c r="H779" s="132"/>
      <c r="I779" s="257"/>
      <c r="J779" s="137"/>
      <c r="K779" s="137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</row>
    <row r="780">
      <c r="A780" s="132"/>
      <c r="B780" s="254"/>
      <c r="C780" s="255"/>
      <c r="D780" s="256"/>
      <c r="E780" s="132"/>
      <c r="F780" s="137"/>
      <c r="G780" s="137"/>
      <c r="H780" s="132"/>
      <c r="I780" s="257"/>
      <c r="J780" s="137"/>
      <c r="K780" s="137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</row>
    <row r="781">
      <c r="A781" s="132"/>
      <c r="B781" s="254"/>
      <c r="C781" s="255"/>
      <c r="D781" s="256"/>
      <c r="E781" s="132"/>
      <c r="F781" s="137"/>
      <c r="G781" s="137"/>
      <c r="H781" s="132"/>
      <c r="I781" s="257"/>
      <c r="J781" s="137"/>
      <c r="K781" s="137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</row>
    <row r="782">
      <c r="A782" s="132"/>
      <c r="B782" s="254"/>
      <c r="C782" s="255"/>
      <c r="D782" s="256"/>
      <c r="E782" s="132"/>
      <c r="F782" s="137"/>
      <c r="G782" s="137"/>
      <c r="H782" s="132"/>
      <c r="I782" s="257"/>
      <c r="J782" s="137"/>
      <c r="K782" s="137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</row>
    <row r="783">
      <c r="A783" s="132"/>
      <c r="B783" s="254"/>
      <c r="C783" s="255"/>
      <c r="D783" s="256"/>
      <c r="E783" s="132"/>
      <c r="F783" s="137"/>
      <c r="G783" s="137"/>
      <c r="H783" s="132"/>
      <c r="I783" s="257"/>
      <c r="J783" s="137"/>
      <c r="K783" s="137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</row>
    <row r="784">
      <c r="A784" s="132"/>
      <c r="B784" s="254"/>
      <c r="C784" s="255"/>
      <c r="D784" s="256"/>
      <c r="E784" s="132"/>
      <c r="F784" s="137"/>
      <c r="G784" s="137"/>
      <c r="H784" s="132"/>
      <c r="I784" s="257"/>
      <c r="J784" s="137"/>
      <c r="K784" s="137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</row>
    <row r="785">
      <c r="A785" s="132"/>
      <c r="B785" s="254"/>
      <c r="C785" s="255"/>
      <c r="D785" s="256"/>
      <c r="E785" s="132"/>
      <c r="F785" s="137"/>
      <c r="G785" s="137"/>
      <c r="H785" s="132"/>
      <c r="I785" s="257"/>
      <c r="J785" s="137"/>
      <c r="K785" s="137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</row>
    <row r="786">
      <c r="A786" s="132"/>
      <c r="B786" s="254"/>
      <c r="C786" s="255"/>
      <c r="D786" s="256"/>
      <c r="E786" s="132"/>
      <c r="F786" s="137"/>
      <c r="G786" s="137"/>
      <c r="H786" s="132"/>
      <c r="I786" s="257"/>
      <c r="J786" s="137"/>
      <c r="K786" s="137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</row>
    <row r="787">
      <c r="A787" s="132"/>
      <c r="B787" s="254"/>
      <c r="C787" s="255"/>
      <c r="D787" s="256"/>
      <c r="E787" s="132"/>
      <c r="F787" s="137"/>
      <c r="G787" s="137"/>
      <c r="H787" s="132"/>
      <c r="I787" s="257"/>
      <c r="J787" s="137"/>
      <c r="K787" s="137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</row>
    <row r="788">
      <c r="A788" s="132"/>
      <c r="B788" s="254"/>
      <c r="C788" s="255"/>
      <c r="D788" s="256"/>
      <c r="E788" s="132"/>
      <c r="F788" s="137"/>
      <c r="G788" s="137"/>
      <c r="H788" s="132"/>
      <c r="I788" s="257"/>
      <c r="J788" s="137"/>
      <c r="K788" s="137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</row>
    <row r="789">
      <c r="A789" s="132"/>
      <c r="B789" s="254"/>
      <c r="C789" s="255"/>
      <c r="D789" s="256"/>
      <c r="E789" s="132"/>
      <c r="F789" s="137"/>
      <c r="G789" s="137"/>
      <c r="H789" s="132"/>
      <c r="I789" s="257"/>
      <c r="J789" s="137"/>
      <c r="K789" s="137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</row>
    <row r="790">
      <c r="A790" s="132"/>
      <c r="B790" s="254"/>
      <c r="C790" s="255"/>
      <c r="D790" s="256"/>
      <c r="E790" s="132"/>
      <c r="F790" s="137"/>
      <c r="G790" s="137"/>
      <c r="H790" s="132"/>
      <c r="I790" s="257"/>
      <c r="J790" s="137"/>
      <c r="K790" s="137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</row>
    <row r="791">
      <c r="A791" s="132"/>
      <c r="B791" s="254"/>
      <c r="C791" s="255"/>
      <c r="D791" s="256"/>
      <c r="E791" s="132"/>
      <c r="F791" s="137"/>
      <c r="G791" s="137"/>
      <c r="H791" s="132"/>
      <c r="I791" s="257"/>
      <c r="J791" s="137"/>
      <c r="K791" s="137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</row>
    <row r="792">
      <c r="A792" s="132"/>
      <c r="B792" s="254"/>
      <c r="C792" s="255"/>
      <c r="D792" s="256"/>
      <c r="E792" s="132"/>
      <c r="F792" s="137"/>
      <c r="G792" s="137"/>
      <c r="H792" s="132"/>
      <c r="I792" s="257"/>
      <c r="J792" s="137"/>
      <c r="K792" s="137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</row>
    <row r="793">
      <c r="A793" s="132"/>
      <c r="B793" s="254"/>
      <c r="C793" s="255"/>
      <c r="D793" s="256"/>
      <c r="E793" s="132"/>
      <c r="F793" s="137"/>
      <c r="G793" s="137"/>
      <c r="H793" s="132"/>
      <c r="I793" s="257"/>
      <c r="J793" s="137"/>
      <c r="K793" s="137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</row>
    <row r="794">
      <c r="A794" s="132"/>
      <c r="B794" s="254"/>
      <c r="C794" s="255"/>
      <c r="D794" s="256"/>
      <c r="E794" s="132"/>
      <c r="F794" s="137"/>
      <c r="G794" s="137"/>
      <c r="H794" s="132"/>
      <c r="I794" s="257"/>
      <c r="J794" s="137"/>
      <c r="K794" s="137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</row>
    <row r="795">
      <c r="A795" s="132"/>
      <c r="B795" s="254"/>
      <c r="C795" s="255"/>
      <c r="D795" s="256"/>
      <c r="E795" s="132"/>
      <c r="F795" s="137"/>
      <c r="G795" s="137"/>
      <c r="H795" s="132"/>
      <c r="I795" s="257"/>
      <c r="J795" s="137"/>
      <c r="K795" s="137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</row>
    <row r="796">
      <c r="A796" s="132"/>
      <c r="B796" s="254"/>
      <c r="C796" s="255"/>
      <c r="D796" s="256"/>
      <c r="E796" s="132"/>
      <c r="F796" s="137"/>
      <c r="G796" s="137"/>
      <c r="H796" s="132"/>
      <c r="I796" s="257"/>
      <c r="J796" s="137"/>
      <c r="K796" s="137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</row>
    <row r="797">
      <c r="A797" s="132"/>
      <c r="B797" s="254"/>
      <c r="C797" s="255"/>
      <c r="D797" s="256"/>
      <c r="E797" s="132"/>
      <c r="F797" s="137"/>
      <c r="G797" s="137"/>
      <c r="H797" s="132"/>
      <c r="I797" s="257"/>
      <c r="J797" s="137"/>
      <c r="K797" s="137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</row>
    <row r="798">
      <c r="A798" s="132"/>
      <c r="B798" s="254"/>
      <c r="C798" s="255"/>
      <c r="D798" s="256"/>
      <c r="E798" s="132"/>
      <c r="F798" s="137"/>
      <c r="G798" s="137"/>
      <c r="H798" s="132"/>
      <c r="I798" s="257"/>
      <c r="J798" s="137"/>
      <c r="K798" s="137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</row>
    <row r="799">
      <c r="A799" s="132"/>
      <c r="B799" s="254"/>
      <c r="C799" s="255"/>
      <c r="D799" s="256"/>
      <c r="E799" s="132"/>
      <c r="F799" s="137"/>
      <c r="G799" s="137"/>
      <c r="H799" s="132"/>
      <c r="I799" s="257"/>
      <c r="J799" s="137"/>
      <c r="K799" s="137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</row>
    <row r="800">
      <c r="A800" s="132"/>
      <c r="B800" s="254"/>
      <c r="C800" s="255"/>
      <c r="D800" s="256"/>
      <c r="E800" s="132"/>
      <c r="F800" s="137"/>
      <c r="G800" s="137"/>
      <c r="H800" s="132"/>
      <c r="I800" s="257"/>
      <c r="J800" s="137"/>
      <c r="K800" s="137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</row>
    <row r="801">
      <c r="A801" s="132"/>
      <c r="B801" s="254"/>
      <c r="C801" s="255"/>
      <c r="D801" s="256"/>
      <c r="E801" s="132"/>
      <c r="F801" s="137"/>
      <c r="G801" s="137"/>
      <c r="H801" s="132"/>
      <c r="I801" s="257"/>
      <c r="J801" s="137"/>
      <c r="K801" s="137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</row>
    <row r="802">
      <c r="A802" s="132"/>
      <c r="B802" s="254"/>
      <c r="C802" s="255"/>
      <c r="D802" s="256"/>
      <c r="E802" s="132"/>
      <c r="F802" s="137"/>
      <c r="G802" s="137"/>
      <c r="H802" s="132"/>
      <c r="I802" s="257"/>
      <c r="J802" s="137"/>
      <c r="K802" s="137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</row>
    <row r="803">
      <c r="A803" s="132"/>
      <c r="B803" s="254"/>
      <c r="C803" s="255"/>
      <c r="D803" s="256"/>
      <c r="E803" s="132"/>
      <c r="F803" s="137"/>
      <c r="G803" s="137"/>
      <c r="H803" s="132"/>
      <c r="I803" s="257"/>
      <c r="J803" s="137"/>
      <c r="K803" s="137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</row>
    <row r="804">
      <c r="A804" s="132"/>
      <c r="B804" s="254"/>
      <c r="C804" s="255"/>
      <c r="D804" s="256"/>
      <c r="E804" s="132"/>
      <c r="F804" s="137"/>
      <c r="G804" s="137"/>
      <c r="H804" s="132"/>
      <c r="I804" s="257"/>
      <c r="J804" s="137"/>
      <c r="K804" s="137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</row>
    <row r="805">
      <c r="A805" s="132"/>
      <c r="B805" s="254"/>
      <c r="C805" s="255"/>
      <c r="D805" s="256"/>
      <c r="E805" s="132"/>
      <c r="F805" s="137"/>
      <c r="G805" s="137"/>
      <c r="H805" s="132"/>
      <c r="I805" s="257"/>
      <c r="J805" s="137"/>
      <c r="K805" s="137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</row>
    <row r="806">
      <c r="A806" s="132"/>
      <c r="B806" s="254"/>
      <c r="C806" s="255"/>
      <c r="D806" s="256"/>
      <c r="E806" s="132"/>
      <c r="F806" s="137"/>
      <c r="G806" s="137"/>
      <c r="H806" s="132"/>
      <c r="I806" s="257"/>
      <c r="J806" s="137"/>
      <c r="K806" s="137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</row>
    <row r="807">
      <c r="A807" s="132"/>
      <c r="B807" s="254"/>
      <c r="C807" s="255"/>
      <c r="D807" s="256"/>
      <c r="E807" s="132"/>
      <c r="F807" s="137"/>
      <c r="G807" s="137"/>
      <c r="H807" s="132"/>
      <c r="I807" s="257"/>
      <c r="J807" s="137"/>
      <c r="K807" s="137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</row>
    <row r="808">
      <c r="A808" s="132"/>
      <c r="B808" s="254"/>
      <c r="C808" s="255"/>
      <c r="D808" s="256"/>
      <c r="E808" s="132"/>
      <c r="F808" s="137"/>
      <c r="G808" s="137"/>
      <c r="H808" s="132"/>
      <c r="I808" s="257"/>
      <c r="J808" s="137"/>
      <c r="K808" s="137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</row>
    <row r="809">
      <c r="A809" s="132"/>
      <c r="B809" s="254"/>
      <c r="C809" s="255"/>
      <c r="D809" s="256"/>
      <c r="E809" s="132"/>
      <c r="F809" s="137"/>
      <c r="G809" s="137"/>
      <c r="H809" s="132"/>
      <c r="I809" s="257"/>
      <c r="J809" s="137"/>
      <c r="K809" s="137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</row>
    <row r="810">
      <c r="A810" s="132"/>
      <c r="B810" s="254"/>
      <c r="C810" s="255"/>
      <c r="D810" s="256"/>
      <c r="E810" s="132"/>
      <c r="F810" s="137"/>
      <c r="G810" s="137"/>
      <c r="H810" s="132"/>
      <c r="I810" s="257"/>
      <c r="J810" s="137"/>
      <c r="K810" s="137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</row>
    <row r="811">
      <c r="A811" s="132"/>
      <c r="B811" s="254"/>
      <c r="C811" s="255"/>
      <c r="D811" s="256"/>
      <c r="E811" s="132"/>
      <c r="F811" s="137"/>
      <c r="G811" s="137"/>
      <c r="H811" s="132"/>
      <c r="I811" s="257"/>
      <c r="J811" s="137"/>
      <c r="K811" s="137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</row>
    <row r="812">
      <c r="A812" s="132"/>
      <c r="B812" s="254"/>
      <c r="C812" s="255"/>
      <c r="D812" s="256"/>
      <c r="E812" s="132"/>
      <c r="F812" s="137"/>
      <c r="G812" s="137"/>
      <c r="H812" s="132"/>
      <c r="I812" s="257"/>
      <c r="J812" s="137"/>
      <c r="K812" s="137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</row>
    <row r="813">
      <c r="A813" s="132"/>
      <c r="B813" s="254"/>
      <c r="C813" s="255"/>
      <c r="D813" s="256"/>
      <c r="E813" s="132"/>
      <c r="F813" s="137"/>
      <c r="G813" s="137"/>
      <c r="H813" s="132"/>
      <c r="I813" s="257"/>
      <c r="J813" s="137"/>
      <c r="K813" s="137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</row>
    <row r="814">
      <c r="A814" s="132"/>
      <c r="B814" s="254"/>
      <c r="C814" s="255"/>
      <c r="D814" s="256"/>
      <c r="E814" s="132"/>
      <c r="F814" s="137"/>
      <c r="G814" s="137"/>
      <c r="H814" s="132"/>
      <c r="I814" s="257"/>
      <c r="J814" s="137"/>
      <c r="K814" s="137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</row>
    <row r="815">
      <c r="A815" s="132"/>
      <c r="B815" s="254"/>
      <c r="C815" s="255"/>
      <c r="D815" s="256"/>
      <c r="E815" s="132"/>
      <c r="F815" s="137"/>
      <c r="G815" s="137"/>
      <c r="H815" s="132"/>
      <c r="I815" s="257"/>
      <c r="J815" s="137"/>
      <c r="K815" s="137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</row>
    <row r="816">
      <c r="A816" s="132"/>
      <c r="B816" s="254"/>
      <c r="C816" s="255"/>
      <c r="D816" s="256"/>
      <c r="E816" s="132"/>
      <c r="F816" s="137"/>
      <c r="G816" s="137"/>
      <c r="H816" s="132"/>
      <c r="I816" s="257"/>
      <c r="J816" s="137"/>
      <c r="K816" s="137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</row>
    <row r="817">
      <c r="A817" s="132"/>
      <c r="B817" s="254"/>
      <c r="C817" s="255"/>
      <c r="D817" s="256"/>
      <c r="E817" s="132"/>
      <c r="F817" s="137"/>
      <c r="G817" s="137"/>
      <c r="H817" s="132"/>
      <c r="I817" s="257"/>
      <c r="J817" s="137"/>
      <c r="K817" s="137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</row>
    <row r="818">
      <c r="A818" s="132"/>
      <c r="B818" s="254"/>
      <c r="C818" s="255"/>
      <c r="D818" s="256"/>
      <c r="E818" s="132"/>
      <c r="F818" s="137"/>
      <c r="G818" s="137"/>
      <c r="H818" s="132"/>
      <c r="I818" s="257"/>
      <c r="J818" s="137"/>
      <c r="K818" s="137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</row>
    <row r="819">
      <c r="A819" s="132"/>
      <c r="B819" s="254"/>
      <c r="C819" s="255"/>
      <c r="D819" s="256"/>
      <c r="E819" s="132"/>
      <c r="F819" s="137"/>
      <c r="G819" s="137"/>
      <c r="H819" s="132"/>
      <c r="I819" s="257"/>
      <c r="J819" s="137"/>
      <c r="K819" s="137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</row>
    <row r="820">
      <c r="A820" s="132"/>
      <c r="B820" s="254"/>
      <c r="C820" s="255"/>
      <c r="D820" s="256"/>
      <c r="E820" s="132"/>
      <c r="F820" s="137"/>
      <c r="G820" s="137"/>
      <c r="H820" s="132"/>
      <c r="I820" s="257"/>
      <c r="J820" s="137"/>
      <c r="K820" s="137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</row>
    <row r="821">
      <c r="A821" s="132"/>
      <c r="B821" s="254"/>
      <c r="C821" s="255"/>
      <c r="D821" s="256"/>
      <c r="E821" s="132"/>
      <c r="F821" s="137"/>
      <c r="G821" s="137"/>
      <c r="H821" s="132"/>
      <c r="I821" s="257"/>
      <c r="J821" s="137"/>
      <c r="K821" s="137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</row>
    <row r="822">
      <c r="A822" s="132"/>
      <c r="B822" s="254"/>
      <c r="C822" s="255"/>
      <c r="D822" s="256"/>
      <c r="E822" s="132"/>
      <c r="F822" s="137"/>
      <c r="G822" s="137"/>
      <c r="H822" s="132"/>
      <c r="I822" s="257"/>
      <c r="J822" s="137"/>
      <c r="K822" s="137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</row>
    <row r="823">
      <c r="A823" s="132"/>
      <c r="B823" s="254"/>
      <c r="C823" s="255"/>
      <c r="D823" s="256"/>
      <c r="E823" s="132"/>
      <c r="F823" s="137"/>
      <c r="G823" s="137"/>
      <c r="H823" s="132"/>
      <c r="I823" s="257"/>
      <c r="J823" s="137"/>
      <c r="K823" s="137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</row>
    <row r="824">
      <c r="A824" s="132"/>
      <c r="B824" s="254"/>
      <c r="C824" s="255"/>
      <c r="D824" s="256"/>
      <c r="E824" s="132"/>
      <c r="F824" s="137"/>
      <c r="G824" s="137"/>
      <c r="H824" s="132"/>
      <c r="I824" s="257"/>
      <c r="J824" s="137"/>
      <c r="K824" s="137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</row>
    <row r="825">
      <c r="A825" s="132"/>
      <c r="B825" s="254"/>
      <c r="C825" s="255"/>
      <c r="D825" s="256"/>
      <c r="E825" s="132"/>
      <c r="F825" s="137"/>
      <c r="G825" s="137"/>
      <c r="H825" s="132"/>
      <c r="I825" s="257"/>
      <c r="J825" s="137"/>
      <c r="K825" s="137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</row>
    <row r="826">
      <c r="A826" s="132"/>
      <c r="B826" s="254"/>
      <c r="C826" s="255"/>
      <c r="D826" s="256"/>
      <c r="E826" s="132"/>
      <c r="F826" s="137"/>
      <c r="G826" s="137"/>
      <c r="H826" s="132"/>
      <c r="I826" s="257"/>
      <c r="J826" s="137"/>
      <c r="K826" s="137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</row>
    <row r="827">
      <c r="A827" s="132"/>
      <c r="B827" s="254"/>
      <c r="C827" s="255"/>
      <c r="D827" s="256"/>
      <c r="E827" s="132"/>
      <c r="F827" s="137"/>
      <c r="G827" s="137"/>
      <c r="H827" s="132"/>
      <c r="I827" s="257"/>
      <c r="J827" s="137"/>
      <c r="K827" s="137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</row>
    <row r="828">
      <c r="A828" s="132"/>
      <c r="B828" s="254"/>
      <c r="C828" s="255"/>
      <c r="D828" s="256"/>
      <c r="E828" s="132"/>
      <c r="F828" s="137"/>
      <c r="G828" s="137"/>
      <c r="H828" s="132"/>
      <c r="I828" s="257"/>
      <c r="J828" s="137"/>
      <c r="K828" s="137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</row>
    <row r="829">
      <c r="A829" s="132"/>
      <c r="B829" s="254"/>
      <c r="C829" s="255"/>
      <c r="D829" s="256"/>
      <c r="E829" s="132"/>
      <c r="F829" s="137"/>
      <c r="G829" s="137"/>
      <c r="H829" s="132"/>
      <c r="I829" s="257"/>
      <c r="J829" s="137"/>
      <c r="K829" s="137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</row>
    <row r="830">
      <c r="A830" s="132"/>
      <c r="B830" s="254"/>
      <c r="C830" s="255"/>
      <c r="D830" s="256"/>
      <c r="E830" s="132"/>
      <c r="F830" s="137"/>
      <c r="G830" s="137"/>
      <c r="H830" s="132"/>
      <c r="I830" s="257"/>
      <c r="J830" s="137"/>
      <c r="K830" s="137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</row>
    <row r="831">
      <c r="A831" s="132"/>
      <c r="B831" s="254"/>
      <c r="C831" s="255"/>
      <c r="D831" s="256"/>
      <c r="E831" s="132"/>
      <c r="F831" s="137"/>
      <c r="G831" s="137"/>
      <c r="H831" s="132"/>
      <c r="I831" s="257"/>
      <c r="J831" s="137"/>
      <c r="K831" s="137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</row>
    <row r="832">
      <c r="A832" s="132"/>
      <c r="B832" s="254"/>
      <c r="C832" s="255"/>
      <c r="D832" s="256"/>
      <c r="E832" s="132"/>
      <c r="F832" s="137"/>
      <c r="G832" s="137"/>
      <c r="H832" s="132"/>
      <c r="I832" s="257"/>
      <c r="J832" s="137"/>
      <c r="K832" s="137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</row>
    <row r="833">
      <c r="A833" s="132"/>
      <c r="B833" s="254"/>
      <c r="C833" s="255"/>
      <c r="D833" s="256"/>
      <c r="E833" s="132"/>
      <c r="F833" s="137"/>
      <c r="G833" s="137"/>
      <c r="H833" s="132"/>
      <c r="I833" s="257"/>
      <c r="J833" s="137"/>
      <c r="K833" s="137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</row>
    <row r="834">
      <c r="A834" s="132"/>
      <c r="B834" s="254"/>
      <c r="C834" s="255"/>
      <c r="D834" s="256"/>
      <c r="E834" s="132"/>
      <c r="F834" s="137"/>
      <c r="G834" s="137"/>
      <c r="H834" s="132"/>
      <c r="I834" s="257"/>
      <c r="J834" s="137"/>
      <c r="K834" s="137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</row>
    <row r="835">
      <c r="A835" s="132"/>
      <c r="B835" s="254"/>
      <c r="C835" s="255"/>
      <c r="D835" s="256"/>
      <c r="E835" s="132"/>
      <c r="F835" s="137"/>
      <c r="G835" s="137"/>
      <c r="H835" s="132"/>
      <c r="I835" s="257"/>
      <c r="J835" s="137"/>
      <c r="K835" s="137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</row>
    <row r="836">
      <c r="A836" s="132"/>
      <c r="B836" s="254"/>
      <c r="C836" s="255"/>
      <c r="D836" s="256"/>
      <c r="E836" s="132"/>
      <c r="F836" s="137"/>
      <c r="G836" s="137"/>
      <c r="H836" s="132"/>
      <c r="I836" s="257"/>
      <c r="J836" s="137"/>
      <c r="K836" s="137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</row>
    <row r="837">
      <c r="A837" s="132"/>
      <c r="B837" s="254"/>
      <c r="C837" s="255"/>
      <c r="D837" s="256"/>
      <c r="E837" s="132"/>
      <c r="F837" s="137"/>
      <c r="G837" s="137"/>
      <c r="H837" s="132"/>
      <c r="I837" s="257"/>
      <c r="J837" s="137"/>
      <c r="K837" s="137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</row>
    <row r="838">
      <c r="A838" s="132"/>
      <c r="B838" s="254"/>
      <c r="C838" s="255"/>
      <c r="D838" s="256"/>
      <c r="E838" s="132"/>
      <c r="F838" s="137"/>
      <c r="G838" s="137"/>
      <c r="H838" s="132"/>
      <c r="I838" s="257"/>
      <c r="J838" s="137"/>
      <c r="K838" s="137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</row>
    <row r="839">
      <c r="A839" s="132"/>
      <c r="B839" s="254"/>
      <c r="C839" s="255"/>
      <c r="D839" s="256"/>
      <c r="E839" s="132"/>
      <c r="F839" s="137"/>
      <c r="G839" s="137"/>
      <c r="H839" s="132"/>
      <c r="I839" s="257"/>
      <c r="J839" s="137"/>
      <c r="K839" s="137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</row>
    <row r="840">
      <c r="A840" s="132"/>
      <c r="B840" s="254"/>
      <c r="C840" s="255"/>
      <c r="D840" s="256"/>
      <c r="E840" s="132"/>
      <c r="F840" s="137"/>
      <c r="G840" s="137"/>
      <c r="H840" s="132"/>
      <c r="I840" s="257"/>
      <c r="J840" s="137"/>
      <c r="K840" s="137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</row>
    <row r="841">
      <c r="A841" s="132"/>
      <c r="B841" s="254"/>
      <c r="C841" s="255"/>
      <c r="D841" s="256"/>
      <c r="E841" s="132"/>
      <c r="F841" s="137"/>
      <c r="G841" s="137"/>
      <c r="H841" s="132"/>
      <c r="I841" s="257"/>
      <c r="J841" s="137"/>
      <c r="K841" s="137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</row>
    <row r="842">
      <c r="A842" s="132"/>
      <c r="B842" s="254"/>
      <c r="C842" s="255"/>
      <c r="D842" s="256"/>
      <c r="E842" s="132"/>
      <c r="F842" s="137"/>
      <c r="G842" s="137"/>
      <c r="H842" s="132"/>
      <c r="I842" s="257"/>
      <c r="J842" s="137"/>
      <c r="K842" s="137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</row>
    <row r="843">
      <c r="A843" s="132"/>
      <c r="B843" s="254"/>
      <c r="C843" s="255"/>
      <c r="D843" s="256"/>
      <c r="E843" s="132"/>
      <c r="F843" s="137"/>
      <c r="G843" s="137"/>
      <c r="H843" s="132"/>
      <c r="I843" s="257"/>
      <c r="J843" s="137"/>
      <c r="K843" s="137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</row>
    <row r="844">
      <c r="A844" s="132"/>
      <c r="B844" s="254"/>
      <c r="C844" s="255"/>
      <c r="D844" s="256"/>
      <c r="E844" s="132"/>
      <c r="F844" s="137"/>
      <c r="G844" s="137"/>
      <c r="H844" s="132"/>
      <c r="I844" s="257"/>
      <c r="J844" s="137"/>
      <c r="K844" s="137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</row>
    <row r="845">
      <c r="A845" s="132"/>
      <c r="B845" s="254"/>
      <c r="C845" s="255"/>
      <c r="D845" s="256"/>
      <c r="E845" s="132"/>
      <c r="F845" s="137"/>
      <c r="G845" s="137"/>
      <c r="H845" s="132"/>
      <c r="I845" s="257"/>
      <c r="J845" s="137"/>
      <c r="K845" s="137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</row>
    <row r="846">
      <c r="A846" s="132"/>
      <c r="B846" s="254"/>
      <c r="C846" s="255"/>
      <c r="D846" s="256"/>
      <c r="E846" s="132"/>
      <c r="F846" s="137"/>
      <c r="G846" s="137"/>
      <c r="H846" s="132"/>
      <c r="I846" s="257"/>
      <c r="J846" s="137"/>
      <c r="K846" s="137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</row>
    <row r="847">
      <c r="A847" s="132"/>
      <c r="B847" s="254"/>
      <c r="C847" s="255"/>
      <c r="D847" s="256"/>
      <c r="E847" s="132"/>
      <c r="F847" s="137"/>
      <c r="G847" s="137"/>
      <c r="H847" s="132"/>
      <c r="I847" s="257"/>
      <c r="J847" s="137"/>
      <c r="K847" s="137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</row>
    <row r="848">
      <c r="A848" s="132"/>
      <c r="B848" s="254"/>
      <c r="C848" s="255"/>
      <c r="D848" s="256"/>
      <c r="E848" s="132"/>
      <c r="F848" s="137"/>
      <c r="G848" s="137"/>
      <c r="H848" s="132"/>
      <c r="I848" s="257"/>
      <c r="J848" s="137"/>
      <c r="K848" s="137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</row>
    <row r="849">
      <c r="A849" s="132"/>
      <c r="B849" s="254"/>
      <c r="C849" s="255"/>
      <c r="D849" s="256"/>
      <c r="E849" s="132"/>
      <c r="F849" s="137"/>
      <c r="G849" s="137"/>
      <c r="H849" s="132"/>
      <c r="I849" s="257"/>
      <c r="J849" s="137"/>
      <c r="K849" s="137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</row>
    <row r="850">
      <c r="A850" s="132"/>
      <c r="B850" s="254"/>
      <c r="C850" s="255"/>
      <c r="D850" s="256"/>
      <c r="E850" s="132"/>
      <c r="F850" s="137"/>
      <c r="G850" s="137"/>
      <c r="H850" s="132"/>
      <c r="I850" s="257"/>
      <c r="J850" s="137"/>
      <c r="K850" s="137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</row>
    <row r="851">
      <c r="A851" s="132"/>
      <c r="B851" s="254"/>
      <c r="C851" s="255"/>
      <c r="D851" s="256"/>
      <c r="E851" s="132"/>
      <c r="F851" s="137"/>
      <c r="G851" s="137"/>
      <c r="H851" s="132"/>
      <c r="I851" s="257"/>
      <c r="J851" s="137"/>
      <c r="K851" s="137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</row>
    <row r="852">
      <c r="A852" s="132"/>
      <c r="B852" s="254"/>
      <c r="C852" s="255"/>
      <c r="D852" s="256"/>
      <c r="E852" s="132"/>
      <c r="F852" s="137"/>
      <c r="G852" s="137"/>
      <c r="H852" s="132"/>
      <c r="I852" s="257"/>
      <c r="J852" s="137"/>
      <c r="K852" s="137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</row>
    <row r="853">
      <c r="A853" s="132"/>
      <c r="B853" s="254"/>
      <c r="C853" s="255"/>
      <c r="D853" s="256"/>
      <c r="E853" s="132"/>
      <c r="F853" s="137"/>
      <c r="G853" s="137"/>
      <c r="H853" s="132"/>
      <c r="I853" s="257"/>
      <c r="J853" s="137"/>
      <c r="K853" s="137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</row>
    <row r="854">
      <c r="A854" s="132"/>
      <c r="B854" s="254"/>
      <c r="C854" s="255"/>
      <c r="D854" s="256"/>
      <c r="E854" s="132"/>
      <c r="F854" s="137"/>
      <c r="G854" s="137"/>
      <c r="H854" s="132"/>
      <c r="I854" s="257"/>
      <c r="J854" s="137"/>
      <c r="K854" s="137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</row>
    <row r="855">
      <c r="A855" s="132"/>
      <c r="B855" s="254"/>
      <c r="C855" s="255"/>
      <c r="D855" s="256"/>
      <c r="E855" s="132"/>
      <c r="F855" s="137"/>
      <c r="G855" s="137"/>
      <c r="H855" s="132"/>
      <c r="I855" s="257"/>
      <c r="J855" s="137"/>
      <c r="K855" s="137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</row>
    <row r="856">
      <c r="A856" s="132"/>
      <c r="B856" s="254"/>
      <c r="C856" s="255"/>
      <c r="D856" s="256"/>
      <c r="E856" s="132"/>
      <c r="F856" s="137"/>
      <c r="G856" s="137"/>
      <c r="H856" s="132"/>
      <c r="I856" s="257"/>
      <c r="J856" s="137"/>
      <c r="K856" s="137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</row>
    <row r="857">
      <c r="A857" s="132"/>
      <c r="B857" s="254"/>
      <c r="C857" s="255"/>
      <c r="D857" s="256"/>
      <c r="E857" s="132"/>
      <c r="F857" s="137"/>
      <c r="G857" s="137"/>
      <c r="H857" s="132"/>
      <c r="I857" s="257"/>
      <c r="J857" s="137"/>
      <c r="K857" s="137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</row>
    <row r="858">
      <c r="A858" s="132"/>
      <c r="B858" s="254"/>
      <c r="C858" s="255"/>
      <c r="D858" s="256"/>
      <c r="E858" s="132"/>
      <c r="F858" s="137"/>
      <c r="G858" s="137"/>
      <c r="H858" s="132"/>
      <c r="I858" s="257"/>
      <c r="J858" s="137"/>
      <c r="K858" s="137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</row>
    <row r="859">
      <c r="A859" s="132"/>
      <c r="B859" s="254"/>
      <c r="C859" s="255"/>
      <c r="D859" s="256"/>
      <c r="E859" s="132"/>
      <c r="F859" s="137"/>
      <c r="G859" s="137"/>
      <c r="H859" s="132"/>
      <c r="I859" s="257"/>
      <c r="J859" s="137"/>
      <c r="K859" s="137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</row>
    <row r="860">
      <c r="A860" s="132"/>
      <c r="B860" s="254"/>
      <c r="C860" s="255"/>
      <c r="D860" s="256"/>
      <c r="E860" s="132"/>
      <c r="F860" s="137"/>
      <c r="G860" s="137"/>
      <c r="H860" s="132"/>
      <c r="I860" s="257"/>
      <c r="J860" s="137"/>
      <c r="K860" s="137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</row>
    <row r="861">
      <c r="A861" s="132"/>
      <c r="B861" s="254"/>
      <c r="C861" s="255"/>
      <c r="D861" s="256"/>
      <c r="E861" s="132"/>
      <c r="F861" s="137"/>
      <c r="G861" s="137"/>
      <c r="H861" s="132"/>
      <c r="I861" s="257"/>
      <c r="J861" s="137"/>
      <c r="K861" s="137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</row>
    <row r="862">
      <c r="A862" s="132"/>
      <c r="B862" s="254"/>
      <c r="C862" s="255"/>
      <c r="D862" s="256"/>
      <c r="E862" s="132"/>
      <c r="F862" s="137"/>
      <c r="G862" s="137"/>
      <c r="H862" s="132"/>
      <c r="I862" s="257"/>
      <c r="J862" s="137"/>
      <c r="K862" s="137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</row>
    <row r="863">
      <c r="A863" s="132"/>
      <c r="B863" s="254"/>
      <c r="C863" s="255"/>
      <c r="D863" s="256"/>
      <c r="E863" s="132"/>
      <c r="F863" s="137"/>
      <c r="G863" s="137"/>
      <c r="H863" s="132"/>
      <c r="I863" s="257"/>
      <c r="J863" s="137"/>
      <c r="K863" s="137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</row>
    <row r="864">
      <c r="A864" s="132"/>
      <c r="B864" s="254"/>
      <c r="C864" s="255"/>
      <c r="D864" s="256"/>
      <c r="E864" s="132"/>
      <c r="F864" s="137"/>
      <c r="G864" s="137"/>
      <c r="H864" s="132"/>
      <c r="I864" s="257"/>
      <c r="J864" s="137"/>
      <c r="K864" s="137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</row>
    <row r="865">
      <c r="A865" s="132"/>
      <c r="B865" s="254"/>
      <c r="C865" s="255"/>
      <c r="D865" s="256"/>
      <c r="E865" s="132"/>
      <c r="F865" s="137"/>
      <c r="G865" s="137"/>
      <c r="H865" s="132"/>
      <c r="I865" s="257"/>
      <c r="J865" s="137"/>
      <c r="K865" s="137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</row>
    <row r="866">
      <c r="A866" s="132"/>
      <c r="B866" s="254"/>
      <c r="C866" s="255"/>
      <c r="D866" s="256"/>
      <c r="E866" s="132"/>
      <c r="F866" s="137"/>
      <c r="G866" s="137"/>
      <c r="H866" s="132"/>
      <c r="I866" s="257"/>
      <c r="J866" s="137"/>
      <c r="K866" s="137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</row>
    <row r="867">
      <c r="A867" s="132"/>
      <c r="B867" s="254"/>
      <c r="C867" s="255"/>
      <c r="D867" s="256"/>
      <c r="E867" s="132"/>
      <c r="F867" s="137"/>
      <c r="G867" s="137"/>
      <c r="H867" s="132"/>
      <c r="I867" s="257"/>
      <c r="J867" s="137"/>
      <c r="K867" s="137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</row>
    <row r="868">
      <c r="A868" s="132"/>
      <c r="B868" s="254"/>
      <c r="C868" s="255"/>
      <c r="D868" s="256"/>
      <c r="E868" s="132"/>
      <c r="F868" s="137"/>
      <c r="G868" s="137"/>
      <c r="H868" s="132"/>
      <c r="I868" s="257"/>
      <c r="J868" s="137"/>
      <c r="K868" s="137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</row>
    <row r="869">
      <c r="A869" s="132"/>
      <c r="B869" s="254"/>
      <c r="C869" s="255"/>
      <c r="D869" s="256"/>
      <c r="E869" s="132"/>
      <c r="F869" s="137"/>
      <c r="G869" s="137"/>
      <c r="H869" s="132"/>
      <c r="I869" s="257"/>
      <c r="J869" s="137"/>
      <c r="K869" s="137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</row>
    <row r="870">
      <c r="A870" s="132"/>
      <c r="B870" s="254"/>
      <c r="C870" s="255"/>
      <c r="D870" s="256"/>
      <c r="E870" s="132"/>
      <c r="F870" s="137"/>
      <c r="G870" s="137"/>
      <c r="H870" s="132"/>
      <c r="I870" s="257"/>
      <c r="J870" s="137"/>
      <c r="K870" s="137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</row>
    <row r="871">
      <c r="A871" s="132"/>
      <c r="B871" s="254"/>
      <c r="C871" s="255"/>
      <c r="D871" s="256"/>
      <c r="E871" s="132"/>
      <c r="F871" s="137"/>
      <c r="G871" s="137"/>
      <c r="H871" s="132"/>
      <c r="I871" s="257"/>
      <c r="J871" s="137"/>
      <c r="K871" s="137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</row>
    <row r="872">
      <c r="A872" s="132"/>
      <c r="B872" s="254"/>
      <c r="C872" s="255"/>
      <c r="D872" s="256"/>
      <c r="E872" s="132"/>
      <c r="F872" s="137"/>
      <c r="G872" s="137"/>
      <c r="H872" s="132"/>
      <c r="I872" s="257"/>
      <c r="J872" s="137"/>
      <c r="K872" s="137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</row>
    <row r="873">
      <c r="A873" s="132"/>
      <c r="B873" s="254"/>
      <c r="C873" s="255"/>
      <c r="D873" s="256"/>
      <c r="E873" s="132"/>
      <c r="F873" s="137"/>
      <c r="G873" s="137"/>
      <c r="H873" s="132"/>
      <c r="I873" s="257"/>
      <c r="J873" s="137"/>
      <c r="K873" s="137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</row>
    <row r="874">
      <c r="A874" s="132"/>
      <c r="B874" s="254"/>
      <c r="C874" s="255"/>
      <c r="D874" s="256"/>
      <c r="E874" s="132"/>
      <c r="F874" s="137"/>
      <c r="G874" s="137"/>
      <c r="H874" s="132"/>
      <c r="I874" s="257"/>
      <c r="J874" s="137"/>
      <c r="K874" s="137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</row>
    <row r="875">
      <c r="A875" s="132"/>
      <c r="B875" s="254"/>
      <c r="C875" s="255"/>
      <c r="D875" s="256"/>
      <c r="E875" s="132"/>
      <c r="F875" s="137"/>
      <c r="G875" s="137"/>
      <c r="H875" s="132"/>
      <c r="I875" s="257"/>
      <c r="J875" s="137"/>
      <c r="K875" s="137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</row>
    <row r="876">
      <c r="A876" s="132"/>
      <c r="B876" s="254"/>
      <c r="C876" s="255"/>
      <c r="D876" s="256"/>
      <c r="E876" s="132"/>
      <c r="F876" s="137"/>
      <c r="G876" s="137"/>
      <c r="H876" s="132"/>
      <c r="I876" s="257"/>
      <c r="J876" s="137"/>
      <c r="K876" s="137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</row>
    <row r="877">
      <c r="A877" s="132"/>
      <c r="B877" s="254"/>
      <c r="C877" s="255"/>
      <c r="D877" s="256"/>
      <c r="E877" s="132"/>
      <c r="F877" s="137"/>
      <c r="G877" s="137"/>
      <c r="H877" s="132"/>
      <c r="I877" s="257"/>
      <c r="J877" s="137"/>
      <c r="K877" s="137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</row>
    <row r="878">
      <c r="A878" s="132"/>
      <c r="B878" s="254"/>
      <c r="C878" s="255"/>
      <c r="D878" s="256"/>
      <c r="E878" s="132"/>
      <c r="F878" s="137"/>
      <c r="G878" s="137"/>
      <c r="H878" s="132"/>
      <c r="I878" s="257"/>
      <c r="J878" s="137"/>
      <c r="K878" s="137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</row>
    <row r="879">
      <c r="A879" s="132"/>
      <c r="B879" s="254"/>
      <c r="C879" s="255"/>
      <c r="D879" s="256"/>
      <c r="E879" s="132"/>
      <c r="F879" s="137"/>
      <c r="G879" s="137"/>
      <c r="H879" s="132"/>
      <c r="I879" s="257"/>
      <c r="J879" s="137"/>
      <c r="K879" s="137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</row>
    <row r="880">
      <c r="A880" s="132"/>
      <c r="B880" s="254"/>
      <c r="C880" s="255"/>
      <c r="D880" s="256"/>
      <c r="E880" s="132"/>
      <c r="F880" s="137"/>
      <c r="G880" s="137"/>
      <c r="H880" s="132"/>
      <c r="I880" s="257"/>
      <c r="J880" s="137"/>
      <c r="K880" s="137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</row>
    <row r="881">
      <c r="A881" s="132"/>
      <c r="B881" s="254"/>
      <c r="C881" s="255"/>
      <c r="D881" s="256"/>
      <c r="E881" s="132"/>
      <c r="F881" s="137"/>
      <c r="G881" s="137"/>
      <c r="H881" s="132"/>
      <c r="I881" s="257"/>
      <c r="J881" s="137"/>
      <c r="K881" s="137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</row>
    <row r="882">
      <c r="A882" s="132"/>
      <c r="B882" s="254"/>
      <c r="C882" s="255"/>
      <c r="D882" s="256"/>
      <c r="E882" s="132"/>
      <c r="F882" s="137"/>
      <c r="G882" s="137"/>
      <c r="H882" s="132"/>
      <c r="I882" s="257"/>
      <c r="J882" s="137"/>
      <c r="K882" s="137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</row>
    <row r="883">
      <c r="A883" s="132"/>
      <c r="B883" s="254"/>
      <c r="C883" s="255"/>
      <c r="D883" s="256"/>
      <c r="E883" s="132"/>
      <c r="F883" s="137"/>
      <c r="G883" s="137"/>
      <c r="H883" s="132"/>
      <c r="I883" s="257"/>
      <c r="J883" s="137"/>
      <c r="K883" s="137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</row>
    <row r="884">
      <c r="A884" s="132"/>
      <c r="B884" s="254"/>
      <c r="C884" s="255"/>
      <c r="D884" s="256"/>
      <c r="E884" s="132"/>
      <c r="F884" s="137"/>
      <c r="G884" s="137"/>
      <c r="H884" s="132"/>
      <c r="I884" s="257"/>
      <c r="J884" s="137"/>
      <c r="K884" s="137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</row>
    <row r="885">
      <c r="A885" s="132"/>
      <c r="B885" s="254"/>
      <c r="C885" s="255"/>
      <c r="D885" s="256"/>
      <c r="E885" s="132"/>
      <c r="F885" s="137"/>
      <c r="G885" s="137"/>
      <c r="H885" s="132"/>
      <c r="I885" s="257"/>
      <c r="J885" s="137"/>
      <c r="K885" s="137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</row>
    <row r="886">
      <c r="A886" s="132"/>
      <c r="B886" s="254"/>
      <c r="C886" s="255"/>
      <c r="D886" s="256"/>
      <c r="E886" s="132"/>
      <c r="F886" s="137"/>
      <c r="G886" s="137"/>
      <c r="H886" s="132"/>
      <c r="I886" s="257"/>
      <c r="J886" s="137"/>
      <c r="K886" s="137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</row>
    <row r="887">
      <c r="A887" s="132"/>
      <c r="B887" s="254"/>
      <c r="C887" s="255"/>
      <c r="D887" s="256"/>
      <c r="E887" s="132"/>
      <c r="F887" s="137"/>
      <c r="G887" s="137"/>
      <c r="H887" s="132"/>
      <c r="I887" s="257"/>
      <c r="J887" s="137"/>
      <c r="K887" s="137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</row>
    <row r="888">
      <c r="A888" s="132"/>
      <c r="B888" s="254"/>
      <c r="C888" s="255"/>
      <c r="D888" s="256"/>
      <c r="E888" s="132"/>
      <c r="F888" s="137"/>
      <c r="G888" s="137"/>
      <c r="H888" s="132"/>
      <c r="I888" s="257"/>
      <c r="J888" s="137"/>
      <c r="K888" s="137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</row>
    <row r="889">
      <c r="A889" s="132"/>
      <c r="B889" s="254"/>
      <c r="C889" s="255"/>
      <c r="D889" s="256"/>
      <c r="E889" s="132"/>
      <c r="F889" s="137"/>
      <c r="G889" s="137"/>
      <c r="H889" s="132"/>
      <c r="I889" s="257"/>
      <c r="J889" s="137"/>
      <c r="K889" s="137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</row>
    <row r="890">
      <c r="A890" s="132"/>
      <c r="B890" s="254"/>
      <c r="C890" s="255"/>
      <c r="D890" s="256"/>
      <c r="E890" s="132"/>
      <c r="F890" s="137"/>
      <c r="G890" s="137"/>
      <c r="H890" s="132"/>
      <c r="I890" s="257"/>
      <c r="J890" s="137"/>
      <c r="K890" s="137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</row>
    <row r="891">
      <c r="A891" s="132"/>
      <c r="B891" s="254"/>
      <c r="C891" s="255"/>
      <c r="D891" s="256"/>
      <c r="E891" s="132"/>
      <c r="F891" s="137"/>
      <c r="G891" s="137"/>
      <c r="H891" s="132"/>
      <c r="I891" s="257"/>
      <c r="J891" s="137"/>
      <c r="K891" s="137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</row>
    <row r="892">
      <c r="A892" s="132"/>
      <c r="B892" s="254"/>
      <c r="C892" s="255"/>
      <c r="D892" s="256"/>
      <c r="E892" s="132"/>
      <c r="F892" s="137"/>
      <c r="G892" s="137"/>
      <c r="H892" s="132"/>
      <c r="I892" s="257"/>
      <c r="J892" s="137"/>
      <c r="K892" s="137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</row>
    <row r="893">
      <c r="A893" s="132"/>
      <c r="B893" s="254"/>
      <c r="C893" s="255"/>
      <c r="D893" s="256"/>
      <c r="E893" s="132"/>
      <c r="F893" s="137"/>
      <c r="G893" s="137"/>
      <c r="H893" s="132"/>
      <c r="I893" s="257"/>
      <c r="J893" s="137"/>
      <c r="K893" s="137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</row>
    <row r="894">
      <c r="A894" s="132"/>
      <c r="B894" s="254"/>
      <c r="C894" s="255"/>
      <c r="D894" s="256"/>
      <c r="E894" s="132"/>
      <c r="F894" s="137"/>
      <c r="G894" s="137"/>
      <c r="H894" s="132"/>
      <c r="I894" s="257"/>
      <c r="J894" s="137"/>
      <c r="K894" s="137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</row>
    <row r="895">
      <c r="A895" s="132"/>
      <c r="B895" s="254"/>
      <c r="C895" s="255"/>
      <c r="D895" s="256"/>
      <c r="E895" s="132"/>
      <c r="F895" s="137"/>
      <c r="G895" s="137"/>
      <c r="H895" s="132"/>
      <c r="I895" s="257"/>
      <c r="J895" s="137"/>
      <c r="K895" s="137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</row>
    <row r="896">
      <c r="A896" s="132"/>
      <c r="B896" s="254"/>
      <c r="C896" s="255"/>
      <c r="D896" s="256"/>
      <c r="E896" s="132"/>
      <c r="F896" s="137"/>
      <c r="G896" s="137"/>
      <c r="H896" s="132"/>
      <c r="I896" s="257"/>
      <c r="J896" s="137"/>
      <c r="K896" s="137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</row>
    <row r="897">
      <c r="A897" s="132"/>
      <c r="B897" s="254"/>
      <c r="C897" s="255"/>
      <c r="D897" s="256"/>
      <c r="E897" s="132"/>
      <c r="F897" s="137"/>
      <c r="G897" s="137"/>
      <c r="H897" s="132"/>
      <c r="I897" s="257"/>
      <c r="J897" s="137"/>
      <c r="K897" s="137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</row>
    <row r="898">
      <c r="A898" s="132"/>
      <c r="B898" s="254"/>
      <c r="C898" s="255"/>
      <c r="D898" s="256"/>
      <c r="E898" s="132"/>
      <c r="F898" s="137"/>
      <c r="G898" s="137"/>
      <c r="H898" s="132"/>
      <c r="I898" s="257"/>
      <c r="J898" s="137"/>
      <c r="K898" s="137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</row>
    <row r="899">
      <c r="A899" s="132"/>
      <c r="B899" s="254"/>
      <c r="C899" s="255"/>
      <c r="D899" s="256"/>
      <c r="E899" s="132"/>
      <c r="F899" s="137"/>
      <c r="G899" s="137"/>
      <c r="H899" s="132"/>
      <c r="I899" s="257"/>
      <c r="J899" s="137"/>
      <c r="K899" s="137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</row>
    <row r="900">
      <c r="A900" s="132"/>
      <c r="B900" s="254"/>
      <c r="C900" s="255"/>
      <c r="D900" s="256"/>
      <c r="E900" s="132"/>
      <c r="F900" s="137"/>
      <c r="G900" s="137"/>
      <c r="H900" s="132"/>
      <c r="I900" s="257"/>
      <c r="J900" s="137"/>
      <c r="K900" s="137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</row>
    <row r="901">
      <c r="A901" s="132"/>
      <c r="B901" s="254"/>
      <c r="C901" s="255"/>
      <c r="D901" s="256"/>
      <c r="E901" s="132"/>
      <c r="F901" s="137"/>
      <c r="G901" s="137"/>
      <c r="H901" s="132"/>
      <c r="I901" s="257"/>
      <c r="J901" s="137"/>
      <c r="K901" s="137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</row>
    <row r="902">
      <c r="A902" s="132"/>
      <c r="B902" s="254"/>
      <c r="C902" s="255"/>
      <c r="D902" s="256"/>
      <c r="E902" s="132"/>
      <c r="F902" s="137"/>
      <c r="G902" s="137"/>
      <c r="H902" s="132"/>
      <c r="I902" s="257"/>
      <c r="J902" s="137"/>
      <c r="K902" s="137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</row>
    <row r="903">
      <c r="A903" s="132"/>
      <c r="B903" s="254"/>
      <c r="C903" s="255"/>
      <c r="D903" s="256"/>
      <c r="E903" s="132"/>
      <c r="F903" s="137"/>
      <c r="G903" s="137"/>
      <c r="H903" s="132"/>
      <c r="I903" s="257"/>
      <c r="J903" s="137"/>
      <c r="K903" s="137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</row>
    <row r="904">
      <c r="A904" s="132"/>
      <c r="B904" s="254"/>
      <c r="C904" s="255"/>
      <c r="D904" s="256"/>
      <c r="E904" s="132"/>
      <c r="F904" s="137"/>
      <c r="G904" s="137"/>
      <c r="H904" s="132"/>
      <c r="I904" s="257"/>
      <c r="J904" s="137"/>
      <c r="K904" s="137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</row>
    <row r="905">
      <c r="A905" s="132"/>
      <c r="B905" s="254"/>
      <c r="C905" s="255"/>
      <c r="D905" s="256"/>
      <c r="E905" s="132"/>
      <c r="F905" s="137"/>
      <c r="G905" s="137"/>
      <c r="H905" s="132"/>
      <c r="I905" s="257"/>
      <c r="J905" s="137"/>
      <c r="K905" s="137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</row>
    <row r="906">
      <c r="A906" s="132"/>
      <c r="B906" s="254"/>
      <c r="C906" s="255"/>
      <c r="D906" s="256"/>
      <c r="E906" s="132"/>
      <c r="F906" s="137"/>
      <c r="G906" s="137"/>
      <c r="H906" s="132"/>
      <c r="I906" s="257"/>
      <c r="J906" s="137"/>
      <c r="K906" s="137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</row>
    <row r="907">
      <c r="A907" s="132"/>
      <c r="B907" s="254"/>
      <c r="C907" s="255"/>
      <c r="D907" s="256"/>
      <c r="E907" s="132"/>
      <c r="F907" s="137"/>
      <c r="G907" s="137"/>
      <c r="H907" s="132"/>
      <c r="I907" s="257"/>
      <c r="J907" s="137"/>
      <c r="K907" s="137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</row>
    <row r="908">
      <c r="A908" s="132"/>
      <c r="B908" s="254"/>
      <c r="C908" s="255"/>
      <c r="D908" s="256"/>
      <c r="E908" s="132"/>
      <c r="F908" s="137"/>
      <c r="G908" s="137"/>
      <c r="H908" s="132"/>
      <c r="I908" s="257"/>
      <c r="J908" s="137"/>
      <c r="K908" s="137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</row>
    <row r="909">
      <c r="A909" s="132"/>
      <c r="B909" s="254"/>
      <c r="C909" s="255"/>
      <c r="D909" s="256"/>
      <c r="E909" s="132"/>
      <c r="F909" s="137"/>
      <c r="G909" s="137"/>
      <c r="H909" s="132"/>
      <c r="I909" s="257"/>
      <c r="J909" s="137"/>
      <c r="K909" s="137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</row>
    <row r="910">
      <c r="A910" s="132"/>
      <c r="B910" s="254"/>
      <c r="C910" s="255"/>
      <c r="D910" s="256"/>
      <c r="E910" s="132"/>
      <c r="F910" s="137"/>
      <c r="G910" s="137"/>
      <c r="H910" s="132"/>
      <c r="I910" s="257"/>
      <c r="J910" s="137"/>
      <c r="K910" s="137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</row>
    <row r="911">
      <c r="A911" s="132"/>
      <c r="B911" s="254"/>
      <c r="C911" s="255"/>
      <c r="D911" s="256"/>
      <c r="E911" s="132"/>
      <c r="F911" s="137"/>
      <c r="G911" s="137"/>
      <c r="H911" s="132"/>
      <c r="I911" s="257"/>
      <c r="J911" s="137"/>
      <c r="K911" s="137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</row>
    <row r="912">
      <c r="A912" s="132"/>
      <c r="B912" s="254"/>
      <c r="C912" s="255"/>
      <c r="D912" s="256"/>
      <c r="E912" s="132"/>
      <c r="F912" s="137"/>
      <c r="G912" s="137"/>
      <c r="H912" s="132"/>
      <c r="I912" s="257"/>
      <c r="J912" s="137"/>
      <c r="K912" s="137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</row>
    <row r="913">
      <c r="A913" s="132"/>
      <c r="B913" s="254"/>
      <c r="C913" s="255"/>
      <c r="D913" s="256"/>
      <c r="E913" s="132"/>
      <c r="F913" s="137"/>
      <c r="G913" s="137"/>
      <c r="H913" s="132"/>
      <c r="I913" s="257"/>
      <c r="J913" s="137"/>
      <c r="K913" s="137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</row>
    <row r="914">
      <c r="A914" s="132"/>
      <c r="B914" s="254"/>
      <c r="C914" s="255"/>
      <c r="D914" s="256"/>
      <c r="E914" s="132"/>
      <c r="F914" s="137"/>
      <c r="G914" s="137"/>
      <c r="H914" s="132"/>
      <c r="I914" s="257"/>
      <c r="J914" s="137"/>
      <c r="K914" s="137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</row>
    <row r="915">
      <c r="A915" s="132"/>
      <c r="B915" s="254"/>
      <c r="C915" s="255"/>
      <c r="D915" s="256"/>
      <c r="E915" s="132"/>
      <c r="F915" s="137"/>
      <c r="G915" s="137"/>
      <c r="H915" s="132"/>
      <c r="I915" s="257"/>
      <c r="J915" s="137"/>
      <c r="K915" s="137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</row>
    <row r="916">
      <c r="A916" s="132"/>
      <c r="B916" s="254"/>
      <c r="C916" s="255"/>
      <c r="D916" s="256"/>
      <c r="E916" s="132"/>
      <c r="F916" s="137"/>
      <c r="G916" s="137"/>
      <c r="H916" s="132"/>
      <c r="I916" s="257"/>
      <c r="J916" s="137"/>
      <c r="K916" s="137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</row>
    <row r="917">
      <c r="A917" s="132"/>
      <c r="B917" s="254"/>
      <c r="C917" s="255"/>
      <c r="D917" s="256"/>
      <c r="E917" s="132"/>
      <c r="F917" s="137"/>
      <c r="G917" s="137"/>
      <c r="H917" s="132"/>
      <c r="I917" s="257"/>
      <c r="J917" s="137"/>
      <c r="K917" s="137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</row>
    <row r="918">
      <c r="A918" s="132"/>
      <c r="B918" s="254"/>
      <c r="C918" s="255"/>
      <c r="D918" s="256"/>
      <c r="E918" s="132"/>
      <c r="F918" s="137"/>
      <c r="G918" s="137"/>
      <c r="H918" s="132"/>
      <c r="I918" s="257"/>
      <c r="J918" s="137"/>
      <c r="K918" s="137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</row>
    <row r="919">
      <c r="A919" s="132"/>
      <c r="B919" s="254"/>
      <c r="C919" s="255"/>
      <c r="D919" s="256"/>
      <c r="E919" s="132"/>
      <c r="F919" s="137"/>
      <c r="G919" s="137"/>
      <c r="H919" s="132"/>
      <c r="I919" s="257"/>
      <c r="J919" s="137"/>
      <c r="K919" s="137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</row>
    <row r="920">
      <c r="A920" s="132"/>
      <c r="B920" s="254"/>
      <c r="C920" s="255"/>
      <c r="D920" s="256"/>
      <c r="E920" s="132"/>
      <c r="F920" s="137"/>
      <c r="G920" s="137"/>
      <c r="H920" s="132"/>
      <c r="I920" s="257"/>
      <c r="J920" s="137"/>
      <c r="K920" s="137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</row>
    <row r="921">
      <c r="A921" s="132"/>
      <c r="B921" s="254"/>
      <c r="C921" s="255"/>
      <c r="D921" s="256"/>
      <c r="E921" s="132"/>
      <c r="F921" s="137"/>
      <c r="G921" s="137"/>
      <c r="H921" s="132"/>
      <c r="I921" s="257"/>
      <c r="J921" s="137"/>
      <c r="K921" s="137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</row>
    <row r="922">
      <c r="A922" s="132"/>
      <c r="B922" s="254"/>
      <c r="C922" s="255"/>
      <c r="D922" s="256"/>
      <c r="E922" s="132"/>
      <c r="F922" s="137"/>
      <c r="G922" s="137"/>
      <c r="H922" s="132"/>
      <c r="I922" s="257"/>
      <c r="J922" s="137"/>
      <c r="K922" s="137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</row>
    <row r="923">
      <c r="A923" s="132"/>
      <c r="B923" s="254"/>
      <c r="C923" s="255"/>
      <c r="D923" s="256"/>
      <c r="E923" s="132"/>
      <c r="F923" s="137"/>
      <c r="G923" s="137"/>
      <c r="H923" s="132"/>
      <c r="I923" s="257"/>
      <c r="J923" s="137"/>
      <c r="K923" s="137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</row>
    <row r="924">
      <c r="A924" s="132"/>
      <c r="B924" s="254"/>
      <c r="C924" s="255"/>
      <c r="D924" s="256"/>
      <c r="E924" s="132"/>
      <c r="F924" s="137"/>
      <c r="G924" s="137"/>
      <c r="H924" s="132"/>
      <c r="I924" s="257"/>
      <c r="J924" s="137"/>
      <c r="K924" s="137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</row>
    <row r="925">
      <c r="A925" s="132"/>
      <c r="B925" s="254"/>
      <c r="C925" s="255"/>
      <c r="D925" s="256"/>
      <c r="E925" s="132"/>
      <c r="F925" s="137"/>
      <c r="G925" s="137"/>
      <c r="H925" s="132"/>
      <c r="I925" s="257"/>
      <c r="J925" s="137"/>
      <c r="K925" s="137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</row>
    <row r="926">
      <c r="A926" s="132"/>
      <c r="B926" s="254"/>
      <c r="C926" s="255"/>
      <c r="D926" s="256"/>
      <c r="E926" s="132"/>
      <c r="F926" s="137"/>
      <c r="G926" s="137"/>
      <c r="H926" s="132"/>
      <c r="I926" s="257"/>
      <c r="J926" s="137"/>
      <c r="K926" s="137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</row>
    <row r="927">
      <c r="A927" s="132"/>
      <c r="B927" s="254"/>
      <c r="C927" s="255"/>
      <c r="D927" s="256"/>
      <c r="E927" s="132"/>
      <c r="F927" s="137"/>
      <c r="G927" s="137"/>
      <c r="H927" s="132"/>
      <c r="I927" s="257"/>
      <c r="J927" s="137"/>
      <c r="K927" s="137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</row>
    <row r="928">
      <c r="A928" s="132"/>
      <c r="B928" s="254"/>
      <c r="C928" s="255"/>
      <c r="D928" s="256"/>
      <c r="E928" s="132"/>
      <c r="F928" s="137"/>
      <c r="G928" s="137"/>
      <c r="H928" s="132"/>
      <c r="I928" s="257"/>
      <c r="J928" s="137"/>
      <c r="K928" s="137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</row>
    <row r="929">
      <c r="A929" s="132"/>
      <c r="B929" s="254"/>
      <c r="C929" s="255"/>
      <c r="D929" s="256"/>
      <c r="E929" s="132"/>
      <c r="F929" s="137"/>
      <c r="G929" s="137"/>
      <c r="H929" s="132"/>
      <c r="I929" s="257"/>
      <c r="J929" s="137"/>
      <c r="K929" s="137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</row>
    <row r="930">
      <c r="A930" s="132"/>
      <c r="B930" s="254"/>
      <c r="C930" s="255"/>
      <c r="D930" s="256"/>
      <c r="E930" s="132"/>
      <c r="F930" s="137"/>
      <c r="G930" s="137"/>
      <c r="H930" s="132"/>
      <c r="I930" s="257"/>
      <c r="J930" s="137"/>
      <c r="K930" s="137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</row>
    <row r="931">
      <c r="A931" s="132"/>
      <c r="B931" s="254"/>
      <c r="C931" s="255"/>
      <c r="D931" s="256"/>
      <c r="E931" s="132"/>
      <c r="F931" s="137"/>
      <c r="G931" s="137"/>
      <c r="H931" s="132"/>
      <c r="I931" s="257"/>
      <c r="J931" s="137"/>
      <c r="K931" s="137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</row>
    <row r="932">
      <c r="A932" s="132"/>
      <c r="B932" s="254"/>
      <c r="C932" s="255"/>
      <c r="D932" s="256"/>
      <c r="E932" s="132"/>
      <c r="F932" s="137"/>
      <c r="G932" s="137"/>
      <c r="H932" s="132"/>
      <c r="I932" s="257"/>
      <c r="J932" s="137"/>
      <c r="K932" s="137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</row>
    <row r="933">
      <c r="A933" s="132"/>
      <c r="B933" s="254"/>
      <c r="C933" s="255"/>
      <c r="D933" s="256"/>
      <c r="E933" s="132"/>
      <c r="F933" s="137"/>
      <c r="G933" s="137"/>
      <c r="H933" s="132"/>
      <c r="I933" s="257"/>
      <c r="J933" s="137"/>
      <c r="K933" s="137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</row>
    <row r="934">
      <c r="A934" s="132"/>
      <c r="B934" s="254"/>
      <c r="C934" s="255"/>
      <c r="D934" s="256"/>
      <c r="E934" s="132"/>
      <c r="F934" s="137"/>
      <c r="G934" s="137"/>
      <c r="H934" s="132"/>
      <c r="I934" s="257"/>
      <c r="J934" s="137"/>
      <c r="K934" s="137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</row>
    <row r="935">
      <c r="A935" s="132"/>
      <c r="B935" s="254"/>
      <c r="C935" s="255"/>
      <c r="D935" s="256"/>
      <c r="E935" s="132"/>
      <c r="F935" s="137"/>
      <c r="G935" s="137"/>
      <c r="H935" s="132"/>
      <c r="I935" s="257"/>
      <c r="J935" s="137"/>
      <c r="K935" s="137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</row>
    <row r="936">
      <c r="A936" s="132"/>
      <c r="B936" s="254"/>
      <c r="C936" s="255"/>
      <c r="D936" s="256"/>
      <c r="E936" s="132"/>
      <c r="F936" s="137"/>
      <c r="G936" s="137"/>
      <c r="H936" s="132"/>
      <c r="I936" s="257"/>
      <c r="J936" s="137"/>
      <c r="K936" s="137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</row>
    <row r="937">
      <c r="A937" s="132"/>
      <c r="B937" s="254"/>
      <c r="C937" s="255"/>
      <c r="D937" s="256"/>
      <c r="E937" s="132"/>
      <c r="F937" s="137"/>
      <c r="G937" s="137"/>
      <c r="H937" s="132"/>
      <c r="I937" s="257"/>
      <c r="J937" s="137"/>
      <c r="K937" s="137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</row>
    <row r="938">
      <c r="A938" s="132"/>
      <c r="B938" s="254"/>
      <c r="C938" s="255"/>
      <c r="D938" s="256"/>
      <c r="E938" s="132"/>
      <c r="F938" s="137"/>
      <c r="G938" s="137"/>
      <c r="H938" s="132"/>
      <c r="I938" s="257"/>
      <c r="J938" s="137"/>
      <c r="K938" s="137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</row>
    <row r="939">
      <c r="A939" s="132"/>
      <c r="B939" s="254"/>
      <c r="C939" s="255"/>
      <c r="D939" s="256"/>
      <c r="E939" s="132"/>
      <c r="F939" s="137"/>
      <c r="G939" s="137"/>
      <c r="H939" s="132"/>
      <c r="I939" s="257"/>
      <c r="J939" s="137"/>
      <c r="K939" s="137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</row>
    <row r="940">
      <c r="A940" s="132"/>
      <c r="B940" s="254"/>
      <c r="C940" s="255"/>
      <c r="D940" s="256"/>
      <c r="E940" s="132"/>
      <c r="F940" s="137"/>
      <c r="G940" s="137"/>
      <c r="H940" s="132"/>
      <c r="I940" s="257"/>
      <c r="J940" s="137"/>
      <c r="K940" s="137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</row>
    <row r="941">
      <c r="A941" s="132"/>
      <c r="B941" s="254"/>
      <c r="C941" s="255"/>
      <c r="D941" s="256"/>
      <c r="E941" s="132"/>
      <c r="F941" s="137"/>
      <c r="G941" s="137"/>
      <c r="H941" s="132"/>
      <c r="I941" s="257"/>
      <c r="J941" s="137"/>
      <c r="K941" s="137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</row>
    <row r="942">
      <c r="A942" s="132"/>
      <c r="B942" s="254"/>
      <c r="C942" s="255"/>
      <c r="D942" s="256"/>
      <c r="E942" s="132"/>
      <c r="F942" s="137"/>
      <c r="G942" s="137"/>
      <c r="H942" s="132"/>
      <c r="I942" s="257"/>
      <c r="J942" s="137"/>
      <c r="K942" s="137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</row>
    <row r="943">
      <c r="A943" s="132"/>
      <c r="B943" s="254"/>
      <c r="C943" s="255"/>
      <c r="D943" s="256"/>
      <c r="E943" s="132"/>
      <c r="F943" s="137"/>
      <c r="G943" s="137"/>
      <c r="H943" s="132"/>
      <c r="I943" s="257"/>
      <c r="J943" s="137"/>
      <c r="K943" s="137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</row>
    <row r="944">
      <c r="A944" s="132"/>
      <c r="B944" s="254"/>
      <c r="C944" s="255"/>
      <c r="D944" s="256"/>
      <c r="E944" s="132"/>
      <c r="F944" s="137"/>
      <c r="G944" s="137"/>
      <c r="H944" s="132"/>
      <c r="I944" s="257"/>
      <c r="J944" s="137"/>
      <c r="K944" s="137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</row>
    <row r="945">
      <c r="A945" s="132"/>
      <c r="B945" s="254"/>
      <c r="C945" s="255"/>
      <c r="D945" s="256"/>
      <c r="E945" s="132"/>
      <c r="F945" s="137"/>
      <c r="G945" s="137"/>
      <c r="H945" s="132"/>
      <c r="I945" s="257"/>
      <c r="J945" s="137"/>
      <c r="K945" s="137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</row>
    <row r="946">
      <c r="A946" s="132"/>
      <c r="B946" s="254"/>
      <c r="C946" s="255"/>
      <c r="D946" s="256"/>
      <c r="E946" s="132"/>
      <c r="F946" s="137"/>
      <c r="G946" s="137"/>
      <c r="H946" s="132"/>
      <c r="I946" s="257"/>
      <c r="J946" s="137"/>
      <c r="K946" s="137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</row>
    <row r="947">
      <c r="A947" s="132"/>
      <c r="B947" s="254"/>
      <c r="C947" s="255"/>
      <c r="D947" s="256"/>
      <c r="E947" s="132"/>
      <c r="F947" s="137"/>
      <c r="G947" s="137"/>
      <c r="H947" s="132"/>
      <c r="I947" s="257"/>
      <c r="J947" s="137"/>
      <c r="K947" s="137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</row>
    <row r="948">
      <c r="A948" s="132"/>
      <c r="B948" s="254"/>
      <c r="C948" s="255"/>
      <c r="D948" s="256"/>
      <c r="E948" s="132"/>
      <c r="F948" s="137"/>
      <c r="G948" s="137"/>
      <c r="H948" s="132"/>
      <c r="I948" s="257"/>
      <c r="J948" s="137"/>
      <c r="K948" s="137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</row>
    <row r="949">
      <c r="A949" s="132"/>
      <c r="B949" s="254"/>
      <c r="C949" s="255"/>
      <c r="D949" s="256"/>
      <c r="E949" s="132"/>
      <c r="F949" s="137"/>
      <c r="G949" s="137"/>
      <c r="H949" s="132"/>
      <c r="I949" s="257"/>
      <c r="J949" s="137"/>
      <c r="K949" s="137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</row>
    <row r="950">
      <c r="A950" s="132"/>
      <c r="B950" s="254"/>
      <c r="C950" s="255"/>
      <c r="D950" s="256"/>
      <c r="E950" s="132"/>
      <c r="F950" s="137"/>
      <c r="G950" s="137"/>
      <c r="H950" s="132"/>
      <c r="I950" s="257"/>
      <c r="J950" s="137"/>
      <c r="K950" s="137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</row>
    <row r="951">
      <c r="A951" s="132"/>
      <c r="B951" s="254"/>
      <c r="C951" s="255"/>
      <c r="D951" s="256"/>
      <c r="E951" s="132"/>
      <c r="F951" s="137"/>
      <c r="G951" s="137"/>
      <c r="H951" s="132"/>
      <c r="I951" s="257"/>
      <c r="J951" s="137"/>
      <c r="K951" s="137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</row>
    <row r="952">
      <c r="A952" s="132"/>
      <c r="B952" s="254"/>
      <c r="C952" s="255"/>
      <c r="D952" s="256"/>
      <c r="E952" s="132"/>
      <c r="F952" s="137"/>
      <c r="G952" s="137"/>
      <c r="H952" s="132"/>
      <c r="I952" s="257"/>
      <c r="J952" s="137"/>
      <c r="K952" s="137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</row>
    <row r="953">
      <c r="A953" s="132"/>
      <c r="B953" s="254"/>
      <c r="C953" s="255"/>
      <c r="D953" s="256"/>
      <c r="E953" s="132"/>
      <c r="F953" s="137"/>
      <c r="G953" s="137"/>
      <c r="H953" s="132"/>
      <c r="I953" s="257"/>
      <c r="J953" s="137"/>
      <c r="K953" s="137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</row>
    <row r="954">
      <c r="A954" s="132"/>
      <c r="B954" s="254"/>
      <c r="C954" s="255"/>
      <c r="D954" s="256"/>
      <c r="E954" s="132"/>
      <c r="F954" s="137"/>
      <c r="G954" s="137"/>
      <c r="H954" s="132"/>
      <c r="I954" s="257"/>
      <c r="J954" s="137"/>
      <c r="K954" s="137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</row>
    <row r="955">
      <c r="A955" s="132"/>
      <c r="B955" s="254"/>
      <c r="C955" s="255"/>
      <c r="D955" s="256"/>
      <c r="E955" s="132"/>
      <c r="F955" s="137"/>
      <c r="G955" s="137"/>
      <c r="H955" s="132"/>
      <c r="I955" s="257"/>
      <c r="J955" s="137"/>
      <c r="K955" s="137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</row>
    <row r="956">
      <c r="A956" s="132"/>
      <c r="B956" s="254"/>
      <c r="C956" s="255"/>
      <c r="D956" s="256"/>
      <c r="E956" s="132"/>
      <c r="F956" s="137"/>
      <c r="G956" s="137"/>
      <c r="H956" s="132"/>
      <c r="I956" s="257"/>
      <c r="J956" s="137"/>
      <c r="K956" s="137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</row>
    <row r="957">
      <c r="A957" s="132"/>
      <c r="B957" s="254"/>
      <c r="C957" s="255"/>
      <c r="D957" s="256"/>
      <c r="E957" s="132"/>
      <c r="F957" s="137"/>
      <c r="G957" s="137"/>
      <c r="H957" s="132"/>
      <c r="I957" s="257"/>
      <c r="J957" s="137"/>
      <c r="K957" s="137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</row>
    <row r="958">
      <c r="A958" s="132"/>
      <c r="B958" s="254"/>
      <c r="C958" s="255"/>
      <c r="D958" s="256"/>
      <c r="E958" s="132"/>
      <c r="F958" s="137"/>
      <c r="G958" s="137"/>
      <c r="H958" s="132"/>
      <c r="I958" s="257"/>
      <c r="J958" s="137"/>
      <c r="K958" s="137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</row>
    <row r="959">
      <c r="A959" s="132"/>
      <c r="B959" s="254"/>
      <c r="C959" s="255"/>
      <c r="D959" s="256"/>
      <c r="E959" s="132"/>
      <c r="F959" s="137"/>
      <c r="G959" s="137"/>
      <c r="H959" s="132"/>
      <c r="I959" s="257"/>
      <c r="J959" s="137"/>
      <c r="K959" s="137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</row>
    <row r="960">
      <c r="A960" s="132"/>
      <c r="B960" s="254"/>
      <c r="C960" s="255"/>
      <c r="D960" s="256"/>
      <c r="E960" s="132"/>
      <c r="F960" s="137"/>
      <c r="G960" s="137"/>
      <c r="H960" s="132"/>
      <c r="I960" s="257"/>
      <c r="J960" s="137"/>
      <c r="K960" s="137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</row>
    <row r="961">
      <c r="A961" s="132"/>
      <c r="B961" s="254"/>
      <c r="C961" s="255"/>
      <c r="D961" s="256"/>
      <c r="E961" s="132"/>
      <c r="F961" s="137"/>
      <c r="G961" s="137"/>
      <c r="H961" s="132"/>
      <c r="I961" s="257"/>
      <c r="J961" s="137"/>
      <c r="K961" s="137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</row>
    <row r="962">
      <c r="A962" s="132"/>
      <c r="B962" s="254"/>
      <c r="C962" s="255"/>
      <c r="D962" s="256"/>
      <c r="E962" s="132"/>
      <c r="F962" s="137"/>
      <c r="G962" s="137"/>
      <c r="H962" s="132"/>
      <c r="I962" s="257"/>
      <c r="J962" s="137"/>
      <c r="K962" s="137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</row>
    <row r="963">
      <c r="A963" s="132"/>
      <c r="B963" s="254"/>
      <c r="C963" s="255"/>
      <c r="D963" s="256"/>
      <c r="E963" s="132"/>
      <c r="F963" s="137"/>
      <c r="G963" s="137"/>
      <c r="H963" s="132"/>
      <c r="I963" s="257"/>
      <c r="J963" s="137"/>
      <c r="K963" s="137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</row>
    <row r="964">
      <c r="A964" s="132"/>
      <c r="B964" s="254"/>
      <c r="C964" s="255"/>
      <c r="D964" s="256"/>
      <c r="E964" s="132"/>
      <c r="F964" s="137"/>
      <c r="G964" s="137"/>
      <c r="H964" s="132"/>
      <c r="I964" s="257"/>
      <c r="J964" s="137"/>
      <c r="K964" s="137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</row>
    <row r="965">
      <c r="A965" s="132"/>
      <c r="B965" s="254"/>
      <c r="C965" s="255"/>
      <c r="D965" s="256"/>
      <c r="E965" s="132"/>
      <c r="F965" s="137"/>
      <c r="G965" s="137"/>
      <c r="H965" s="132"/>
      <c r="I965" s="257"/>
      <c r="J965" s="137"/>
      <c r="K965" s="137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</row>
    <row r="966">
      <c r="A966" s="132"/>
      <c r="B966" s="254"/>
      <c r="C966" s="255"/>
      <c r="D966" s="256"/>
      <c r="E966" s="132"/>
      <c r="F966" s="137"/>
      <c r="G966" s="137"/>
      <c r="H966" s="132"/>
      <c r="I966" s="257"/>
      <c r="J966" s="137"/>
      <c r="K966" s="137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</row>
    <row r="967">
      <c r="A967" s="132"/>
      <c r="B967" s="254"/>
      <c r="C967" s="255"/>
      <c r="D967" s="256"/>
      <c r="E967" s="132"/>
      <c r="F967" s="137"/>
      <c r="G967" s="137"/>
      <c r="H967" s="132"/>
      <c r="I967" s="257"/>
      <c r="J967" s="137"/>
      <c r="K967" s="137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</row>
    <row r="968">
      <c r="A968" s="132"/>
      <c r="B968" s="254"/>
      <c r="C968" s="255"/>
      <c r="D968" s="256"/>
      <c r="E968" s="132"/>
      <c r="F968" s="137"/>
      <c r="G968" s="137"/>
      <c r="H968" s="132"/>
      <c r="I968" s="257"/>
      <c r="J968" s="137"/>
      <c r="K968" s="137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</row>
    <row r="969">
      <c r="A969" s="132"/>
      <c r="B969" s="254"/>
      <c r="C969" s="255"/>
      <c r="D969" s="256"/>
      <c r="E969" s="132"/>
      <c r="F969" s="137"/>
      <c r="G969" s="137"/>
      <c r="H969" s="132"/>
      <c r="I969" s="257"/>
      <c r="J969" s="137"/>
      <c r="K969" s="137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</row>
    <row r="970">
      <c r="A970" s="132"/>
      <c r="B970" s="254"/>
      <c r="C970" s="255"/>
      <c r="D970" s="256"/>
      <c r="E970" s="132"/>
      <c r="F970" s="137"/>
      <c r="G970" s="137"/>
      <c r="H970" s="132"/>
      <c r="I970" s="257"/>
      <c r="J970" s="137"/>
      <c r="K970" s="137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</row>
    <row r="971">
      <c r="A971" s="132"/>
      <c r="B971" s="254"/>
      <c r="C971" s="255"/>
      <c r="D971" s="256"/>
      <c r="E971" s="132"/>
      <c r="F971" s="137"/>
      <c r="G971" s="137"/>
      <c r="H971" s="132"/>
      <c r="I971" s="257"/>
      <c r="J971" s="137"/>
      <c r="K971" s="137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</row>
    <row r="972">
      <c r="A972" s="132"/>
      <c r="B972" s="254"/>
      <c r="C972" s="255"/>
      <c r="D972" s="256"/>
      <c r="E972" s="132"/>
      <c r="F972" s="137"/>
      <c r="G972" s="137"/>
      <c r="H972" s="132"/>
      <c r="I972" s="257"/>
      <c r="J972" s="137"/>
      <c r="K972" s="137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</row>
    <row r="973">
      <c r="A973" s="132"/>
      <c r="B973" s="254"/>
      <c r="C973" s="255"/>
      <c r="D973" s="256"/>
      <c r="E973" s="132"/>
      <c r="F973" s="137"/>
      <c r="G973" s="137"/>
      <c r="H973" s="132"/>
      <c r="I973" s="257"/>
      <c r="J973" s="137"/>
      <c r="K973" s="137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</row>
    <row r="974">
      <c r="A974" s="132"/>
      <c r="B974" s="254"/>
      <c r="C974" s="255"/>
      <c r="D974" s="256"/>
      <c r="E974" s="132"/>
      <c r="F974" s="137"/>
      <c r="G974" s="137"/>
      <c r="H974" s="132"/>
      <c r="I974" s="257"/>
      <c r="J974" s="137"/>
      <c r="K974" s="137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</row>
    <row r="975">
      <c r="A975" s="132"/>
      <c r="B975" s="254"/>
      <c r="C975" s="255"/>
      <c r="D975" s="256"/>
      <c r="E975" s="132"/>
      <c r="F975" s="137"/>
      <c r="G975" s="137"/>
      <c r="H975" s="132"/>
      <c r="I975" s="257"/>
      <c r="J975" s="137"/>
      <c r="K975" s="137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</row>
    <row r="976">
      <c r="A976" s="132"/>
      <c r="B976" s="254"/>
      <c r="C976" s="255"/>
      <c r="D976" s="256"/>
      <c r="E976" s="132"/>
      <c r="F976" s="137"/>
      <c r="G976" s="137"/>
      <c r="H976" s="132"/>
      <c r="I976" s="257"/>
      <c r="J976" s="137"/>
      <c r="K976" s="137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</row>
    <row r="977">
      <c r="A977" s="132"/>
      <c r="B977" s="254"/>
      <c r="C977" s="255"/>
      <c r="D977" s="256"/>
      <c r="E977" s="132"/>
      <c r="F977" s="137"/>
      <c r="G977" s="137"/>
      <c r="H977" s="132"/>
      <c r="I977" s="257"/>
      <c r="J977" s="137"/>
      <c r="K977" s="137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</row>
    <row r="978">
      <c r="A978" s="132"/>
      <c r="B978" s="254"/>
      <c r="C978" s="255"/>
      <c r="D978" s="256"/>
      <c r="E978" s="132"/>
      <c r="F978" s="137"/>
      <c r="G978" s="137"/>
      <c r="H978" s="132"/>
      <c r="I978" s="257"/>
      <c r="J978" s="137"/>
      <c r="K978" s="137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</row>
    <row r="979">
      <c r="A979" s="132"/>
      <c r="B979" s="254"/>
      <c r="C979" s="255"/>
      <c r="D979" s="256"/>
      <c r="E979" s="132"/>
      <c r="F979" s="137"/>
      <c r="G979" s="137"/>
      <c r="H979" s="132"/>
      <c r="I979" s="257"/>
      <c r="J979" s="137"/>
      <c r="K979" s="137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</row>
    <row r="980">
      <c r="A980" s="132"/>
      <c r="B980" s="254"/>
      <c r="C980" s="255"/>
      <c r="D980" s="256"/>
      <c r="E980" s="132"/>
      <c r="F980" s="137"/>
      <c r="G980" s="137"/>
      <c r="H980" s="132"/>
      <c r="I980" s="257"/>
      <c r="J980" s="137"/>
      <c r="K980" s="137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</row>
    <row r="981">
      <c r="A981" s="132"/>
      <c r="B981" s="254"/>
      <c r="C981" s="255"/>
      <c r="D981" s="256"/>
      <c r="E981" s="132"/>
      <c r="F981" s="137"/>
      <c r="G981" s="137"/>
      <c r="H981" s="132"/>
      <c r="I981" s="257"/>
      <c r="J981" s="137"/>
      <c r="K981" s="137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</row>
    <row r="982">
      <c r="A982" s="132"/>
      <c r="B982" s="254"/>
      <c r="C982" s="255"/>
      <c r="D982" s="256"/>
      <c r="E982" s="132"/>
      <c r="F982" s="137"/>
      <c r="G982" s="137"/>
      <c r="H982" s="132"/>
      <c r="I982" s="257"/>
      <c r="J982" s="137"/>
      <c r="K982" s="137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</row>
    <row r="983">
      <c r="A983" s="132"/>
      <c r="B983" s="254"/>
      <c r="C983" s="255"/>
      <c r="D983" s="256"/>
      <c r="E983" s="132"/>
      <c r="F983" s="137"/>
      <c r="G983" s="137"/>
      <c r="H983" s="132"/>
      <c r="I983" s="257"/>
      <c r="J983" s="137"/>
      <c r="K983" s="137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</row>
    <row r="984">
      <c r="A984" s="132"/>
      <c r="B984" s="254"/>
      <c r="C984" s="255"/>
      <c r="D984" s="256"/>
      <c r="E984" s="132"/>
      <c r="F984" s="137"/>
      <c r="G984" s="137"/>
      <c r="H984" s="132"/>
      <c r="I984" s="257"/>
      <c r="J984" s="137"/>
      <c r="K984" s="137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</row>
    <row r="985">
      <c r="A985" s="132"/>
      <c r="B985" s="254"/>
      <c r="C985" s="255"/>
      <c r="D985" s="256"/>
      <c r="E985" s="132"/>
      <c r="F985" s="137"/>
      <c r="G985" s="137"/>
      <c r="H985" s="132"/>
      <c r="I985" s="257"/>
      <c r="J985" s="137"/>
      <c r="K985" s="137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</row>
    <row r="986">
      <c r="A986" s="132"/>
      <c r="B986" s="254"/>
      <c r="C986" s="255"/>
      <c r="D986" s="256"/>
      <c r="E986" s="132"/>
      <c r="F986" s="137"/>
      <c r="G986" s="137"/>
      <c r="H986" s="132"/>
      <c r="I986" s="257"/>
      <c r="J986" s="137"/>
      <c r="K986" s="137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</row>
    <row r="987">
      <c r="A987" s="132"/>
      <c r="B987" s="254"/>
      <c r="C987" s="255"/>
      <c r="D987" s="256"/>
      <c r="E987" s="132"/>
      <c r="F987" s="137"/>
      <c r="G987" s="137"/>
      <c r="H987" s="132"/>
      <c r="I987" s="257"/>
      <c r="J987" s="137"/>
      <c r="K987" s="137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</row>
    <row r="988">
      <c r="A988" s="132"/>
      <c r="B988" s="254"/>
      <c r="C988" s="255"/>
      <c r="D988" s="256"/>
      <c r="E988" s="132"/>
      <c r="F988" s="137"/>
      <c r="G988" s="137"/>
      <c r="H988" s="132"/>
      <c r="I988" s="257"/>
      <c r="J988" s="137"/>
      <c r="K988" s="137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</row>
    <row r="989">
      <c r="A989" s="132"/>
      <c r="B989" s="254"/>
      <c r="C989" s="255"/>
      <c r="D989" s="256"/>
      <c r="E989" s="132"/>
      <c r="F989" s="137"/>
      <c r="G989" s="137"/>
      <c r="H989" s="132"/>
      <c r="I989" s="257"/>
      <c r="J989" s="137"/>
      <c r="K989" s="137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</row>
    <row r="990">
      <c r="A990" s="132"/>
      <c r="B990" s="254"/>
      <c r="C990" s="255"/>
      <c r="D990" s="256"/>
      <c r="E990" s="132"/>
      <c r="F990" s="137"/>
      <c r="G990" s="137"/>
      <c r="H990" s="132"/>
      <c r="I990" s="257"/>
      <c r="J990" s="137"/>
      <c r="K990" s="137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</row>
    <row r="991">
      <c r="A991" s="132"/>
      <c r="B991" s="254"/>
      <c r="C991" s="255"/>
      <c r="D991" s="256"/>
      <c r="E991" s="132"/>
      <c r="F991" s="137"/>
      <c r="G991" s="137"/>
      <c r="H991" s="132"/>
      <c r="I991" s="257"/>
      <c r="J991" s="137"/>
      <c r="K991" s="137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</row>
    <row r="992">
      <c r="A992" s="132"/>
      <c r="B992" s="254"/>
      <c r="C992" s="255"/>
      <c r="D992" s="256"/>
      <c r="E992" s="132"/>
      <c r="F992" s="137"/>
      <c r="G992" s="137"/>
      <c r="H992" s="132"/>
      <c r="I992" s="257"/>
      <c r="J992" s="137"/>
      <c r="K992" s="137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</row>
    <row r="993">
      <c r="A993" s="132"/>
      <c r="B993" s="254"/>
      <c r="C993" s="255"/>
      <c r="D993" s="256"/>
      <c r="E993" s="132"/>
      <c r="F993" s="137"/>
      <c r="G993" s="137"/>
      <c r="H993" s="132"/>
      <c r="I993" s="257"/>
      <c r="J993" s="137"/>
      <c r="K993" s="137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</row>
    <row r="994">
      <c r="A994" s="132"/>
      <c r="B994" s="254"/>
      <c r="C994" s="255"/>
      <c r="D994" s="256"/>
      <c r="E994" s="132"/>
      <c r="F994" s="137"/>
      <c r="G994" s="137"/>
      <c r="H994" s="132"/>
      <c r="I994" s="257"/>
      <c r="J994" s="137"/>
      <c r="K994" s="137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</row>
    <row r="995">
      <c r="A995" s="132"/>
      <c r="B995" s="254"/>
      <c r="C995" s="255"/>
      <c r="D995" s="256"/>
      <c r="E995" s="132"/>
      <c r="F995" s="137"/>
      <c r="G995" s="137"/>
      <c r="H995" s="132"/>
      <c r="I995" s="257"/>
      <c r="J995" s="137"/>
      <c r="K995" s="137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</row>
    <row r="996">
      <c r="A996" s="132"/>
      <c r="B996" s="254"/>
      <c r="C996" s="255"/>
      <c r="D996" s="256"/>
      <c r="E996" s="132"/>
      <c r="F996" s="137"/>
      <c r="G996" s="137"/>
      <c r="H996" s="132"/>
      <c r="I996" s="257"/>
      <c r="J996" s="137"/>
      <c r="K996" s="137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</row>
    <row r="997">
      <c r="A997" s="132"/>
      <c r="B997" s="254"/>
      <c r="C997" s="255"/>
      <c r="D997" s="256"/>
      <c r="E997" s="132"/>
      <c r="F997" s="137"/>
      <c r="G997" s="137"/>
      <c r="H997" s="132"/>
      <c r="I997" s="257"/>
      <c r="J997" s="137"/>
      <c r="K997" s="137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</row>
    <row r="998">
      <c r="A998" s="132"/>
      <c r="B998" s="254"/>
      <c r="C998" s="255"/>
      <c r="D998" s="256"/>
      <c r="E998" s="132"/>
      <c r="F998" s="137"/>
      <c r="G998" s="137"/>
      <c r="H998" s="132"/>
      <c r="I998" s="257"/>
      <c r="J998" s="137"/>
      <c r="K998" s="137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</row>
    <row r="999">
      <c r="A999" s="132"/>
      <c r="B999" s="254"/>
      <c r="C999" s="255"/>
      <c r="D999" s="256"/>
      <c r="E999" s="132"/>
      <c r="F999" s="137"/>
      <c r="G999" s="137"/>
      <c r="H999" s="132"/>
      <c r="I999" s="257"/>
      <c r="J999" s="137"/>
      <c r="K999" s="137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</row>
    <row r="1000">
      <c r="A1000" s="132"/>
      <c r="B1000" s="254"/>
      <c r="C1000" s="255"/>
      <c r="D1000" s="256"/>
      <c r="E1000" s="132"/>
      <c r="F1000" s="137"/>
      <c r="G1000" s="137"/>
      <c r="H1000" s="132"/>
      <c r="I1000" s="257"/>
      <c r="J1000" s="137"/>
      <c r="K1000" s="137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</row>
    <row r="1001">
      <c r="A1001" s="132"/>
      <c r="B1001" s="254"/>
      <c r="C1001" s="255"/>
      <c r="D1001" s="256"/>
      <c r="E1001" s="132"/>
      <c r="F1001" s="137"/>
      <c r="G1001" s="137"/>
      <c r="H1001" s="132"/>
      <c r="I1001" s="257"/>
      <c r="J1001" s="137"/>
      <c r="K1001" s="137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</row>
    <row r="1002">
      <c r="A1002" s="132"/>
      <c r="B1002" s="254"/>
      <c r="C1002" s="255"/>
      <c r="D1002" s="256"/>
      <c r="E1002" s="132"/>
      <c r="F1002" s="137"/>
      <c r="G1002" s="137"/>
      <c r="H1002" s="132"/>
      <c r="I1002" s="257"/>
      <c r="J1002" s="137"/>
      <c r="K1002" s="137"/>
      <c r="L1002" s="132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</row>
  </sheetData>
  <conditionalFormatting sqref="I1:I1002">
    <cfRule type="cellIs" dxfId="6" priority="1" operator="greaterThan">
      <formula>0</formula>
    </cfRule>
  </conditionalFormatting>
  <printOptions gridLines="1" horizontalCentered="1"/>
  <pageMargins bottom="0.75" footer="0.0" header="0.0" left="0.25" right="0.25" top="0.75"/>
  <pageSetup paperSize="3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24"/>
      <c r="B1" s="145">
        <v>2025.0</v>
      </c>
      <c r="C1" s="145"/>
      <c r="D1" s="146">
        <v>2024.0</v>
      </c>
      <c r="E1" s="146"/>
      <c r="F1" s="49"/>
      <c r="G1" s="147"/>
    </row>
    <row r="2">
      <c r="A2" s="124"/>
      <c r="B2" s="148" t="s">
        <v>115</v>
      </c>
      <c r="C2" s="148" t="s">
        <v>116</v>
      </c>
      <c r="D2" s="149" t="s">
        <v>115</v>
      </c>
      <c r="E2" s="149" t="s">
        <v>116</v>
      </c>
      <c r="F2" s="49"/>
      <c r="G2" s="147"/>
    </row>
    <row r="3">
      <c r="A3" s="11" t="s">
        <v>117</v>
      </c>
      <c r="B3" s="121">
        <v>1.0</v>
      </c>
      <c r="C3" s="121">
        <v>10.5</v>
      </c>
      <c r="D3" s="150">
        <v>1.0</v>
      </c>
      <c r="E3" s="150">
        <v>1.35</v>
      </c>
      <c r="F3" s="121">
        <f t="shared" ref="F3:F45" si="1">C3-E3</f>
        <v>9.15</v>
      </c>
    </row>
    <row r="4">
      <c r="A4" s="129" t="s">
        <v>118</v>
      </c>
      <c r="B4" s="151">
        <v>1.0</v>
      </c>
      <c r="C4" s="151">
        <v>38.0</v>
      </c>
      <c r="D4" s="150">
        <v>1.0</v>
      </c>
      <c r="E4" s="150">
        <v>22.0</v>
      </c>
      <c r="F4" s="151">
        <f t="shared" si="1"/>
        <v>16</v>
      </c>
    </row>
    <row r="5">
      <c r="A5" s="11" t="s">
        <v>119</v>
      </c>
      <c r="B5" s="143">
        <v>0.5</v>
      </c>
      <c r="C5" s="143">
        <v>25.9</v>
      </c>
      <c r="D5" s="150">
        <v>0.5</v>
      </c>
      <c r="E5" s="150">
        <f>44.5/2</f>
        <v>22.25</v>
      </c>
      <c r="F5" s="121">
        <f t="shared" si="1"/>
        <v>3.65</v>
      </c>
      <c r="G5" s="147"/>
    </row>
    <row r="6">
      <c r="A6" s="129" t="s">
        <v>120</v>
      </c>
      <c r="B6" s="151">
        <v>1.0</v>
      </c>
      <c r="C6" s="151">
        <v>51.5</v>
      </c>
      <c r="D6" s="150">
        <v>1.0</v>
      </c>
      <c r="E6" s="150">
        <v>39.0</v>
      </c>
      <c r="F6" s="151">
        <f t="shared" si="1"/>
        <v>12.5</v>
      </c>
      <c r="G6" s="147"/>
      <c r="I6" s="152"/>
    </row>
    <row r="7">
      <c r="A7" s="129" t="s">
        <v>121</v>
      </c>
      <c r="B7" s="121">
        <v>1.0</v>
      </c>
      <c r="C7" s="121">
        <v>30.0</v>
      </c>
      <c r="D7" s="150">
        <v>1.0</v>
      </c>
      <c r="E7" s="150">
        <v>25.0</v>
      </c>
      <c r="F7" s="121">
        <f t="shared" si="1"/>
        <v>5</v>
      </c>
      <c r="G7" s="147"/>
    </row>
    <row r="8">
      <c r="A8" s="11" t="s">
        <v>122</v>
      </c>
      <c r="B8" s="143">
        <v>125.0</v>
      </c>
      <c r="C8" s="143">
        <v>22.01</v>
      </c>
      <c r="D8" s="150">
        <v>125.0</v>
      </c>
      <c r="E8" s="150">
        <v>22.01</v>
      </c>
      <c r="F8" s="121">
        <f t="shared" si="1"/>
        <v>0</v>
      </c>
      <c r="G8" s="147"/>
    </row>
    <row r="9">
      <c r="A9" s="11" t="s">
        <v>123</v>
      </c>
      <c r="B9" s="143">
        <v>160.0</v>
      </c>
      <c r="C9" s="143">
        <v>27.0</v>
      </c>
      <c r="D9" s="150">
        <v>160.0</v>
      </c>
      <c r="E9" s="150">
        <v>27.0</v>
      </c>
      <c r="F9" s="121">
        <f t="shared" si="1"/>
        <v>0</v>
      </c>
      <c r="G9" s="147"/>
    </row>
    <row r="10">
      <c r="A10" s="11" t="s">
        <v>124</v>
      </c>
      <c r="B10" s="143">
        <v>500.0</v>
      </c>
      <c r="C10" s="143">
        <v>85.0</v>
      </c>
      <c r="D10" s="150">
        <v>500.0</v>
      </c>
      <c r="E10" s="150">
        <v>85.0</v>
      </c>
      <c r="F10" s="121">
        <f t="shared" si="1"/>
        <v>0</v>
      </c>
      <c r="G10" s="147"/>
    </row>
    <row r="11">
      <c r="A11" s="11" t="s">
        <v>125</v>
      </c>
      <c r="B11" s="143">
        <v>400.0</v>
      </c>
      <c r="C11" s="143">
        <v>95.0</v>
      </c>
      <c r="D11" s="150">
        <v>400.0</v>
      </c>
      <c r="E11" s="150">
        <v>95.0</v>
      </c>
      <c r="F11" s="121">
        <f t="shared" si="1"/>
        <v>0</v>
      </c>
      <c r="G11" s="147"/>
    </row>
    <row r="12">
      <c r="A12" s="11" t="s">
        <v>126</v>
      </c>
      <c r="B12" s="143">
        <v>400.0</v>
      </c>
      <c r="C12" s="143">
        <v>125.0</v>
      </c>
      <c r="D12" s="150">
        <v>400.0</v>
      </c>
      <c r="E12" s="150">
        <v>125.0</v>
      </c>
      <c r="F12" s="121">
        <f t="shared" si="1"/>
        <v>0</v>
      </c>
      <c r="G12" s="147"/>
    </row>
    <row r="13">
      <c r="A13" s="11" t="s">
        <v>127</v>
      </c>
      <c r="B13" s="143">
        <v>1.0</v>
      </c>
      <c r="C13" s="143">
        <v>35.0</v>
      </c>
      <c r="D13" s="150">
        <v>1.0</v>
      </c>
      <c r="E13" s="150">
        <v>35.0</v>
      </c>
      <c r="F13" s="121">
        <f t="shared" si="1"/>
        <v>0</v>
      </c>
      <c r="G13" s="147"/>
    </row>
    <row r="14">
      <c r="A14" s="129" t="s">
        <v>128</v>
      </c>
      <c r="B14" s="151">
        <v>0.5</v>
      </c>
      <c r="C14" s="151">
        <v>79.0</v>
      </c>
      <c r="D14" s="150">
        <v>0.5</v>
      </c>
      <c r="E14" s="150">
        <v>54.0</v>
      </c>
      <c r="F14" s="151">
        <f t="shared" si="1"/>
        <v>25</v>
      </c>
      <c r="G14" s="147"/>
    </row>
    <row r="15">
      <c r="A15" s="129" t="s">
        <v>129</v>
      </c>
      <c r="B15" s="151">
        <v>0.5</v>
      </c>
      <c r="C15" s="151">
        <v>69.0</v>
      </c>
      <c r="D15" s="150">
        <v>0.5</v>
      </c>
      <c r="E15" s="150">
        <v>54.58</v>
      </c>
      <c r="F15" s="151">
        <f t="shared" si="1"/>
        <v>14.42</v>
      </c>
      <c r="G15" s="147"/>
    </row>
    <row r="16">
      <c r="A16" s="129" t="s">
        <v>130</v>
      </c>
      <c r="B16" s="151">
        <v>0.5</v>
      </c>
      <c r="C16" s="151">
        <v>122.0</v>
      </c>
      <c r="D16" s="150">
        <v>0.5</v>
      </c>
      <c r="E16" s="150">
        <v>102.62</v>
      </c>
      <c r="F16" s="151">
        <f t="shared" si="1"/>
        <v>19.38</v>
      </c>
      <c r="G16" s="147"/>
    </row>
    <row r="17">
      <c r="A17" s="11" t="s">
        <v>131</v>
      </c>
      <c r="B17" s="143">
        <v>1.0</v>
      </c>
      <c r="C17" s="143">
        <v>68.0</v>
      </c>
      <c r="D17" s="150">
        <v>1.0</v>
      </c>
      <c r="E17" s="150">
        <v>68.0</v>
      </c>
      <c r="F17" s="121">
        <f t="shared" si="1"/>
        <v>0</v>
      </c>
      <c r="G17" s="147"/>
    </row>
    <row r="18">
      <c r="A18" s="11" t="s">
        <v>132</v>
      </c>
      <c r="B18" s="143">
        <v>0.25</v>
      </c>
      <c r="C18" s="143">
        <v>90.0</v>
      </c>
      <c r="D18" s="150">
        <v>0.25</v>
      </c>
      <c r="E18" s="150">
        <v>90.0</v>
      </c>
      <c r="F18" s="121">
        <f t="shared" si="1"/>
        <v>0</v>
      </c>
      <c r="G18" s="147"/>
    </row>
    <row r="19">
      <c r="A19" s="11" t="s">
        <v>133</v>
      </c>
      <c r="B19" s="143">
        <v>1.0</v>
      </c>
      <c r="C19" s="143">
        <v>20.0</v>
      </c>
      <c r="D19" s="150">
        <v>1.0</v>
      </c>
      <c r="E19" s="150">
        <v>20.0</v>
      </c>
      <c r="F19" s="121">
        <f t="shared" si="1"/>
        <v>0</v>
      </c>
      <c r="G19" s="147"/>
    </row>
    <row r="20">
      <c r="A20" s="11" t="s">
        <v>134</v>
      </c>
      <c r="B20" s="153" t="s">
        <v>135</v>
      </c>
      <c r="C20" s="153">
        <v>16.0</v>
      </c>
      <c r="D20" s="154" t="s">
        <v>135</v>
      </c>
      <c r="E20" s="150">
        <v>16.0</v>
      </c>
      <c r="F20" s="121">
        <f t="shared" si="1"/>
        <v>0</v>
      </c>
      <c r="G20" s="147"/>
    </row>
    <row r="21">
      <c r="A21" s="11" t="s">
        <v>136</v>
      </c>
      <c r="B21" s="153" t="s">
        <v>135</v>
      </c>
      <c r="C21" s="153">
        <v>50.0</v>
      </c>
      <c r="D21" s="154" t="s">
        <v>135</v>
      </c>
      <c r="E21" s="150">
        <v>50.0</v>
      </c>
      <c r="F21" s="121">
        <f t="shared" si="1"/>
        <v>0</v>
      </c>
      <c r="G21" s="147"/>
    </row>
    <row r="22">
      <c r="A22" s="129" t="s">
        <v>137</v>
      </c>
      <c r="B22" s="151">
        <v>1.0</v>
      </c>
      <c r="C22" s="151">
        <v>153.125</v>
      </c>
      <c r="D22" s="150">
        <v>1.0</v>
      </c>
      <c r="E22" s="150">
        <v>21.0</v>
      </c>
      <c r="F22" s="151">
        <f t="shared" si="1"/>
        <v>132.125</v>
      </c>
      <c r="G22" s="147"/>
    </row>
    <row r="23">
      <c r="A23" s="129" t="s">
        <v>138</v>
      </c>
      <c r="B23" s="151">
        <v>0.5</v>
      </c>
      <c r="C23" s="155">
        <v>151.47058823529412</v>
      </c>
      <c r="D23" s="150">
        <v>0.5</v>
      </c>
      <c r="E23" s="150">
        <v>50.0</v>
      </c>
      <c r="F23" s="151">
        <f t="shared" si="1"/>
        <v>101.4705882</v>
      </c>
      <c r="G23" s="147"/>
    </row>
    <row r="24">
      <c r="A24" s="11" t="s">
        <v>139</v>
      </c>
      <c r="B24" s="143">
        <v>0.17</v>
      </c>
      <c r="C24" s="143">
        <v>19.5</v>
      </c>
      <c r="D24" s="150">
        <v>0.17</v>
      </c>
      <c r="E24" s="150">
        <v>14.5</v>
      </c>
      <c r="F24" s="121">
        <f t="shared" si="1"/>
        <v>5</v>
      </c>
      <c r="G24" s="147"/>
    </row>
    <row r="25">
      <c r="A25" s="11" t="s">
        <v>140</v>
      </c>
      <c r="B25" s="143">
        <v>1.0</v>
      </c>
      <c r="C25" s="143">
        <v>23.0</v>
      </c>
      <c r="D25" s="150">
        <v>1.0</v>
      </c>
      <c r="E25" s="150">
        <f>46/2</f>
        <v>23</v>
      </c>
      <c r="F25" s="121">
        <f t="shared" si="1"/>
        <v>0</v>
      </c>
      <c r="G25" s="147"/>
    </row>
    <row r="26">
      <c r="A26" s="11" t="s">
        <v>141</v>
      </c>
      <c r="B26" s="143">
        <v>30.0</v>
      </c>
      <c r="C26" s="143">
        <v>91.0</v>
      </c>
      <c r="D26" s="150">
        <v>30.0</v>
      </c>
      <c r="E26" s="150">
        <v>91.0</v>
      </c>
      <c r="F26" s="121">
        <f t="shared" si="1"/>
        <v>0</v>
      </c>
      <c r="G26" s="147"/>
    </row>
    <row r="27">
      <c r="A27" s="11" t="s">
        <v>142</v>
      </c>
      <c r="B27" s="143">
        <v>1.0</v>
      </c>
      <c r="C27" s="143">
        <v>28.0</v>
      </c>
      <c r="D27" s="150">
        <v>1.0</v>
      </c>
      <c r="E27" s="150">
        <v>27.9</v>
      </c>
      <c r="F27" s="121">
        <f t="shared" si="1"/>
        <v>0.1</v>
      </c>
      <c r="G27" s="147"/>
    </row>
    <row r="28">
      <c r="A28" s="11" t="s">
        <v>143</v>
      </c>
      <c r="B28" s="143">
        <v>0.375</v>
      </c>
      <c r="C28" s="143">
        <v>31.0</v>
      </c>
      <c r="D28" s="150">
        <v>0.375</v>
      </c>
      <c r="E28" s="150">
        <v>24.0</v>
      </c>
      <c r="F28" s="121">
        <f t="shared" si="1"/>
        <v>7</v>
      </c>
      <c r="G28" s="147"/>
    </row>
    <row r="29">
      <c r="A29" s="129" t="s">
        <v>144</v>
      </c>
      <c r="B29" s="151">
        <v>1.0</v>
      </c>
      <c r="C29" s="155">
        <v>181.52173913043478</v>
      </c>
      <c r="D29" s="150">
        <v>1.0</v>
      </c>
      <c r="E29" s="150">
        <v>86.0</v>
      </c>
      <c r="F29" s="121">
        <f t="shared" si="1"/>
        <v>95.52173913</v>
      </c>
      <c r="G29" s="147"/>
    </row>
    <row r="30">
      <c r="A30" s="11" t="s">
        <v>145</v>
      </c>
      <c r="B30" s="143">
        <v>0.36</v>
      </c>
      <c r="C30" s="143">
        <v>23.5</v>
      </c>
      <c r="D30" s="150">
        <v>0.36</v>
      </c>
      <c r="E30" s="150">
        <v>18.9</v>
      </c>
      <c r="F30" s="121">
        <f t="shared" si="1"/>
        <v>4.6</v>
      </c>
      <c r="G30" s="147"/>
    </row>
    <row r="31">
      <c r="A31" s="11" t="s">
        <v>146</v>
      </c>
      <c r="B31" s="143">
        <v>0.055</v>
      </c>
      <c r="C31" s="143">
        <v>32.0</v>
      </c>
      <c r="D31" s="150">
        <v>0.055</v>
      </c>
      <c r="E31" s="150">
        <v>29.61</v>
      </c>
      <c r="F31" s="121">
        <f t="shared" si="1"/>
        <v>2.39</v>
      </c>
      <c r="G31" s="147"/>
    </row>
    <row r="32">
      <c r="A32" s="11" t="s">
        <v>147</v>
      </c>
      <c r="B32" s="143">
        <v>125.0</v>
      </c>
      <c r="C32" s="143">
        <v>17.01</v>
      </c>
      <c r="D32" s="150">
        <v>125.0</v>
      </c>
      <c r="E32" s="150">
        <v>17.01</v>
      </c>
      <c r="F32" s="121">
        <f t="shared" si="1"/>
        <v>0</v>
      </c>
      <c r="G32" s="147"/>
    </row>
    <row r="33">
      <c r="A33" s="11" t="s">
        <v>148</v>
      </c>
      <c r="B33" s="143">
        <v>1.0</v>
      </c>
      <c r="C33" s="143">
        <v>57.9</v>
      </c>
      <c r="D33" s="150">
        <v>1.0</v>
      </c>
      <c r="E33" s="150">
        <v>50.0</v>
      </c>
      <c r="F33" s="121">
        <f t="shared" si="1"/>
        <v>7.9</v>
      </c>
      <c r="G33" s="147"/>
    </row>
    <row r="34">
      <c r="A34" s="129" t="s">
        <v>149</v>
      </c>
      <c r="B34" s="151">
        <v>1.0</v>
      </c>
      <c r="C34" s="155">
        <v>261.11111111111114</v>
      </c>
      <c r="D34" s="150">
        <v>1.0</v>
      </c>
      <c r="E34" s="150">
        <v>245.0</v>
      </c>
      <c r="F34" s="121">
        <f t="shared" si="1"/>
        <v>16.11111111</v>
      </c>
      <c r="G34" s="147"/>
      <c r="H34" s="156">
        <f>G34*C34</f>
        <v>0</v>
      </c>
    </row>
    <row r="35">
      <c r="A35" s="11" t="s">
        <v>150</v>
      </c>
      <c r="B35" s="121">
        <v>0.225</v>
      </c>
      <c r="C35" s="121">
        <v>20.5</v>
      </c>
      <c r="D35" s="150">
        <v>0.225</v>
      </c>
      <c r="E35" s="150">
        <v>16.9</v>
      </c>
      <c r="F35" s="121">
        <f t="shared" si="1"/>
        <v>3.6</v>
      </c>
      <c r="G35" s="147"/>
    </row>
    <row r="36">
      <c r="A36" s="129" t="s">
        <v>151</v>
      </c>
      <c r="B36" s="151">
        <v>1.0</v>
      </c>
      <c r="C36" s="151">
        <v>274.0</v>
      </c>
      <c r="D36" s="150">
        <v>1.0</v>
      </c>
      <c r="E36" s="150">
        <v>198.0</v>
      </c>
      <c r="F36" s="121">
        <f t="shared" si="1"/>
        <v>76</v>
      </c>
      <c r="G36" s="147"/>
    </row>
    <row r="37">
      <c r="A37" s="11" t="s">
        <v>152</v>
      </c>
      <c r="B37" s="143">
        <v>1.0</v>
      </c>
      <c r="C37" s="143">
        <v>23.0</v>
      </c>
      <c r="D37" s="150">
        <v>1.0</v>
      </c>
      <c r="E37" s="150">
        <v>23.0</v>
      </c>
      <c r="F37" s="121">
        <f t="shared" si="1"/>
        <v>0</v>
      </c>
      <c r="G37" s="147"/>
    </row>
    <row r="38">
      <c r="A38" s="11" t="s">
        <v>153</v>
      </c>
      <c r="B38" s="143">
        <v>1.0</v>
      </c>
      <c r="C38" s="143">
        <v>15.85</v>
      </c>
      <c r="D38" s="150">
        <v>1.0</v>
      </c>
      <c r="E38" s="150">
        <v>15.85</v>
      </c>
      <c r="F38" s="121">
        <f t="shared" si="1"/>
        <v>0</v>
      </c>
      <c r="G38" s="147"/>
    </row>
    <row r="39">
      <c r="A39" s="11" t="s">
        <v>154</v>
      </c>
      <c r="B39" s="143">
        <v>1.0</v>
      </c>
      <c r="C39" s="143">
        <v>24.0</v>
      </c>
      <c r="D39" s="150">
        <v>1.0</v>
      </c>
      <c r="E39" s="150">
        <v>24.0</v>
      </c>
      <c r="F39" s="121">
        <f t="shared" si="1"/>
        <v>0</v>
      </c>
      <c r="G39" s="147"/>
    </row>
    <row r="40">
      <c r="A40" s="11" t="s">
        <v>155</v>
      </c>
      <c r="B40" s="143">
        <v>1.0</v>
      </c>
      <c r="C40" s="143">
        <v>120.0</v>
      </c>
      <c r="D40" s="150">
        <v>1.0</v>
      </c>
      <c r="E40" s="150">
        <v>120.0</v>
      </c>
      <c r="F40" s="121">
        <f t="shared" si="1"/>
        <v>0</v>
      </c>
      <c r="G40" s="147"/>
    </row>
    <row r="41">
      <c r="A41" s="11" t="s">
        <v>156</v>
      </c>
      <c r="B41" s="143">
        <v>1.0</v>
      </c>
      <c r="C41" s="143">
        <v>3.0</v>
      </c>
      <c r="D41" s="150">
        <v>1.0</v>
      </c>
      <c r="E41" s="150">
        <v>3.0</v>
      </c>
      <c r="F41" s="121">
        <f t="shared" si="1"/>
        <v>0</v>
      </c>
      <c r="G41" s="147"/>
    </row>
    <row r="42">
      <c r="A42" s="11" t="s">
        <v>157</v>
      </c>
      <c r="B42" s="143">
        <v>0.65</v>
      </c>
      <c r="C42" s="143">
        <v>14.8</v>
      </c>
      <c r="D42" s="150">
        <v>0.65</v>
      </c>
      <c r="E42" s="150">
        <v>14.8</v>
      </c>
      <c r="F42" s="121">
        <f t="shared" si="1"/>
        <v>0</v>
      </c>
      <c r="G42" s="147"/>
    </row>
    <row r="43">
      <c r="A43" s="11" t="s">
        <v>158</v>
      </c>
      <c r="B43" s="143">
        <v>20.0</v>
      </c>
      <c r="C43" s="143">
        <v>36.0</v>
      </c>
      <c r="D43" s="150">
        <v>20.0</v>
      </c>
      <c r="E43" s="150">
        <v>36.0</v>
      </c>
      <c r="F43" s="121">
        <f t="shared" si="1"/>
        <v>0</v>
      </c>
      <c r="G43" s="147"/>
    </row>
    <row r="44">
      <c r="A44" s="11" t="s">
        <v>159</v>
      </c>
      <c r="B44" s="143">
        <v>0.25</v>
      </c>
      <c r="C44" s="143">
        <v>24.5</v>
      </c>
      <c r="D44" s="150">
        <v>0.25</v>
      </c>
      <c r="E44" s="150">
        <v>24.5</v>
      </c>
      <c r="F44" s="121">
        <f t="shared" si="1"/>
        <v>0</v>
      </c>
      <c r="G44" s="147"/>
    </row>
    <row r="45">
      <c r="A45" s="11" t="s">
        <v>160</v>
      </c>
      <c r="B45" s="143">
        <v>1.0</v>
      </c>
      <c r="C45" s="123">
        <v>57.22222222222222</v>
      </c>
      <c r="D45" s="150">
        <v>1.0</v>
      </c>
      <c r="E45" s="150">
        <v>52.0</v>
      </c>
      <c r="F45" s="121">
        <f t="shared" si="1"/>
        <v>5.222222222</v>
      </c>
      <c r="G45" s="147"/>
    </row>
    <row r="46">
      <c r="B46" s="14"/>
      <c r="C46" s="14"/>
      <c r="D46" s="157"/>
      <c r="E46" s="157"/>
      <c r="F46" s="49"/>
      <c r="G46" s="147"/>
    </row>
    <row r="47">
      <c r="B47" s="14"/>
      <c r="C47" s="14"/>
      <c r="D47" s="157"/>
      <c r="E47" s="157"/>
      <c r="F47" s="49"/>
      <c r="G47" s="147"/>
    </row>
    <row r="48">
      <c r="B48" s="14"/>
      <c r="C48" s="14"/>
      <c r="D48" s="157"/>
      <c r="E48" s="157"/>
      <c r="F48" s="49"/>
      <c r="G48" s="147"/>
    </row>
    <row r="49">
      <c r="B49" s="14"/>
      <c r="C49" s="14"/>
      <c r="D49" s="157"/>
      <c r="E49" s="157"/>
      <c r="F49" s="49"/>
      <c r="G49" s="147"/>
    </row>
    <row r="50">
      <c r="B50" s="14"/>
      <c r="C50" s="14"/>
      <c r="D50" s="157"/>
      <c r="E50" s="157"/>
      <c r="F50" s="49"/>
      <c r="G50" s="147"/>
    </row>
    <row r="51">
      <c r="B51" s="14"/>
      <c r="C51" s="14"/>
      <c r="D51" s="157"/>
      <c r="E51" s="157"/>
      <c r="F51" s="49"/>
      <c r="G51" s="147"/>
    </row>
    <row r="52">
      <c r="B52" s="14"/>
      <c r="C52" s="14"/>
      <c r="D52" s="157"/>
      <c r="E52" s="157"/>
      <c r="F52" s="49"/>
      <c r="G52" s="147"/>
    </row>
    <row r="53">
      <c r="B53" s="14"/>
      <c r="C53" s="14"/>
      <c r="D53" s="157"/>
      <c r="E53" s="157"/>
      <c r="F53" s="49"/>
      <c r="G53" s="147"/>
    </row>
    <row r="54">
      <c r="B54" s="14"/>
      <c r="C54" s="14"/>
      <c r="D54" s="157"/>
      <c r="E54" s="157"/>
      <c r="F54" s="49"/>
      <c r="G54" s="147"/>
    </row>
    <row r="55">
      <c r="B55" s="14"/>
      <c r="C55" s="14"/>
      <c r="D55" s="157"/>
      <c r="E55" s="157"/>
      <c r="F55" s="49"/>
      <c r="G55" s="147"/>
    </row>
    <row r="56">
      <c r="B56" s="14"/>
      <c r="C56" s="14"/>
      <c r="D56" s="157"/>
      <c r="E56" s="157"/>
      <c r="F56" s="49"/>
      <c r="G56" s="147"/>
    </row>
    <row r="57">
      <c r="B57" s="14"/>
      <c r="C57" s="14"/>
      <c r="D57" s="157"/>
      <c r="E57" s="157"/>
      <c r="F57" s="49"/>
      <c r="G57" s="147"/>
    </row>
    <row r="58">
      <c r="B58" s="14"/>
      <c r="C58" s="14"/>
      <c r="D58" s="157"/>
      <c r="E58" s="157"/>
      <c r="F58" s="49"/>
      <c r="G58" s="147"/>
    </row>
    <row r="59">
      <c r="B59" s="14"/>
      <c r="C59" s="14"/>
      <c r="D59" s="157"/>
      <c r="E59" s="157"/>
      <c r="F59" s="49"/>
      <c r="G59" s="147"/>
    </row>
    <row r="60">
      <c r="B60" s="14"/>
      <c r="C60" s="14"/>
      <c r="D60" s="157"/>
      <c r="E60" s="157"/>
      <c r="F60" s="49"/>
      <c r="G60" s="147"/>
    </row>
    <row r="61">
      <c r="B61" s="14"/>
      <c r="C61" s="14"/>
      <c r="D61" s="157"/>
      <c r="E61" s="157"/>
      <c r="F61" s="49"/>
      <c r="G61" s="147"/>
    </row>
    <row r="62">
      <c r="B62" s="14"/>
      <c r="C62" s="14"/>
      <c r="D62" s="157"/>
      <c r="E62" s="157"/>
      <c r="F62" s="49"/>
      <c r="G62" s="147"/>
    </row>
    <row r="63">
      <c r="B63" s="14"/>
      <c r="C63" s="14"/>
      <c r="D63" s="157"/>
      <c r="E63" s="157"/>
      <c r="F63" s="49"/>
      <c r="G63" s="147"/>
    </row>
    <row r="64">
      <c r="B64" s="14"/>
      <c r="C64" s="14"/>
      <c r="D64" s="157"/>
      <c r="E64" s="157"/>
      <c r="F64" s="49"/>
      <c r="G64" s="147"/>
    </row>
    <row r="65">
      <c r="B65" s="14"/>
      <c r="C65" s="14"/>
      <c r="D65" s="157"/>
      <c r="E65" s="157"/>
      <c r="F65" s="49"/>
      <c r="G65" s="147"/>
    </row>
    <row r="66">
      <c r="B66" s="14"/>
      <c r="C66" s="14"/>
      <c r="D66" s="157"/>
      <c r="E66" s="157"/>
      <c r="F66" s="49"/>
      <c r="G66" s="147"/>
    </row>
    <row r="67">
      <c r="B67" s="14"/>
      <c r="C67" s="14"/>
      <c r="D67" s="157"/>
      <c r="E67" s="157"/>
      <c r="F67" s="49"/>
      <c r="G67" s="147"/>
    </row>
    <row r="68">
      <c r="B68" s="14"/>
      <c r="C68" s="14"/>
      <c r="D68" s="157"/>
      <c r="E68" s="157"/>
      <c r="F68" s="49"/>
      <c r="G68" s="147"/>
    </row>
    <row r="69">
      <c r="B69" s="14"/>
      <c r="C69" s="14"/>
      <c r="D69" s="157"/>
      <c r="E69" s="157"/>
      <c r="F69" s="49"/>
      <c r="G69" s="147"/>
    </row>
    <row r="70">
      <c r="B70" s="14"/>
      <c r="C70" s="14"/>
      <c r="D70" s="157"/>
      <c r="E70" s="157"/>
      <c r="F70" s="49"/>
      <c r="G70" s="147"/>
    </row>
    <row r="71">
      <c r="B71" s="14"/>
      <c r="C71" s="14"/>
      <c r="D71" s="157"/>
      <c r="E71" s="157"/>
      <c r="F71" s="49"/>
      <c r="G71" s="147"/>
    </row>
    <row r="72">
      <c r="B72" s="14"/>
      <c r="C72" s="14"/>
      <c r="D72" s="157"/>
      <c r="E72" s="157"/>
      <c r="F72" s="49"/>
      <c r="G72" s="147"/>
    </row>
    <row r="73">
      <c r="B73" s="14"/>
      <c r="C73" s="14"/>
      <c r="D73" s="157"/>
      <c r="E73" s="157"/>
      <c r="F73" s="49"/>
      <c r="G73" s="147"/>
    </row>
    <row r="74">
      <c r="B74" s="14"/>
      <c r="C74" s="14"/>
      <c r="D74" s="157"/>
      <c r="E74" s="157"/>
      <c r="F74" s="49"/>
      <c r="G74" s="147"/>
    </row>
    <row r="75">
      <c r="B75" s="14"/>
      <c r="C75" s="14"/>
      <c r="D75" s="157"/>
      <c r="E75" s="157"/>
      <c r="F75" s="49"/>
      <c r="G75" s="147"/>
    </row>
    <row r="76">
      <c r="B76" s="14"/>
      <c r="C76" s="14"/>
      <c r="D76" s="157"/>
      <c r="E76" s="157"/>
      <c r="F76" s="49"/>
      <c r="G76" s="147"/>
    </row>
    <row r="77">
      <c r="B77" s="14"/>
      <c r="C77" s="14"/>
      <c r="D77" s="157"/>
      <c r="E77" s="157"/>
      <c r="F77" s="49"/>
      <c r="G77" s="147"/>
    </row>
    <row r="78">
      <c r="B78" s="14"/>
      <c r="C78" s="14"/>
      <c r="D78" s="157"/>
      <c r="E78" s="157"/>
      <c r="F78" s="49"/>
      <c r="G78" s="147"/>
    </row>
    <row r="79">
      <c r="B79" s="14"/>
      <c r="C79" s="14"/>
      <c r="D79" s="157"/>
      <c r="E79" s="157"/>
      <c r="F79" s="49"/>
      <c r="G79" s="147"/>
    </row>
    <row r="80">
      <c r="B80" s="14"/>
      <c r="C80" s="14"/>
      <c r="D80" s="157"/>
      <c r="E80" s="157"/>
      <c r="F80" s="49"/>
      <c r="G80" s="147"/>
    </row>
    <row r="81">
      <c r="B81" s="14"/>
      <c r="C81" s="14"/>
      <c r="D81" s="157"/>
      <c r="E81" s="157"/>
      <c r="F81" s="49"/>
      <c r="G81" s="147"/>
    </row>
    <row r="82">
      <c r="B82" s="14"/>
      <c r="C82" s="14"/>
      <c r="D82" s="157"/>
      <c r="E82" s="157"/>
      <c r="F82" s="49"/>
      <c r="G82" s="147"/>
    </row>
    <row r="83">
      <c r="B83" s="14"/>
      <c r="C83" s="14"/>
      <c r="D83" s="157"/>
      <c r="E83" s="157"/>
      <c r="F83" s="49"/>
      <c r="G83" s="147"/>
    </row>
    <row r="84">
      <c r="B84" s="14"/>
      <c r="C84" s="14"/>
      <c r="D84" s="157"/>
      <c r="E84" s="157"/>
      <c r="F84" s="49"/>
      <c r="G84" s="147"/>
    </row>
    <row r="85">
      <c r="B85" s="14"/>
      <c r="C85" s="14"/>
      <c r="D85" s="157"/>
      <c r="E85" s="157"/>
      <c r="F85" s="49"/>
      <c r="G85" s="147"/>
    </row>
    <row r="86">
      <c r="B86" s="14"/>
      <c r="C86" s="14"/>
      <c r="D86" s="157"/>
      <c r="E86" s="157"/>
      <c r="F86" s="49"/>
      <c r="G86" s="147"/>
    </row>
    <row r="87">
      <c r="B87" s="14"/>
      <c r="C87" s="14"/>
      <c r="D87" s="157"/>
      <c r="E87" s="157"/>
      <c r="F87" s="49"/>
      <c r="G87" s="147"/>
    </row>
    <row r="88">
      <c r="B88" s="14"/>
      <c r="C88" s="14"/>
      <c r="D88" s="157"/>
      <c r="E88" s="157"/>
      <c r="F88" s="49"/>
      <c r="G88" s="147"/>
    </row>
    <row r="89">
      <c r="B89" s="14"/>
      <c r="C89" s="14"/>
      <c r="D89" s="157"/>
      <c r="E89" s="157"/>
      <c r="F89" s="49"/>
      <c r="G89" s="147"/>
    </row>
    <row r="90">
      <c r="B90" s="14"/>
      <c r="C90" s="14"/>
      <c r="D90" s="157"/>
      <c r="E90" s="157"/>
      <c r="F90" s="49"/>
      <c r="G90" s="147"/>
    </row>
    <row r="91">
      <c r="B91" s="14"/>
      <c r="C91" s="14"/>
      <c r="D91" s="157"/>
      <c r="E91" s="157"/>
      <c r="F91" s="49"/>
      <c r="G91" s="147"/>
    </row>
    <row r="92">
      <c r="B92" s="14"/>
      <c r="C92" s="14"/>
      <c r="D92" s="157"/>
      <c r="E92" s="157"/>
      <c r="F92" s="49"/>
      <c r="G92" s="147"/>
    </row>
    <row r="93">
      <c r="B93" s="14"/>
      <c r="C93" s="14"/>
      <c r="D93" s="157"/>
      <c r="E93" s="157"/>
      <c r="F93" s="49"/>
      <c r="G93" s="147"/>
    </row>
    <row r="94">
      <c r="B94" s="14"/>
      <c r="C94" s="14"/>
      <c r="D94" s="157"/>
      <c r="E94" s="157"/>
      <c r="F94" s="49"/>
      <c r="G94" s="147"/>
    </row>
    <row r="95">
      <c r="B95" s="14"/>
      <c r="C95" s="14"/>
      <c r="D95" s="157"/>
      <c r="E95" s="157"/>
      <c r="F95" s="49"/>
      <c r="G95" s="147"/>
    </row>
    <row r="96">
      <c r="B96" s="14"/>
      <c r="C96" s="14"/>
      <c r="D96" s="157"/>
      <c r="E96" s="157"/>
      <c r="F96" s="49"/>
      <c r="G96" s="147"/>
    </row>
    <row r="97">
      <c r="B97" s="14"/>
      <c r="C97" s="14"/>
      <c r="D97" s="157"/>
      <c r="E97" s="157"/>
      <c r="F97" s="49"/>
      <c r="G97" s="147"/>
    </row>
    <row r="98">
      <c r="B98" s="14"/>
      <c r="C98" s="14"/>
      <c r="D98" s="157"/>
      <c r="E98" s="157"/>
      <c r="F98" s="49"/>
      <c r="G98" s="147"/>
    </row>
    <row r="99">
      <c r="B99" s="14"/>
      <c r="C99" s="14"/>
      <c r="D99" s="157"/>
      <c r="E99" s="157"/>
      <c r="F99" s="49"/>
      <c r="G99" s="147"/>
    </row>
    <row r="100">
      <c r="B100" s="14"/>
      <c r="C100" s="14"/>
      <c r="D100" s="157"/>
      <c r="E100" s="157"/>
      <c r="F100" s="49"/>
      <c r="G100" s="147"/>
    </row>
    <row r="101">
      <c r="B101" s="14"/>
      <c r="C101" s="14"/>
      <c r="D101" s="157"/>
      <c r="E101" s="157"/>
      <c r="F101" s="49"/>
      <c r="G101" s="147"/>
    </row>
    <row r="102">
      <c r="B102" s="14"/>
      <c r="C102" s="14"/>
      <c r="D102" s="157"/>
      <c r="E102" s="157"/>
      <c r="F102" s="49"/>
      <c r="G102" s="147"/>
    </row>
    <row r="103">
      <c r="B103" s="14"/>
      <c r="C103" s="14"/>
      <c r="D103" s="157"/>
      <c r="E103" s="157"/>
      <c r="F103" s="49"/>
      <c r="G103" s="147"/>
    </row>
    <row r="104">
      <c r="B104" s="14"/>
      <c r="C104" s="14"/>
      <c r="D104" s="157"/>
      <c r="E104" s="157"/>
      <c r="F104" s="49"/>
      <c r="G104" s="147"/>
    </row>
    <row r="105">
      <c r="B105" s="14"/>
      <c r="C105" s="14"/>
      <c r="D105" s="157"/>
      <c r="E105" s="157"/>
      <c r="F105" s="49"/>
      <c r="G105" s="147"/>
    </row>
    <row r="106">
      <c r="B106" s="14"/>
      <c r="C106" s="14"/>
      <c r="D106" s="157"/>
      <c r="E106" s="157"/>
      <c r="F106" s="49"/>
      <c r="G106" s="147"/>
    </row>
    <row r="107">
      <c r="B107" s="14"/>
      <c r="C107" s="14"/>
      <c r="D107" s="157"/>
      <c r="E107" s="157"/>
      <c r="F107" s="49"/>
      <c r="G107" s="147"/>
    </row>
    <row r="108">
      <c r="B108" s="14"/>
      <c r="C108" s="14"/>
      <c r="D108" s="157"/>
      <c r="E108" s="157"/>
      <c r="F108" s="49"/>
      <c r="G108" s="147"/>
    </row>
    <row r="109">
      <c r="B109" s="14"/>
      <c r="C109" s="14"/>
      <c r="D109" s="157"/>
      <c r="E109" s="157"/>
      <c r="F109" s="49"/>
      <c r="G109" s="147"/>
    </row>
    <row r="110">
      <c r="B110" s="14"/>
      <c r="C110" s="14"/>
      <c r="D110" s="157"/>
      <c r="E110" s="157"/>
      <c r="F110" s="49"/>
      <c r="G110" s="147"/>
    </row>
    <row r="111">
      <c r="B111" s="14"/>
      <c r="C111" s="14"/>
      <c r="D111" s="157"/>
      <c r="E111" s="157"/>
      <c r="F111" s="49"/>
      <c r="G111" s="147"/>
    </row>
    <row r="112">
      <c r="B112" s="14"/>
      <c r="C112" s="14"/>
      <c r="D112" s="157"/>
      <c r="E112" s="157"/>
      <c r="F112" s="49"/>
      <c r="G112" s="147"/>
    </row>
    <row r="113">
      <c r="B113" s="14"/>
      <c r="C113" s="14"/>
      <c r="D113" s="157"/>
      <c r="E113" s="157"/>
      <c r="F113" s="49"/>
      <c r="G113" s="147"/>
    </row>
    <row r="114">
      <c r="B114" s="14"/>
      <c r="C114" s="14"/>
      <c r="D114" s="157"/>
      <c r="E114" s="157"/>
      <c r="F114" s="49"/>
      <c r="G114" s="147"/>
    </row>
    <row r="115">
      <c r="B115" s="14"/>
      <c r="C115" s="14"/>
      <c r="D115" s="157"/>
      <c r="E115" s="157"/>
      <c r="F115" s="49"/>
      <c r="G115" s="147"/>
    </row>
    <row r="116">
      <c r="B116" s="14"/>
      <c r="C116" s="14"/>
      <c r="D116" s="157"/>
      <c r="E116" s="157"/>
      <c r="F116" s="49"/>
      <c r="G116" s="147"/>
    </row>
    <row r="117">
      <c r="B117" s="14"/>
      <c r="C117" s="14"/>
      <c r="D117" s="157"/>
      <c r="E117" s="157"/>
      <c r="F117" s="49"/>
      <c r="G117" s="147"/>
    </row>
    <row r="118">
      <c r="B118" s="14"/>
      <c r="C118" s="14"/>
      <c r="D118" s="157"/>
      <c r="E118" s="157"/>
      <c r="F118" s="49"/>
      <c r="G118" s="147"/>
    </row>
    <row r="119">
      <c r="B119" s="14"/>
      <c r="C119" s="14"/>
      <c r="D119" s="157"/>
      <c r="E119" s="157"/>
      <c r="F119" s="49"/>
      <c r="G119" s="147"/>
    </row>
    <row r="120">
      <c r="B120" s="14"/>
      <c r="C120" s="14"/>
      <c r="D120" s="157"/>
      <c r="E120" s="157"/>
      <c r="F120" s="49"/>
      <c r="G120" s="147"/>
    </row>
    <row r="121">
      <c r="B121" s="14"/>
      <c r="C121" s="14"/>
      <c r="D121" s="157"/>
      <c r="E121" s="157"/>
      <c r="F121" s="49"/>
      <c r="G121" s="147"/>
    </row>
    <row r="122">
      <c r="B122" s="14"/>
      <c r="C122" s="14"/>
      <c r="D122" s="157"/>
      <c r="E122" s="157"/>
      <c r="F122" s="49"/>
      <c r="G122" s="147"/>
    </row>
    <row r="123">
      <c r="B123" s="14"/>
      <c r="C123" s="14"/>
      <c r="D123" s="157"/>
      <c r="E123" s="157"/>
      <c r="F123" s="49"/>
      <c r="G123" s="147"/>
    </row>
    <row r="124">
      <c r="B124" s="14"/>
      <c r="C124" s="14"/>
      <c r="D124" s="157"/>
      <c r="E124" s="157"/>
      <c r="F124" s="49"/>
      <c r="G124" s="147"/>
    </row>
    <row r="125">
      <c r="B125" s="14"/>
      <c r="C125" s="14"/>
      <c r="D125" s="157"/>
      <c r="E125" s="157"/>
      <c r="F125" s="49"/>
      <c r="G125" s="147"/>
    </row>
    <row r="126">
      <c r="B126" s="14"/>
      <c r="C126" s="14"/>
      <c r="D126" s="157"/>
      <c r="E126" s="157"/>
      <c r="F126" s="49"/>
      <c r="G126" s="147"/>
    </row>
    <row r="127">
      <c r="B127" s="14"/>
      <c r="C127" s="14"/>
      <c r="D127" s="157"/>
      <c r="E127" s="157"/>
      <c r="F127" s="49"/>
      <c r="G127" s="147"/>
    </row>
    <row r="128">
      <c r="B128" s="14"/>
      <c r="C128" s="14"/>
      <c r="D128" s="157"/>
      <c r="E128" s="157"/>
      <c r="F128" s="49"/>
      <c r="G128" s="147"/>
    </row>
    <row r="129">
      <c r="B129" s="14"/>
      <c r="C129" s="14"/>
      <c r="D129" s="157"/>
      <c r="E129" s="157"/>
      <c r="F129" s="49"/>
      <c r="G129" s="147"/>
    </row>
    <row r="130">
      <c r="B130" s="14"/>
      <c r="C130" s="14"/>
      <c r="D130" s="157"/>
      <c r="E130" s="157"/>
      <c r="F130" s="49"/>
      <c r="G130" s="147"/>
    </row>
    <row r="131">
      <c r="B131" s="14"/>
      <c r="C131" s="14"/>
      <c r="D131" s="157"/>
      <c r="E131" s="157"/>
      <c r="F131" s="49"/>
      <c r="G131" s="147"/>
    </row>
    <row r="132">
      <c r="B132" s="14"/>
      <c r="C132" s="14"/>
      <c r="D132" s="157"/>
      <c r="E132" s="157"/>
      <c r="F132" s="49"/>
      <c r="G132" s="147"/>
    </row>
    <row r="133">
      <c r="B133" s="14"/>
      <c r="C133" s="14"/>
      <c r="D133" s="157"/>
      <c r="E133" s="157"/>
      <c r="F133" s="49"/>
      <c r="G133" s="147"/>
    </row>
    <row r="134">
      <c r="B134" s="14"/>
      <c r="C134" s="14"/>
      <c r="D134" s="157"/>
      <c r="E134" s="157"/>
      <c r="F134" s="49"/>
      <c r="G134" s="147"/>
    </row>
    <row r="135">
      <c r="B135" s="14"/>
      <c r="C135" s="14"/>
      <c r="D135" s="157"/>
      <c r="E135" s="157"/>
      <c r="F135" s="49"/>
      <c r="G135" s="147"/>
    </row>
    <row r="136">
      <c r="B136" s="14"/>
      <c r="C136" s="14"/>
      <c r="D136" s="157"/>
      <c r="E136" s="157"/>
      <c r="F136" s="49"/>
      <c r="G136" s="147"/>
    </row>
    <row r="137">
      <c r="B137" s="14"/>
      <c r="C137" s="14"/>
      <c r="D137" s="157"/>
      <c r="E137" s="157"/>
      <c r="F137" s="49"/>
      <c r="G137" s="147"/>
    </row>
    <row r="138">
      <c r="B138" s="14"/>
      <c r="C138" s="14"/>
      <c r="D138" s="157"/>
      <c r="E138" s="157"/>
      <c r="F138" s="49"/>
      <c r="G138" s="147"/>
    </row>
    <row r="139">
      <c r="B139" s="14"/>
      <c r="C139" s="14"/>
      <c r="D139" s="157"/>
      <c r="E139" s="157"/>
      <c r="F139" s="49"/>
      <c r="G139" s="147"/>
    </row>
    <row r="140">
      <c r="B140" s="14"/>
      <c r="C140" s="14"/>
      <c r="D140" s="157"/>
      <c r="E140" s="157"/>
      <c r="F140" s="49"/>
      <c r="G140" s="147"/>
    </row>
    <row r="141">
      <c r="B141" s="14"/>
      <c r="C141" s="14"/>
      <c r="D141" s="157"/>
      <c r="E141" s="157"/>
      <c r="F141" s="49"/>
      <c r="G141" s="147"/>
    </row>
    <row r="142">
      <c r="B142" s="14"/>
      <c r="C142" s="14"/>
      <c r="D142" s="157"/>
      <c r="E142" s="157"/>
      <c r="F142" s="49"/>
      <c r="G142" s="147"/>
    </row>
    <row r="143">
      <c r="B143" s="14"/>
      <c r="C143" s="14"/>
      <c r="D143" s="157"/>
      <c r="E143" s="157"/>
      <c r="F143" s="49"/>
      <c r="G143" s="147"/>
    </row>
    <row r="144">
      <c r="B144" s="14"/>
      <c r="C144" s="14"/>
      <c r="D144" s="157"/>
      <c r="E144" s="157"/>
      <c r="F144" s="49"/>
      <c r="G144" s="147"/>
    </row>
    <row r="145">
      <c r="B145" s="14"/>
      <c r="C145" s="14"/>
      <c r="D145" s="157"/>
      <c r="E145" s="157"/>
      <c r="F145" s="49"/>
      <c r="G145" s="147"/>
    </row>
    <row r="146">
      <c r="B146" s="14"/>
      <c r="C146" s="14"/>
      <c r="D146" s="157"/>
      <c r="E146" s="157"/>
      <c r="F146" s="49"/>
      <c r="G146" s="147"/>
    </row>
    <row r="147">
      <c r="B147" s="14"/>
      <c r="C147" s="14"/>
      <c r="D147" s="157"/>
      <c r="E147" s="157"/>
      <c r="F147" s="49"/>
      <c r="G147" s="147"/>
    </row>
    <row r="148">
      <c r="B148" s="14"/>
      <c r="C148" s="14"/>
      <c r="D148" s="157"/>
      <c r="E148" s="157"/>
      <c r="F148" s="49"/>
      <c r="G148" s="147"/>
    </row>
    <row r="149">
      <c r="B149" s="14"/>
      <c r="C149" s="14"/>
      <c r="D149" s="157"/>
      <c r="E149" s="157"/>
      <c r="F149" s="49"/>
      <c r="G149" s="147"/>
    </row>
    <row r="150">
      <c r="B150" s="14"/>
      <c r="C150" s="14"/>
      <c r="D150" s="157"/>
      <c r="E150" s="157"/>
      <c r="F150" s="49"/>
      <c r="G150" s="147"/>
    </row>
    <row r="151">
      <c r="B151" s="14"/>
      <c r="C151" s="14"/>
      <c r="D151" s="157"/>
      <c r="E151" s="157"/>
      <c r="F151" s="49"/>
      <c r="G151" s="147"/>
    </row>
    <row r="152">
      <c r="B152" s="14"/>
      <c r="C152" s="14"/>
      <c r="D152" s="157"/>
      <c r="E152" s="157"/>
      <c r="F152" s="49"/>
      <c r="G152" s="147"/>
    </row>
    <row r="153">
      <c r="B153" s="14"/>
      <c r="C153" s="14"/>
      <c r="D153" s="157"/>
      <c r="E153" s="157"/>
      <c r="F153" s="49"/>
      <c r="G153" s="147"/>
    </row>
    <row r="154">
      <c r="B154" s="14"/>
      <c r="C154" s="14"/>
      <c r="D154" s="157"/>
      <c r="E154" s="157"/>
      <c r="F154" s="49"/>
      <c r="G154" s="147"/>
    </row>
    <row r="155">
      <c r="B155" s="14"/>
      <c r="C155" s="14"/>
      <c r="D155" s="157"/>
      <c r="E155" s="157"/>
      <c r="F155" s="49"/>
      <c r="G155" s="147"/>
    </row>
    <row r="156">
      <c r="B156" s="14"/>
      <c r="C156" s="14"/>
      <c r="D156" s="157"/>
      <c r="E156" s="157"/>
      <c r="F156" s="49"/>
      <c r="G156" s="147"/>
    </row>
    <row r="157">
      <c r="B157" s="14"/>
      <c r="C157" s="14"/>
      <c r="D157" s="157"/>
      <c r="E157" s="157"/>
      <c r="F157" s="49"/>
      <c r="G157" s="147"/>
    </row>
    <row r="158">
      <c r="B158" s="14"/>
      <c r="C158" s="14"/>
      <c r="D158" s="157"/>
      <c r="E158" s="157"/>
      <c r="F158" s="49"/>
      <c r="G158" s="147"/>
    </row>
    <row r="159">
      <c r="B159" s="14"/>
      <c r="C159" s="14"/>
      <c r="D159" s="157"/>
      <c r="E159" s="157"/>
      <c r="F159" s="49"/>
      <c r="G159" s="147"/>
    </row>
    <row r="160">
      <c r="B160" s="14"/>
      <c r="C160" s="14"/>
      <c r="D160" s="157"/>
      <c r="E160" s="157"/>
      <c r="F160" s="49"/>
      <c r="G160" s="147"/>
    </row>
    <row r="161">
      <c r="B161" s="14"/>
      <c r="C161" s="14"/>
      <c r="D161" s="157"/>
      <c r="E161" s="157"/>
      <c r="F161" s="49"/>
      <c r="G161" s="147"/>
    </row>
    <row r="162">
      <c r="B162" s="14"/>
      <c r="C162" s="14"/>
      <c r="D162" s="157"/>
      <c r="E162" s="157"/>
      <c r="F162" s="49"/>
      <c r="G162" s="147"/>
    </row>
    <row r="163">
      <c r="B163" s="14"/>
      <c r="C163" s="14"/>
      <c r="D163" s="157"/>
      <c r="E163" s="157"/>
      <c r="F163" s="49"/>
      <c r="G163" s="147"/>
    </row>
    <row r="164">
      <c r="B164" s="14"/>
      <c r="C164" s="14"/>
      <c r="D164" s="157"/>
      <c r="E164" s="157"/>
      <c r="F164" s="49"/>
      <c r="G164" s="147"/>
    </row>
    <row r="165">
      <c r="B165" s="14"/>
      <c r="C165" s="14"/>
      <c r="D165" s="157"/>
      <c r="E165" s="157"/>
      <c r="F165" s="49"/>
      <c r="G165" s="147"/>
    </row>
    <row r="166">
      <c r="B166" s="14"/>
      <c r="C166" s="14"/>
      <c r="D166" s="157"/>
      <c r="E166" s="157"/>
      <c r="F166" s="49"/>
      <c r="G166" s="147"/>
    </row>
    <row r="167">
      <c r="B167" s="14"/>
      <c r="C167" s="14"/>
      <c r="D167" s="157"/>
      <c r="E167" s="157"/>
      <c r="F167" s="49"/>
      <c r="G167" s="147"/>
    </row>
    <row r="168">
      <c r="B168" s="14"/>
      <c r="C168" s="14"/>
      <c r="D168" s="157"/>
      <c r="E168" s="157"/>
      <c r="F168" s="49"/>
      <c r="G168" s="147"/>
    </row>
    <row r="169">
      <c r="B169" s="14"/>
      <c r="C169" s="14"/>
      <c r="D169" s="157"/>
      <c r="E169" s="157"/>
      <c r="F169" s="49"/>
      <c r="G169" s="147"/>
    </row>
    <row r="170">
      <c r="B170" s="14"/>
      <c r="C170" s="14"/>
      <c r="D170" s="157"/>
      <c r="E170" s="157"/>
      <c r="F170" s="49"/>
      <c r="G170" s="147"/>
    </row>
    <row r="171">
      <c r="B171" s="14"/>
      <c r="C171" s="14"/>
      <c r="D171" s="157"/>
      <c r="E171" s="157"/>
      <c r="F171" s="49"/>
      <c r="G171" s="147"/>
    </row>
    <row r="172">
      <c r="B172" s="14"/>
      <c r="C172" s="14"/>
      <c r="D172" s="157"/>
      <c r="E172" s="157"/>
      <c r="F172" s="49"/>
      <c r="G172" s="147"/>
    </row>
    <row r="173">
      <c r="B173" s="14"/>
      <c r="C173" s="14"/>
      <c r="D173" s="157"/>
      <c r="E173" s="157"/>
      <c r="F173" s="49"/>
      <c r="G173" s="147"/>
    </row>
    <row r="174">
      <c r="B174" s="14"/>
      <c r="C174" s="14"/>
      <c r="D174" s="157"/>
      <c r="E174" s="157"/>
      <c r="F174" s="49"/>
      <c r="G174" s="147"/>
    </row>
    <row r="175">
      <c r="B175" s="14"/>
      <c r="C175" s="14"/>
      <c r="D175" s="157"/>
      <c r="E175" s="157"/>
      <c r="F175" s="49"/>
      <c r="G175" s="147"/>
    </row>
    <row r="176">
      <c r="B176" s="14"/>
      <c r="C176" s="14"/>
      <c r="D176" s="157"/>
      <c r="E176" s="157"/>
      <c r="F176" s="49"/>
      <c r="G176" s="147"/>
    </row>
    <row r="177">
      <c r="B177" s="14"/>
      <c r="C177" s="14"/>
      <c r="D177" s="157"/>
      <c r="E177" s="157"/>
      <c r="F177" s="49"/>
      <c r="G177" s="147"/>
    </row>
    <row r="178">
      <c r="B178" s="14"/>
      <c r="C178" s="14"/>
      <c r="D178" s="157"/>
      <c r="E178" s="157"/>
      <c r="F178" s="49"/>
      <c r="G178" s="147"/>
    </row>
    <row r="179">
      <c r="B179" s="14"/>
      <c r="C179" s="14"/>
      <c r="D179" s="157"/>
      <c r="E179" s="157"/>
      <c r="F179" s="49"/>
      <c r="G179" s="147"/>
    </row>
    <row r="180">
      <c r="B180" s="14"/>
      <c r="C180" s="14"/>
      <c r="D180" s="157"/>
      <c r="E180" s="157"/>
      <c r="F180" s="49"/>
      <c r="G180" s="147"/>
    </row>
    <row r="181">
      <c r="B181" s="14"/>
      <c r="C181" s="14"/>
      <c r="D181" s="157"/>
      <c r="E181" s="157"/>
      <c r="F181" s="49"/>
      <c r="G181" s="147"/>
    </row>
    <row r="182">
      <c r="B182" s="14"/>
      <c r="C182" s="14"/>
      <c r="D182" s="157"/>
      <c r="E182" s="157"/>
      <c r="F182" s="49"/>
      <c r="G182" s="147"/>
    </row>
    <row r="183">
      <c r="B183" s="14"/>
      <c r="C183" s="14"/>
      <c r="D183" s="157"/>
      <c r="E183" s="157"/>
      <c r="F183" s="49"/>
      <c r="G183" s="147"/>
    </row>
    <row r="184">
      <c r="B184" s="14"/>
      <c r="C184" s="14"/>
      <c r="D184" s="157"/>
      <c r="E184" s="157"/>
      <c r="F184" s="49"/>
      <c r="G184" s="147"/>
    </row>
    <row r="185">
      <c r="B185" s="14"/>
      <c r="C185" s="14"/>
      <c r="D185" s="157"/>
      <c r="E185" s="157"/>
      <c r="F185" s="49"/>
      <c r="G185" s="147"/>
    </row>
    <row r="186">
      <c r="B186" s="14"/>
      <c r="C186" s="14"/>
      <c r="D186" s="157"/>
      <c r="E186" s="157"/>
      <c r="F186" s="49"/>
      <c r="G186" s="147"/>
    </row>
    <row r="187">
      <c r="B187" s="14"/>
      <c r="C187" s="14"/>
      <c r="D187" s="157"/>
      <c r="E187" s="157"/>
      <c r="F187" s="49"/>
      <c r="G187" s="147"/>
    </row>
    <row r="188">
      <c r="B188" s="14"/>
      <c r="C188" s="14"/>
      <c r="D188" s="157"/>
      <c r="E188" s="157"/>
      <c r="F188" s="49"/>
      <c r="G188" s="147"/>
    </row>
    <row r="189">
      <c r="B189" s="14"/>
      <c r="C189" s="14"/>
      <c r="D189" s="157"/>
      <c r="E189" s="157"/>
      <c r="F189" s="49"/>
      <c r="G189" s="147"/>
    </row>
    <row r="190">
      <c r="B190" s="14"/>
      <c r="C190" s="14"/>
      <c r="D190" s="157"/>
      <c r="E190" s="157"/>
      <c r="F190" s="49"/>
      <c r="G190" s="147"/>
    </row>
    <row r="191">
      <c r="B191" s="14"/>
      <c r="C191" s="14"/>
      <c r="D191" s="157"/>
      <c r="E191" s="157"/>
      <c r="F191" s="49"/>
      <c r="G191" s="147"/>
    </row>
    <row r="192">
      <c r="B192" s="14"/>
      <c r="C192" s="14"/>
      <c r="D192" s="157"/>
      <c r="E192" s="157"/>
      <c r="F192" s="49"/>
      <c r="G192" s="147"/>
    </row>
    <row r="193">
      <c r="B193" s="14"/>
      <c r="C193" s="14"/>
      <c r="D193" s="157"/>
      <c r="E193" s="157"/>
      <c r="F193" s="49"/>
      <c r="G193" s="147"/>
    </row>
    <row r="194">
      <c r="B194" s="14"/>
      <c r="C194" s="14"/>
      <c r="D194" s="157"/>
      <c r="E194" s="157"/>
      <c r="F194" s="49"/>
      <c r="G194" s="147"/>
    </row>
    <row r="195">
      <c r="B195" s="14"/>
      <c r="C195" s="14"/>
      <c r="D195" s="157"/>
      <c r="E195" s="157"/>
      <c r="F195" s="49"/>
      <c r="G195" s="147"/>
    </row>
    <row r="196">
      <c r="B196" s="14"/>
      <c r="C196" s="14"/>
      <c r="D196" s="157"/>
      <c r="E196" s="157"/>
      <c r="F196" s="49"/>
      <c r="G196" s="147"/>
    </row>
    <row r="197">
      <c r="B197" s="14"/>
      <c r="C197" s="14"/>
      <c r="D197" s="157"/>
      <c r="E197" s="157"/>
      <c r="F197" s="49"/>
      <c r="G197" s="147"/>
    </row>
    <row r="198">
      <c r="B198" s="14"/>
      <c r="C198" s="14"/>
      <c r="D198" s="157"/>
      <c r="E198" s="157"/>
      <c r="F198" s="49"/>
      <c r="G198" s="147"/>
    </row>
    <row r="199">
      <c r="B199" s="14"/>
      <c r="C199" s="14"/>
      <c r="D199" s="157"/>
      <c r="E199" s="157"/>
      <c r="F199" s="49"/>
      <c r="G199" s="147"/>
    </row>
    <row r="200">
      <c r="B200" s="14"/>
      <c r="C200" s="14"/>
      <c r="D200" s="157"/>
      <c r="E200" s="157"/>
      <c r="F200" s="49"/>
      <c r="G200" s="147"/>
    </row>
    <row r="201">
      <c r="B201" s="14"/>
      <c r="C201" s="14"/>
      <c r="D201" s="157"/>
      <c r="E201" s="157"/>
      <c r="F201" s="49"/>
      <c r="G201" s="147"/>
    </row>
    <row r="202">
      <c r="B202" s="14"/>
      <c r="C202" s="14"/>
      <c r="D202" s="157"/>
      <c r="E202" s="157"/>
      <c r="F202" s="49"/>
      <c r="G202" s="147"/>
    </row>
    <row r="203">
      <c r="B203" s="14"/>
      <c r="C203" s="14"/>
      <c r="D203" s="157"/>
      <c r="E203" s="157"/>
      <c r="F203" s="49"/>
      <c r="G203" s="147"/>
    </row>
    <row r="204">
      <c r="B204" s="14"/>
      <c r="C204" s="14"/>
      <c r="D204" s="157"/>
      <c r="E204" s="157"/>
      <c r="F204" s="49"/>
      <c r="G204" s="147"/>
    </row>
    <row r="205">
      <c r="B205" s="14"/>
      <c r="C205" s="14"/>
      <c r="D205" s="157"/>
      <c r="E205" s="157"/>
      <c r="F205" s="49"/>
      <c r="G205" s="147"/>
    </row>
    <row r="206">
      <c r="B206" s="14"/>
      <c r="C206" s="14"/>
      <c r="D206" s="157"/>
      <c r="E206" s="157"/>
      <c r="F206" s="49"/>
      <c r="G206" s="147"/>
    </row>
    <row r="207">
      <c r="B207" s="14"/>
      <c r="C207" s="14"/>
      <c r="D207" s="157"/>
      <c r="E207" s="157"/>
      <c r="F207" s="49"/>
      <c r="G207" s="147"/>
    </row>
    <row r="208">
      <c r="B208" s="14"/>
      <c r="C208" s="14"/>
      <c r="D208" s="157"/>
      <c r="E208" s="157"/>
      <c r="F208" s="49"/>
      <c r="G208" s="147"/>
    </row>
    <row r="209">
      <c r="B209" s="14"/>
      <c r="C209" s="14"/>
      <c r="D209" s="157"/>
      <c r="E209" s="157"/>
      <c r="F209" s="49"/>
      <c r="G209" s="147"/>
    </row>
    <row r="210">
      <c r="B210" s="14"/>
      <c r="C210" s="14"/>
      <c r="D210" s="157"/>
      <c r="E210" s="157"/>
      <c r="F210" s="49"/>
      <c r="G210" s="147"/>
    </row>
    <row r="211">
      <c r="B211" s="14"/>
      <c r="C211" s="14"/>
      <c r="D211" s="157"/>
      <c r="E211" s="157"/>
      <c r="F211" s="49"/>
      <c r="G211" s="147"/>
    </row>
    <row r="212">
      <c r="B212" s="14"/>
      <c r="C212" s="14"/>
      <c r="D212" s="157"/>
      <c r="E212" s="157"/>
      <c r="F212" s="49"/>
      <c r="G212" s="147"/>
    </row>
    <row r="213">
      <c r="B213" s="14"/>
      <c r="C213" s="14"/>
      <c r="D213" s="157"/>
      <c r="E213" s="157"/>
      <c r="F213" s="49"/>
      <c r="G213" s="147"/>
    </row>
    <row r="214">
      <c r="B214" s="14"/>
      <c r="C214" s="14"/>
      <c r="D214" s="157"/>
      <c r="E214" s="157"/>
      <c r="F214" s="49"/>
      <c r="G214" s="147"/>
    </row>
    <row r="215">
      <c r="B215" s="14"/>
      <c r="C215" s="14"/>
      <c r="D215" s="157"/>
      <c r="E215" s="157"/>
      <c r="F215" s="49"/>
      <c r="G215" s="147"/>
    </row>
    <row r="216">
      <c r="B216" s="14"/>
      <c r="C216" s="14"/>
      <c r="D216" s="157"/>
      <c r="E216" s="157"/>
      <c r="F216" s="49"/>
      <c r="G216" s="147"/>
    </row>
    <row r="217">
      <c r="B217" s="14"/>
      <c r="C217" s="14"/>
      <c r="D217" s="157"/>
      <c r="E217" s="157"/>
      <c r="F217" s="49"/>
      <c r="G217" s="147"/>
    </row>
    <row r="218">
      <c r="B218" s="14"/>
      <c r="C218" s="14"/>
      <c r="D218" s="157"/>
      <c r="E218" s="157"/>
      <c r="F218" s="49"/>
      <c r="G218" s="147"/>
    </row>
    <row r="219">
      <c r="B219" s="14"/>
      <c r="C219" s="14"/>
      <c r="D219" s="157"/>
      <c r="E219" s="157"/>
      <c r="F219" s="49"/>
      <c r="G219" s="147"/>
    </row>
    <row r="220">
      <c r="B220" s="14"/>
      <c r="C220" s="14"/>
      <c r="D220" s="157"/>
      <c r="E220" s="157"/>
      <c r="F220" s="49"/>
      <c r="G220" s="147"/>
    </row>
    <row r="221">
      <c r="B221" s="14"/>
      <c r="C221" s="14"/>
      <c r="D221" s="157"/>
      <c r="E221" s="157"/>
      <c r="F221" s="49"/>
      <c r="G221" s="147"/>
    </row>
    <row r="222">
      <c r="B222" s="14"/>
      <c r="C222" s="14"/>
      <c r="D222" s="157"/>
      <c r="E222" s="157"/>
      <c r="F222" s="49"/>
      <c r="G222" s="147"/>
    </row>
    <row r="223">
      <c r="B223" s="14"/>
      <c r="C223" s="14"/>
      <c r="D223" s="157"/>
      <c r="E223" s="157"/>
      <c r="F223" s="49"/>
      <c r="G223" s="147"/>
    </row>
    <row r="224">
      <c r="B224" s="14"/>
      <c r="C224" s="14"/>
      <c r="D224" s="157"/>
      <c r="E224" s="157"/>
      <c r="F224" s="49"/>
      <c r="G224" s="147"/>
    </row>
    <row r="225">
      <c r="B225" s="14"/>
      <c r="C225" s="14"/>
      <c r="D225" s="157"/>
      <c r="E225" s="157"/>
      <c r="F225" s="49"/>
      <c r="G225" s="147"/>
    </row>
    <row r="226">
      <c r="B226" s="14"/>
      <c r="C226" s="14"/>
      <c r="D226" s="157"/>
      <c r="E226" s="157"/>
      <c r="F226" s="49"/>
      <c r="G226" s="147"/>
    </row>
    <row r="227">
      <c r="B227" s="14"/>
      <c r="C227" s="14"/>
      <c r="D227" s="157"/>
      <c r="E227" s="157"/>
      <c r="F227" s="49"/>
      <c r="G227" s="147"/>
    </row>
    <row r="228">
      <c r="B228" s="14"/>
      <c r="C228" s="14"/>
      <c r="D228" s="157"/>
      <c r="E228" s="157"/>
      <c r="F228" s="49"/>
      <c r="G228" s="147"/>
    </row>
    <row r="229">
      <c r="B229" s="14"/>
      <c r="C229" s="14"/>
      <c r="D229" s="157"/>
      <c r="E229" s="157"/>
      <c r="F229" s="49"/>
      <c r="G229" s="147"/>
    </row>
    <row r="230">
      <c r="B230" s="14"/>
      <c r="C230" s="14"/>
      <c r="D230" s="157"/>
      <c r="E230" s="157"/>
      <c r="F230" s="49"/>
      <c r="G230" s="147"/>
    </row>
    <row r="231">
      <c r="B231" s="14"/>
      <c r="C231" s="14"/>
      <c r="D231" s="157"/>
      <c r="E231" s="157"/>
      <c r="F231" s="49"/>
      <c r="G231" s="147"/>
    </row>
    <row r="232">
      <c r="B232" s="14"/>
      <c r="C232" s="14"/>
      <c r="D232" s="157"/>
      <c r="E232" s="157"/>
      <c r="F232" s="49"/>
      <c r="G232" s="147"/>
    </row>
    <row r="233">
      <c r="B233" s="14"/>
      <c r="C233" s="14"/>
      <c r="D233" s="157"/>
      <c r="E233" s="157"/>
      <c r="F233" s="49"/>
      <c r="G233" s="147"/>
    </row>
    <row r="234">
      <c r="B234" s="14"/>
      <c r="C234" s="14"/>
      <c r="D234" s="157"/>
      <c r="E234" s="157"/>
      <c r="F234" s="49"/>
      <c r="G234" s="147"/>
    </row>
    <row r="235">
      <c r="B235" s="14"/>
      <c r="C235" s="14"/>
      <c r="D235" s="157"/>
      <c r="E235" s="157"/>
      <c r="F235" s="49"/>
      <c r="G235" s="147"/>
    </row>
    <row r="236">
      <c r="B236" s="14"/>
      <c r="C236" s="14"/>
      <c r="D236" s="157"/>
      <c r="E236" s="157"/>
      <c r="F236" s="49"/>
      <c r="G236" s="147"/>
    </row>
    <row r="237">
      <c r="B237" s="14"/>
      <c r="C237" s="14"/>
      <c r="D237" s="157"/>
      <c r="E237" s="157"/>
      <c r="F237" s="49"/>
      <c r="G237" s="147"/>
    </row>
    <row r="238">
      <c r="B238" s="14"/>
      <c r="C238" s="14"/>
      <c r="D238" s="157"/>
      <c r="E238" s="157"/>
      <c r="F238" s="49"/>
      <c r="G238" s="147"/>
    </row>
    <row r="239">
      <c r="B239" s="14"/>
      <c r="C239" s="14"/>
      <c r="D239" s="157"/>
      <c r="E239" s="157"/>
      <c r="F239" s="49"/>
      <c r="G239" s="147"/>
    </row>
    <row r="240">
      <c r="B240" s="14"/>
      <c r="C240" s="14"/>
      <c r="D240" s="157"/>
      <c r="E240" s="157"/>
      <c r="F240" s="49"/>
      <c r="G240" s="147"/>
    </row>
    <row r="241">
      <c r="B241" s="14"/>
      <c r="C241" s="14"/>
      <c r="D241" s="157"/>
      <c r="E241" s="157"/>
      <c r="F241" s="49"/>
      <c r="G241" s="147"/>
    </row>
    <row r="242">
      <c r="B242" s="14"/>
      <c r="C242" s="14"/>
      <c r="D242" s="157"/>
      <c r="E242" s="157"/>
      <c r="F242" s="49"/>
      <c r="G242" s="147"/>
    </row>
    <row r="243">
      <c r="B243" s="14"/>
      <c r="C243" s="14"/>
      <c r="D243" s="157"/>
      <c r="E243" s="157"/>
      <c r="F243" s="49"/>
      <c r="G243" s="147"/>
    </row>
    <row r="244">
      <c r="B244" s="14"/>
      <c r="C244" s="14"/>
      <c r="D244" s="157"/>
      <c r="E244" s="157"/>
      <c r="F244" s="49"/>
      <c r="G244" s="147"/>
    </row>
    <row r="245">
      <c r="B245" s="14"/>
      <c r="C245" s="14"/>
      <c r="D245" s="157"/>
      <c r="E245" s="157"/>
      <c r="F245" s="49"/>
      <c r="G245" s="147"/>
    </row>
    <row r="246">
      <c r="B246" s="14"/>
      <c r="C246" s="14"/>
      <c r="D246" s="157"/>
      <c r="E246" s="157"/>
      <c r="F246" s="49"/>
      <c r="G246" s="147"/>
    </row>
    <row r="247">
      <c r="B247" s="14"/>
      <c r="C247" s="14"/>
      <c r="D247" s="157"/>
      <c r="E247" s="157"/>
      <c r="F247" s="49"/>
      <c r="G247" s="147"/>
    </row>
    <row r="248">
      <c r="B248" s="14"/>
      <c r="C248" s="14"/>
      <c r="D248" s="157"/>
      <c r="E248" s="157"/>
      <c r="F248" s="49"/>
      <c r="G248" s="147"/>
    </row>
    <row r="249">
      <c r="B249" s="14"/>
      <c r="C249" s="14"/>
      <c r="D249" s="157"/>
      <c r="E249" s="157"/>
      <c r="F249" s="49"/>
      <c r="G249" s="147"/>
    </row>
    <row r="250">
      <c r="B250" s="14"/>
      <c r="C250" s="14"/>
      <c r="D250" s="157"/>
      <c r="E250" s="157"/>
      <c r="F250" s="49"/>
      <c r="G250" s="147"/>
    </row>
    <row r="251">
      <c r="B251" s="14"/>
      <c r="C251" s="14"/>
      <c r="D251" s="157"/>
      <c r="E251" s="157"/>
      <c r="F251" s="49"/>
      <c r="G251" s="147"/>
    </row>
    <row r="252">
      <c r="B252" s="14"/>
      <c r="C252" s="14"/>
      <c r="D252" s="157"/>
      <c r="E252" s="157"/>
      <c r="F252" s="49"/>
      <c r="G252" s="147"/>
    </row>
    <row r="253">
      <c r="B253" s="14"/>
      <c r="C253" s="14"/>
      <c r="D253" s="157"/>
      <c r="E253" s="157"/>
      <c r="F253" s="49"/>
      <c r="G253" s="147"/>
    </row>
    <row r="254">
      <c r="B254" s="14"/>
      <c r="C254" s="14"/>
      <c r="D254" s="157"/>
      <c r="E254" s="157"/>
      <c r="F254" s="49"/>
      <c r="G254" s="147"/>
    </row>
    <row r="255">
      <c r="B255" s="14"/>
      <c r="C255" s="14"/>
      <c r="D255" s="157"/>
      <c r="E255" s="157"/>
      <c r="F255" s="49"/>
      <c r="G255" s="147"/>
    </row>
    <row r="256">
      <c r="B256" s="14"/>
      <c r="C256" s="14"/>
      <c r="D256" s="157"/>
      <c r="E256" s="157"/>
      <c r="F256" s="49"/>
      <c r="G256" s="147"/>
    </row>
    <row r="257">
      <c r="B257" s="14"/>
      <c r="C257" s="14"/>
      <c r="D257" s="157"/>
      <c r="E257" s="157"/>
      <c r="F257" s="49"/>
      <c r="G257" s="147"/>
    </row>
    <row r="258">
      <c r="B258" s="14"/>
      <c r="C258" s="14"/>
      <c r="D258" s="157"/>
      <c r="E258" s="157"/>
      <c r="F258" s="49"/>
      <c r="G258" s="147"/>
    </row>
    <row r="259">
      <c r="B259" s="14"/>
      <c r="C259" s="14"/>
      <c r="D259" s="157"/>
      <c r="E259" s="157"/>
      <c r="F259" s="49"/>
      <c r="G259" s="147"/>
    </row>
    <row r="260">
      <c r="B260" s="14"/>
      <c r="C260" s="14"/>
      <c r="D260" s="157"/>
      <c r="E260" s="157"/>
      <c r="F260" s="49"/>
      <c r="G260" s="147"/>
    </row>
    <row r="261">
      <c r="B261" s="14"/>
      <c r="C261" s="14"/>
      <c r="D261" s="157"/>
      <c r="E261" s="157"/>
      <c r="F261" s="49"/>
      <c r="G261" s="147"/>
    </row>
    <row r="262">
      <c r="B262" s="14"/>
      <c r="C262" s="14"/>
      <c r="D262" s="157"/>
      <c r="E262" s="157"/>
      <c r="F262" s="49"/>
      <c r="G262" s="147"/>
    </row>
    <row r="263">
      <c r="B263" s="14"/>
      <c r="C263" s="14"/>
      <c r="D263" s="157"/>
      <c r="E263" s="157"/>
      <c r="F263" s="49"/>
      <c r="G263" s="147"/>
    </row>
    <row r="264">
      <c r="B264" s="14"/>
      <c r="C264" s="14"/>
      <c r="D264" s="157"/>
      <c r="E264" s="157"/>
      <c r="F264" s="49"/>
      <c r="G264" s="147"/>
    </row>
    <row r="265">
      <c r="B265" s="14"/>
      <c r="C265" s="14"/>
      <c r="D265" s="157"/>
      <c r="E265" s="157"/>
      <c r="F265" s="49"/>
      <c r="G265" s="147"/>
    </row>
    <row r="266">
      <c r="B266" s="14"/>
      <c r="C266" s="14"/>
      <c r="D266" s="157"/>
      <c r="E266" s="157"/>
      <c r="F266" s="49"/>
      <c r="G266" s="147"/>
    </row>
    <row r="267">
      <c r="B267" s="14"/>
      <c r="C267" s="14"/>
      <c r="D267" s="157"/>
      <c r="E267" s="157"/>
      <c r="F267" s="49"/>
      <c r="G267" s="147"/>
    </row>
    <row r="268">
      <c r="B268" s="14"/>
      <c r="C268" s="14"/>
      <c r="D268" s="157"/>
      <c r="E268" s="157"/>
      <c r="F268" s="49"/>
      <c r="G268" s="147"/>
    </row>
    <row r="269">
      <c r="B269" s="14"/>
      <c r="C269" s="14"/>
      <c r="D269" s="157"/>
      <c r="E269" s="157"/>
      <c r="F269" s="49"/>
      <c r="G269" s="147"/>
    </row>
    <row r="270">
      <c r="B270" s="14"/>
      <c r="C270" s="14"/>
      <c r="D270" s="157"/>
      <c r="E270" s="157"/>
      <c r="F270" s="49"/>
      <c r="G270" s="147"/>
    </row>
    <row r="271">
      <c r="B271" s="14"/>
      <c r="C271" s="14"/>
      <c r="D271" s="157"/>
      <c r="E271" s="157"/>
      <c r="F271" s="49"/>
      <c r="G271" s="147"/>
    </row>
    <row r="272">
      <c r="B272" s="14"/>
      <c r="C272" s="14"/>
      <c r="D272" s="157"/>
      <c r="E272" s="157"/>
      <c r="F272" s="49"/>
      <c r="G272" s="147"/>
    </row>
    <row r="273">
      <c r="B273" s="14"/>
      <c r="C273" s="14"/>
      <c r="D273" s="157"/>
      <c r="E273" s="157"/>
      <c r="F273" s="49"/>
      <c r="G273" s="147"/>
    </row>
    <row r="274">
      <c r="B274" s="14"/>
      <c r="C274" s="14"/>
      <c r="D274" s="157"/>
      <c r="E274" s="157"/>
      <c r="F274" s="49"/>
      <c r="G274" s="147"/>
    </row>
    <row r="275">
      <c r="B275" s="14"/>
      <c r="C275" s="14"/>
      <c r="D275" s="157"/>
      <c r="E275" s="157"/>
      <c r="F275" s="49"/>
      <c r="G275" s="147"/>
    </row>
    <row r="276">
      <c r="B276" s="14"/>
      <c r="C276" s="14"/>
      <c r="D276" s="157"/>
      <c r="E276" s="157"/>
      <c r="F276" s="49"/>
      <c r="G276" s="147"/>
    </row>
    <row r="277">
      <c r="B277" s="14"/>
      <c r="C277" s="14"/>
      <c r="D277" s="157"/>
      <c r="E277" s="157"/>
      <c r="F277" s="49"/>
      <c r="G277" s="147"/>
    </row>
    <row r="278">
      <c r="B278" s="14"/>
      <c r="C278" s="14"/>
      <c r="D278" s="157"/>
      <c r="E278" s="157"/>
      <c r="F278" s="49"/>
      <c r="G278" s="147"/>
    </row>
    <row r="279">
      <c r="B279" s="14"/>
      <c r="C279" s="14"/>
      <c r="D279" s="157"/>
      <c r="E279" s="157"/>
      <c r="F279" s="49"/>
      <c r="G279" s="147"/>
    </row>
    <row r="280">
      <c r="B280" s="14"/>
      <c r="C280" s="14"/>
      <c r="D280" s="157"/>
      <c r="E280" s="157"/>
      <c r="F280" s="49"/>
      <c r="G280" s="147"/>
    </row>
    <row r="281">
      <c r="B281" s="14"/>
      <c r="C281" s="14"/>
      <c r="D281" s="157"/>
      <c r="E281" s="157"/>
      <c r="F281" s="49"/>
      <c r="G281" s="147"/>
    </row>
    <row r="282">
      <c r="B282" s="14"/>
      <c r="C282" s="14"/>
      <c r="D282" s="157"/>
      <c r="E282" s="157"/>
      <c r="F282" s="49"/>
      <c r="G282" s="147"/>
    </row>
    <row r="283">
      <c r="B283" s="14"/>
      <c r="C283" s="14"/>
      <c r="D283" s="157"/>
      <c r="E283" s="157"/>
      <c r="F283" s="49"/>
      <c r="G283" s="147"/>
    </row>
    <row r="284">
      <c r="B284" s="14"/>
      <c r="C284" s="14"/>
      <c r="D284" s="157"/>
      <c r="E284" s="157"/>
      <c r="F284" s="49"/>
      <c r="G284" s="147"/>
    </row>
    <row r="285">
      <c r="B285" s="14"/>
      <c r="C285" s="14"/>
      <c r="D285" s="157"/>
      <c r="E285" s="157"/>
      <c r="F285" s="49"/>
      <c r="G285" s="147"/>
    </row>
    <row r="286">
      <c r="B286" s="14"/>
      <c r="C286" s="14"/>
      <c r="D286" s="157"/>
      <c r="E286" s="157"/>
      <c r="F286" s="49"/>
      <c r="G286" s="147"/>
    </row>
    <row r="287">
      <c r="B287" s="14"/>
      <c r="C287" s="14"/>
      <c r="D287" s="157"/>
      <c r="E287" s="157"/>
      <c r="F287" s="49"/>
      <c r="G287" s="147"/>
    </row>
    <row r="288">
      <c r="B288" s="14"/>
      <c r="C288" s="14"/>
      <c r="D288" s="157"/>
      <c r="E288" s="157"/>
      <c r="F288" s="49"/>
      <c r="G288" s="147"/>
    </row>
    <row r="289">
      <c r="B289" s="14"/>
      <c r="C289" s="14"/>
      <c r="D289" s="157"/>
      <c r="E289" s="157"/>
      <c r="F289" s="49"/>
      <c r="G289" s="147"/>
    </row>
    <row r="290">
      <c r="B290" s="14"/>
      <c r="C290" s="14"/>
      <c r="D290" s="157"/>
      <c r="E290" s="157"/>
      <c r="F290" s="49"/>
      <c r="G290" s="147"/>
    </row>
    <row r="291">
      <c r="B291" s="14"/>
      <c r="C291" s="14"/>
      <c r="D291" s="157"/>
      <c r="E291" s="157"/>
      <c r="F291" s="49"/>
      <c r="G291" s="147"/>
    </row>
    <row r="292">
      <c r="B292" s="14"/>
      <c r="C292" s="14"/>
      <c r="D292" s="157"/>
      <c r="E292" s="157"/>
      <c r="F292" s="49"/>
      <c r="G292" s="147"/>
    </row>
    <row r="293">
      <c r="B293" s="14"/>
      <c r="C293" s="14"/>
      <c r="D293" s="157"/>
      <c r="E293" s="157"/>
      <c r="F293" s="49"/>
      <c r="G293" s="147"/>
    </row>
    <row r="294">
      <c r="B294" s="14"/>
      <c r="C294" s="14"/>
      <c r="D294" s="157"/>
      <c r="E294" s="157"/>
      <c r="F294" s="49"/>
      <c r="G294" s="147"/>
    </row>
    <row r="295">
      <c r="B295" s="14"/>
      <c r="C295" s="14"/>
      <c r="D295" s="157"/>
      <c r="E295" s="157"/>
      <c r="F295" s="49"/>
      <c r="G295" s="147"/>
    </row>
    <row r="296">
      <c r="B296" s="14"/>
      <c r="C296" s="14"/>
      <c r="D296" s="157"/>
      <c r="E296" s="157"/>
      <c r="F296" s="49"/>
      <c r="G296" s="147"/>
    </row>
    <row r="297">
      <c r="B297" s="14"/>
      <c r="C297" s="14"/>
      <c r="D297" s="157"/>
      <c r="E297" s="157"/>
      <c r="F297" s="49"/>
      <c r="G297" s="147"/>
    </row>
    <row r="298">
      <c r="B298" s="14"/>
      <c r="C298" s="14"/>
      <c r="D298" s="157"/>
      <c r="E298" s="157"/>
      <c r="F298" s="49"/>
      <c r="G298" s="147"/>
    </row>
    <row r="299">
      <c r="B299" s="14"/>
      <c r="C299" s="14"/>
      <c r="D299" s="157"/>
      <c r="E299" s="157"/>
      <c r="F299" s="49"/>
      <c r="G299" s="147"/>
    </row>
    <row r="300">
      <c r="B300" s="14"/>
      <c r="C300" s="14"/>
      <c r="D300" s="157"/>
      <c r="E300" s="157"/>
      <c r="F300" s="49"/>
      <c r="G300" s="147"/>
    </row>
    <row r="301">
      <c r="B301" s="14"/>
      <c r="C301" s="14"/>
      <c r="D301" s="157"/>
      <c r="E301" s="157"/>
      <c r="F301" s="49"/>
      <c r="G301" s="147"/>
    </row>
    <row r="302">
      <c r="B302" s="14"/>
      <c r="C302" s="14"/>
      <c r="D302" s="157"/>
      <c r="E302" s="157"/>
      <c r="F302" s="49"/>
      <c r="G302" s="147"/>
    </row>
    <row r="303">
      <c r="B303" s="14"/>
      <c r="C303" s="14"/>
      <c r="D303" s="157"/>
      <c r="E303" s="157"/>
      <c r="F303" s="49"/>
      <c r="G303" s="147"/>
    </row>
    <row r="304">
      <c r="B304" s="14"/>
      <c r="C304" s="14"/>
      <c r="D304" s="157"/>
      <c r="E304" s="157"/>
      <c r="F304" s="49"/>
      <c r="G304" s="147"/>
    </row>
    <row r="305">
      <c r="B305" s="14"/>
      <c r="C305" s="14"/>
      <c r="D305" s="157"/>
      <c r="E305" s="157"/>
      <c r="F305" s="49"/>
      <c r="G305" s="147"/>
    </row>
    <row r="306">
      <c r="B306" s="14"/>
      <c r="C306" s="14"/>
      <c r="D306" s="157"/>
      <c r="E306" s="157"/>
      <c r="F306" s="49"/>
      <c r="G306" s="147"/>
    </row>
    <row r="307">
      <c r="B307" s="14"/>
      <c r="C307" s="14"/>
      <c r="D307" s="157"/>
      <c r="E307" s="157"/>
      <c r="F307" s="49"/>
      <c r="G307" s="147"/>
    </row>
    <row r="308">
      <c r="B308" s="14"/>
      <c r="C308" s="14"/>
      <c r="D308" s="157"/>
      <c r="E308" s="157"/>
      <c r="F308" s="49"/>
      <c r="G308" s="147"/>
    </row>
    <row r="309">
      <c r="B309" s="14"/>
      <c r="C309" s="14"/>
      <c r="D309" s="157"/>
      <c r="E309" s="157"/>
      <c r="F309" s="49"/>
      <c r="G309" s="147"/>
    </row>
    <row r="310">
      <c r="B310" s="14"/>
      <c r="C310" s="14"/>
      <c r="D310" s="157"/>
      <c r="E310" s="157"/>
      <c r="F310" s="49"/>
      <c r="G310" s="147"/>
    </row>
    <row r="311">
      <c r="B311" s="14"/>
      <c r="C311" s="14"/>
      <c r="D311" s="157"/>
      <c r="E311" s="157"/>
      <c r="F311" s="49"/>
      <c r="G311" s="147"/>
    </row>
    <row r="312">
      <c r="B312" s="14"/>
      <c r="C312" s="14"/>
      <c r="D312" s="157"/>
      <c r="E312" s="157"/>
      <c r="F312" s="49"/>
      <c r="G312" s="147"/>
    </row>
    <row r="313">
      <c r="B313" s="14"/>
      <c r="C313" s="14"/>
      <c r="D313" s="157"/>
      <c r="E313" s="157"/>
      <c r="F313" s="49"/>
      <c r="G313" s="147"/>
    </row>
    <row r="314">
      <c r="B314" s="14"/>
      <c r="C314" s="14"/>
      <c r="D314" s="157"/>
      <c r="E314" s="157"/>
      <c r="F314" s="49"/>
      <c r="G314" s="147"/>
    </row>
    <row r="315">
      <c r="B315" s="14"/>
      <c r="C315" s="14"/>
      <c r="D315" s="157"/>
      <c r="E315" s="157"/>
      <c r="F315" s="49"/>
      <c r="G315" s="147"/>
    </row>
    <row r="316">
      <c r="B316" s="14"/>
      <c r="C316" s="14"/>
      <c r="D316" s="157"/>
      <c r="E316" s="157"/>
      <c r="F316" s="49"/>
      <c r="G316" s="147"/>
    </row>
    <row r="317">
      <c r="B317" s="14"/>
      <c r="C317" s="14"/>
      <c r="D317" s="157"/>
      <c r="E317" s="157"/>
      <c r="F317" s="49"/>
      <c r="G317" s="147"/>
    </row>
    <row r="318">
      <c r="B318" s="14"/>
      <c r="C318" s="14"/>
      <c r="D318" s="157"/>
      <c r="E318" s="157"/>
      <c r="F318" s="49"/>
      <c r="G318" s="147"/>
    </row>
    <row r="319">
      <c r="B319" s="14"/>
      <c r="C319" s="14"/>
      <c r="D319" s="157"/>
      <c r="E319" s="157"/>
      <c r="F319" s="49"/>
      <c r="G319" s="147"/>
    </row>
    <row r="320">
      <c r="B320" s="14"/>
      <c r="C320" s="14"/>
      <c r="D320" s="157"/>
      <c r="E320" s="157"/>
      <c r="F320" s="49"/>
      <c r="G320" s="147"/>
    </row>
    <row r="321">
      <c r="B321" s="14"/>
      <c r="C321" s="14"/>
      <c r="D321" s="157"/>
      <c r="E321" s="157"/>
      <c r="F321" s="49"/>
      <c r="G321" s="147"/>
    </row>
    <row r="322">
      <c r="B322" s="14"/>
      <c r="C322" s="14"/>
      <c r="D322" s="157"/>
      <c r="E322" s="157"/>
      <c r="F322" s="49"/>
      <c r="G322" s="147"/>
    </row>
    <row r="323">
      <c r="B323" s="14"/>
      <c r="C323" s="14"/>
      <c r="D323" s="157"/>
      <c r="E323" s="157"/>
      <c r="F323" s="49"/>
      <c r="G323" s="147"/>
    </row>
    <row r="324">
      <c r="B324" s="14"/>
      <c r="C324" s="14"/>
      <c r="D324" s="157"/>
      <c r="E324" s="157"/>
      <c r="F324" s="49"/>
      <c r="G324" s="147"/>
    </row>
    <row r="325">
      <c r="B325" s="14"/>
      <c r="C325" s="14"/>
      <c r="D325" s="157"/>
      <c r="E325" s="157"/>
      <c r="F325" s="49"/>
      <c r="G325" s="147"/>
    </row>
    <row r="326">
      <c r="B326" s="14"/>
      <c r="C326" s="14"/>
      <c r="D326" s="157"/>
      <c r="E326" s="157"/>
      <c r="F326" s="49"/>
      <c r="G326" s="147"/>
    </row>
    <row r="327">
      <c r="B327" s="14"/>
      <c r="C327" s="14"/>
      <c r="D327" s="157"/>
      <c r="E327" s="157"/>
      <c r="F327" s="49"/>
      <c r="G327" s="147"/>
    </row>
    <row r="328">
      <c r="B328" s="14"/>
      <c r="C328" s="14"/>
      <c r="D328" s="157"/>
      <c r="E328" s="157"/>
      <c r="F328" s="49"/>
      <c r="G328" s="147"/>
    </row>
    <row r="329">
      <c r="B329" s="14"/>
      <c r="C329" s="14"/>
      <c r="D329" s="157"/>
      <c r="E329" s="157"/>
      <c r="F329" s="49"/>
      <c r="G329" s="147"/>
    </row>
    <row r="330">
      <c r="B330" s="14"/>
      <c r="C330" s="14"/>
      <c r="D330" s="157"/>
      <c r="E330" s="157"/>
      <c r="F330" s="49"/>
      <c r="G330" s="147"/>
    </row>
    <row r="331">
      <c r="B331" s="14"/>
      <c r="C331" s="14"/>
      <c r="D331" s="157"/>
      <c r="E331" s="157"/>
      <c r="F331" s="49"/>
      <c r="G331" s="147"/>
    </row>
    <row r="332">
      <c r="B332" s="14"/>
      <c r="C332" s="14"/>
      <c r="D332" s="157"/>
      <c r="E332" s="157"/>
      <c r="F332" s="49"/>
      <c r="G332" s="147"/>
    </row>
    <row r="333">
      <c r="B333" s="14"/>
      <c r="C333" s="14"/>
      <c r="D333" s="157"/>
      <c r="E333" s="157"/>
      <c r="F333" s="49"/>
      <c r="G333" s="147"/>
    </row>
    <row r="334">
      <c r="B334" s="14"/>
      <c r="C334" s="14"/>
      <c r="D334" s="157"/>
      <c r="E334" s="157"/>
      <c r="F334" s="49"/>
      <c r="G334" s="147"/>
    </row>
    <row r="335">
      <c r="B335" s="14"/>
      <c r="C335" s="14"/>
      <c r="D335" s="157"/>
      <c r="E335" s="157"/>
      <c r="F335" s="49"/>
      <c r="G335" s="147"/>
    </row>
    <row r="336">
      <c r="B336" s="14"/>
      <c r="C336" s="14"/>
      <c r="D336" s="157"/>
      <c r="E336" s="157"/>
      <c r="F336" s="49"/>
      <c r="G336" s="147"/>
    </row>
    <row r="337">
      <c r="B337" s="14"/>
      <c r="C337" s="14"/>
      <c r="D337" s="157"/>
      <c r="E337" s="157"/>
      <c r="F337" s="49"/>
      <c r="G337" s="147"/>
    </row>
    <row r="338">
      <c r="B338" s="14"/>
      <c r="C338" s="14"/>
      <c r="D338" s="157"/>
      <c r="E338" s="157"/>
      <c r="F338" s="49"/>
      <c r="G338" s="147"/>
    </row>
    <row r="339">
      <c r="B339" s="14"/>
      <c r="C339" s="14"/>
      <c r="D339" s="157"/>
      <c r="E339" s="157"/>
      <c r="F339" s="49"/>
      <c r="G339" s="147"/>
    </row>
    <row r="340">
      <c r="B340" s="14"/>
      <c r="C340" s="14"/>
      <c r="D340" s="157"/>
      <c r="E340" s="157"/>
      <c r="F340" s="49"/>
      <c r="G340" s="147"/>
    </row>
    <row r="341">
      <c r="B341" s="14"/>
      <c r="C341" s="14"/>
      <c r="D341" s="157"/>
      <c r="E341" s="157"/>
      <c r="F341" s="49"/>
      <c r="G341" s="147"/>
    </row>
    <row r="342">
      <c r="B342" s="14"/>
      <c r="C342" s="14"/>
      <c r="D342" s="157"/>
      <c r="E342" s="157"/>
      <c r="F342" s="49"/>
      <c r="G342" s="147"/>
    </row>
    <row r="343">
      <c r="B343" s="14"/>
      <c r="C343" s="14"/>
      <c r="D343" s="157"/>
      <c r="E343" s="157"/>
      <c r="F343" s="49"/>
      <c r="G343" s="147"/>
    </row>
    <row r="344">
      <c r="B344" s="14"/>
      <c r="C344" s="14"/>
      <c r="D344" s="157"/>
      <c r="E344" s="157"/>
      <c r="F344" s="49"/>
      <c r="G344" s="147"/>
    </row>
    <row r="345">
      <c r="B345" s="14"/>
      <c r="C345" s="14"/>
      <c r="D345" s="157"/>
      <c r="E345" s="157"/>
      <c r="F345" s="49"/>
      <c r="G345" s="147"/>
    </row>
    <row r="346">
      <c r="B346" s="14"/>
      <c r="C346" s="14"/>
      <c r="D346" s="157"/>
      <c r="E346" s="157"/>
      <c r="F346" s="49"/>
      <c r="G346" s="147"/>
    </row>
    <row r="347">
      <c r="B347" s="14"/>
      <c r="C347" s="14"/>
      <c r="D347" s="157"/>
      <c r="E347" s="157"/>
      <c r="F347" s="49"/>
      <c r="G347" s="147"/>
    </row>
    <row r="348">
      <c r="B348" s="14"/>
      <c r="C348" s="14"/>
      <c r="D348" s="157"/>
      <c r="E348" s="157"/>
      <c r="F348" s="49"/>
      <c r="G348" s="147"/>
    </row>
    <row r="349">
      <c r="B349" s="14"/>
      <c r="C349" s="14"/>
      <c r="D349" s="157"/>
      <c r="E349" s="157"/>
      <c r="F349" s="49"/>
      <c r="G349" s="147"/>
    </row>
    <row r="350">
      <c r="B350" s="14"/>
      <c r="C350" s="14"/>
      <c r="D350" s="157"/>
      <c r="E350" s="157"/>
      <c r="F350" s="49"/>
      <c r="G350" s="147"/>
    </row>
    <row r="351">
      <c r="B351" s="14"/>
      <c r="C351" s="14"/>
      <c r="D351" s="157"/>
      <c r="E351" s="157"/>
      <c r="F351" s="49"/>
      <c r="G351" s="147"/>
    </row>
    <row r="352">
      <c r="B352" s="14"/>
      <c r="C352" s="14"/>
      <c r="D352" s="157"/>
      <c r="E352" s="157"/>
      <c r="F352" s="49"/>
      <c r="G352" s="147"/>
    </row>
    <row r="353">
      <c r="B353" s="14"/>
      <c r="C353" s="14"/>
      <c r="D353" s="157"/>
      <c r="E353" s="157"/>
      <c r="F353" s="49"/>
      <c r="G353" s="147"/>
    </row>
    <row r="354">
      <c r="B354" s="14"/>
      <c r="C354" s="14"/>
      <c r="D354" s="157"/>
      <c r="E354" s="157"/>
      <c r="F354" s="49"/>
      <c r="G354" s="147"/>
    </row>
    <row r="355">
      <c r="B355" s="14"/>
      <c r="C355" s="14"/>
      <c r="D355" s="157"/>
      <c r="E355" s="157"/>
      <c r="F355" s="49"/>
      <c r="G355" s="147"/>
    </row>
    <row r="356">
      <c r="B356" s="14"/>
      <c r="C356" s="14"/>
      <c r="D356" s="157"/>
      <c r="E356" s="157"/>
      <c r="F356" s="49"/>
      <c r="G356" s="147"/>
    </row>
    <row r="357">
      <c r="B357" s="14"/>
      <c r="C357" s="14"/>
      <c r="D357" s="157"/>
      <c r="E357" s="157"/>
      <c r="F357" s="49"/>
      <c r="G357" s="147"/>
    </row>
    <row r="358">
      <c r="B358" s="14"/>
      <c r="C358" s="14"/>
      <c r="D358" s="157"/>
      <c r="E358" s="157"/>
      <c r="F358" s="49"/>
      <c r="G358" s="147"/>
    </row>
    <row r="359">
      <c r="B359" s="14"/>
      <c r="C359" s="14"/>
      <c r="D359" s="157"/>
      <c r="E359" s="157"/>
      <c r="F359" s="49"/>
      <c r="G359" s="147"/>
    </row>
    <row r="360">
      <c r="B360" s="14"/>
      <c r="C360" s="14"/>
      <c r="D360" s="157"/>
      <c r="E360" s="157"/>
      <c r="F360" s="49"/>
      <c r="G360" s="147"/>
    </row>
    <row r="361">
      <c r="B361" s="14"/>
      <c r="C361" s="14"/>
      <c r="D361" s="157"/>
      <c r="E361" s="157"/>
      <c r="F361" s="49"/>
      <c r="G361" s="147"/>
    </row>
    <row r="362">
      <c r="B362" s="14"/>
      <c r="C362" s="14"/>
      <c r="D362" s="157"/>
      <c r="E362" s="157"/>
      <c r="F362" s="49"/>
      <c r="G362" s="147"/>
    </row>
    <row r="363">
      <c r="B363" s="14"/>
      <c r="C363" s="14"/>
      <c r="D363" s="157"/>
      <c r="E363" s="157"/>
      <c r="F363" s="49"/>
      <c r="G363" s="147"/>
    </row>
    <row r="364">
      <c r="B364" s="14"/>
      <c r="C364" s="14"/>
      <c r="D364" s="157"/>
      <c r="E364" s="157"/>
      <c r="F364" s="49"/>
      <c r="G364" s="147"/>
    </row>
    <row r="365">
      <c r="B365" s="14"/>
      <c r="C365" s="14"/>
      <c r="D365" s="157"/>
      <c r="E365" s="157"/>
      <c r="F365" s="49"/>
      <c r="G365" s="147"/>
    </row>
    <row r="366">
      <c r="B366" s="14"/>
      <c r="C366" s="14"/>
      <c r="D366" s="157"/>
      <c r="E366" s="157"/>
      <c r="F366" s="49"/>
      <c r="G366" s="147"/>
    </row>
    <row r="367">
      <c r="B367" s="14"/>
      <c r="C367" s="14"/>
      <c r="D367" s="157"/>
      <c r="E367" s="157"/>
      <c r="F367" s="49"/>
      <c r="G367" s="147"/>
    </row>
    <row r="368">
      <c r="B368" s="14"/>
      <c r="C368" s="14"/>
      <c r="D368" s="157"/>
      <c r="E368" s="157"/>
      <c r="F368" s="49"/>
      <c r="G368" s="147"/>
    </row>
    <row r="369">
      <c r="B369" s="14"/>
      <c r="C369" s="14"/>
      <c r="D369" s="157"/>
      <c r="E369" s="157"/>
      <c r="F369" s="49"/>
      <c r="G369" s="147"/>
    </row>
    <row r="370">
      <c r="B370" s="14"/>
      <c r="C370" s="14"/>
      <c r="D370" s="157"/>
      <c r="E370" s="157"/>
      <c r="F370" s="49"/>
      <c r="G370" s="147"/>
    </row>
    <row r="371">
      <c r="B371" s="14"/>
      <c r="C371" s="14"/>
      <c r="D371" s="157"/>
      <c r="E371" s="157"/>
      <c r="F371" s="49"/>
      <c r="G371" s="147"/>
    </row>
    <row r="372">
      <c r="B372" s="14"/>
      <c r="C372" s="14"/>
      <c r="D372" s="157"/>
      <c r="E372" s="157"/>
      <c r="F372" s="49"/>
      <c r="G372" s="147"/>
    </row>
    <row r="373">
      <c r="B373" s="14"/>
      <c r="C373" s="14"/>
      <c r="D373" s="157"/>
      <c r="E373" s="157"/>
      <c r="F373" s="49"/>
      <c r="G373" s="147"/>
    </row>
    <row r="374">
      <c r="B374" s="14"/>
      <c r="C374" s="14"/>
      <c r="D374" s="157"/>
      <c r="E374" s="157"/>
      <c r="F374" s="49"/>
      <c r="G374" s="147"/>
    </row>
    <row r="375">
      <c r="B375" s="14"/>
      <c r="C375" s="14"/>
      <c r="D375" s="157"/>
      <c r="E375" s="157"/>
      <c r="F375" s="49"/>
      <c r="G375" s="147"/>
    </row>
    <row r="376">
      <c r="B376" s="14"/>
      <c r="C376" s="14"/>
      <c r="D376" s="157"/>
      <c r="E376" s="157"/>
      <c r="F376" s="49"/>
      <c r="G376" s="147"/>
    </row>
    <row r="377">
      <c r="B377" s="14"/>
      <c r="C377" s="14"/>
      <c r="D377" s="157"/>
      <c r="E377" s="157"/>
      <c r="F377" s="49"/>
      <c r="G377" s="147"/>
    </row>
    <row r="378">
      <c r="B378" s="14"/>
      <c r="C378" s="14"/>
      <c r="D378" s="157"/>
      <c r="E378" s="157"/>
      <c r="F378" s="49"/>
      <c r="G378" s="147"/>
    </row>
    <row r="379">
      <c r="B379" s="14"/>
      <c r="C379" s="14"/>
      <c r="D379" s="157"/>
      <c r="E379" s="157"/>
      <c r="F379" s="49"/>
      <c r="G379" s="147"/>
    </row>
    <row r="380">
      <c r="B380" s="14"/>
      <c r="C380" s="14"/>
      <c r="D380" s="157"/>
      <c r="E380" s="157"/>
      <c r="F380" s="49"/>
      <c r="G380" s="147"/>
    </row>
    <row r="381">
      <c r="B381" s="14"/>
      <c r="C381" s="14"/>
      <c r="D381" s="157"/>
      <c r="E381" s="157"/>
      <c r="F381" s="49"/>
      <c r="G381" s="147"/>
    </row>
    <row r="382">
      <c r="B382" s="14"/>
      <c r="C382" s="14"/>
      <c r="D382" s="157"/>
      <c r="E382" s="157"/>
      <c r="F382" s="49"/>
      <c r="G382" s="147"/>
    </row>
    <row r="383">
      <c r="B383" s="14"/>
      <c r="C383" s="14"/>
      <c r="D383" s="157"/>
      <c r="E383" s="157"/>
      <c r="F383" s="49"/>
      <c r="G383" s="147"/>
    </row>
    <row r="384">
      <c r="B384" s="14"/>
      <c r="C384" s="14"/>
      <c r="D384" s="157"/>
      <c r="E384" s="157"/>
      <c r="F384" s="49"/>
      <c r="G384" s="147"/>
    </row>
    <row r="385">
      <c r="B385" s="14"/>
      <c r="C385" s="14"/>
      <c r="D385" s="157"/>
      <c r="E385" s="157"/>
      <c r="F385" s="49"/>
      <c r="G385" s="147"/>
    </row>
    <row r="386">
      <c r="B386" s="14"/>
      <c r="C386" s="14"/>
      <c r="D386" s="157"/>
      <c r="E386" s="157"/>
      <c r="F386" s="49"/>
      <c r="G386" s="147"/>
    </row>
    <row r="387">
      <c r="B387" s="14"/>
      <c r="C387" s="14"/>
      <c r="D387" s="157"/>
      <c r="E387" s="157"/>
      <c r="F387" s="49"/>
      <c r="G387" s="147"/>
    </row>
    <row r="388">
      <c r="B388" s="14"/>
      <c r="C388" s="14"/>
      <c r="D388" s="157"/>
      <c r="E388" s="157"/>
      <c r="F388" s="49"/>
      <c r="G388" s="147"/>
    </row>
    <row r="389">
      <c r="B389" s="14"/>
      <c r="C389" s="14"/>
      <c r="D389" s="157"/>
      <c r="E389" s="157"/>
      <c r="F389" s="49"/>
      <c r="G389" s="147"/>
    </row>
    <row r="390">
      <c r="B390" s="14"/>
      <c r="C390" s="14"/>
      <c r="D390" s="157"/>
      <c r="E390" s="157"/>
      <c r="F390" s="49"/>
      <c r="G390" s="147"/>
    </row>
    <row r="391">
      <c r="B391" s="14"/>
      <c r="C391" s="14"/>
      <c r="D391" s="157"/>
      <c r="E391" s="157"/>
      <c r="F391" s="49"/>
      <c r="G391" s="147"/>
    </row>
    <row r="392">
      <c r="B392" s="14"/>
      <c r="C392" s="14"/>
      <c r="D392" s="157"/>
      <c r="E392" s="157"/>
      <c r="F392" s="49"/>
      <c r="G392" s="147"/>
    </row>
    <row r="393">
      <c r="B393" s="14"/>
      <c r="C393" s="14"/>
      <c r="D393" s="157"/>
      <c r="E393" s="157"/>
      <c r="F393" s="49"/>
      <c r="G393" s="147"/>
    </row>
    <row r="394">
      <c r="B394" s="14"/>
      <c r="C394" s="14"/>
      <c r="D394" s="157"/>
      <c r="E394" s="157"/>
      <c r="F394" s="49"/>
      <c r="G394" s="147"/>
    </row>
    <row r="395">
      <c r="B395" s="14"/>
      <c r="C395" s="14"/>
      <c r="D395" s="157"/>
      <c r="E395" s="157"/>
      <c r="F395" s="49"/>
      <c r="G395" s="147"/>
    </row>
    <row r="396">
      <c r="B396" s="14"/>
      <c r="C396" s="14"/>
      <c r="D396" s="157"/>
      <c r="E396" s="157"/>
      <c r="F396" s="49"/>
      <c r="G396" s="147"/>
    </row>
    <row r="397">
      <c r="B397" s="14"/>
      <c r="C397" s="14"/>
      <c r="D397" s="157"/>
      <c r="E397" s="157"/>
      <c r="F397" s="49"/>
      <c r="G397" s="147"/>
    </row>
    <row r="398">
      <c r="B398" s="14"/>
      <c r="C398" s="14"/>
      <c r="D398" s="157"/>
      <c r="E398" s="157"/>
      <c r="F398" s="49"/>
      <c r="G398" s="147"/>
    </row>
    <row r="399">
      <c r="B399" s="14"/>
      <c r="C399" s="14"/>
      <c r="D399" s="157"/>
      <c r="E399" s="157"/>
      <c r="F399" s="49"/>
      <c r="G399" s="147"/>
    </row>
    <row r="400">
      <c r="B400" s="14"/>
      <c r="C400" s="14"/>
      <c r="D400" s="157"/>
      <c r="E400" s="157"/>
      <c r="F400" s="49"/>
      <c r="G400" s="147"/>
    </row>
    <row r="401">
      <c r="B401" s="14"/>
      <c r="C401" s="14"/>
      <c r="D401" s="157"/>
      <c r="E401" s="157"/>
      <c r="F401" s="49"/>
      <c r="G401" s="147"/>
    </row>
    <row r="402">
      <c r="B402" s="14"/>
      <c r="C402" s="14"/>
      <c r="D402" s="157"/>
      <c r="E402" s="157"/>
      <c r="F402" s="49"/>
      <c r="G402" s="147"/>
    </row>
    <row r="403">
      <c r="B403" s="14"/>
      <c r="C403" s="14"/>
      <c r="D403" s="157"/>
      <c r="E403" s="157"/>
      <c r="F403" s="49"/>
      <c r="G403" s="147"/>
    </row>
    <row r="404">
      <c r="B404" s="14"/>
      <c r="C404" s="14"/>
      <c r="D404" s="157"/>
      <c r="E404" s="157"/>
      <c r="F404" s="49"/>
      <c r="G404" s="147"/>
    </row>
    <row r="405">
      <c r="B405" s="14"/>
      <c r="C405" s="14"/>
      <c r="D405" s="157"/>
      <c r="E405" s="157"/>
      <c r="F405" s="49"/>
      <c r="G405" s="147"/>
    </row>
    <row r="406">
      <c r="B406" s="14"/>
      <c r="C406" s="14"/>
      <c r="D406" s="157"/>
      <c r="E406" s="157"/>
      <c r="F406" s="49"/>
      <c r="G406" s="147"/>
    </row>
    <row r="407">
      <c r="B407" s="14"/>
      <c r="C407" s="14"/>
      <c r="D407" s="157"/>
      <c r="E407" s="157"/>
      <c r="F407" s="49"/>
      <c r="G407" s="147"/>
    </row>
    <row r="408">
      <c r="B408" s="14"/>
      <c r="C408" s="14"/>
      <c r="D408" s="157"/>
      <c r="E408" s="157"/>
      <c r="F408" s="49"/>
      <c r="G408" s="147"/>
    </row>
    <row r="409">
      <c r="B409" s="14"/>
      <c r="C409" s="14"/>
      <c r="D409" s="157"/>
      <c r="E409" s="157"/>
      <c r="F409" s="49"/>
      <c r="G409" s="147"/>
    </row>
    <row r="410">
      <c r="B410" s="14"/>
      <c r="C410" s="14"/>
      <c r="D410" s="157"/>
      <c r="E410" s="157"/>
      <c r="F410" s="49"/>
      <c r="G410" s="147"/>
    </row>
    <row r="411">
      <c r="B411" s="14"/>
      <c r="C411" s="14"/>
      <c r="D411" s="157"/>
      <c r="E411" s="157"/>
      <c r="F411" s="49"/>
      <c r="G411" s="147"/>
    </row>
    <row r="412">
      <c r="B412" s="14"/>
      <c r="C412" s="14"/>
      <c r="D412" s="157"/>
      <c r="E412" s="157"/>
      <c r="F412" s="49"/>
      <c r="G412" s="147"/>
    </row>
    <row r="413">
      <c r="B413" s="14"/>
      <c r="C413" s="14"/>
      <c r="D413" s="157"/>
      <c r="E413" s="157"/>
      <c r="F413" s="49"/>
      <c r="G413" s="147"/>
    </row>
    <row r="414">
      <c r="B414" s="14"/>
      <c r="C414" s="14"/>
      <c r="D414" s="157"/>
      <c r="E414" s="157"/>
      <c r="F414" s="49"/>
      <c r="G414" s="147"/>
    </row>
    <row r="415">
      <c r="B415" s="14"/>
      <c r="C415" s="14"/>
      <c r="D415" s="157"/>
      <c r="E415" s="157"/>
      <c r="F415" s="49"/>
      <c r="G415" s="147"/>
    </row>
    <row r="416">
      <c r="B416" s="14"/>
      <c r="C416" s="14"/>
      <c r="D416" s="157"/>
      <c r="E416" s="157"/>
      <c r="F416" s="49"/>
      <c r="G416" s="147"/>
    </row>
    <row r="417">
      <c r="B417" s="14"/>
      <c r="C417" s="14"/>
      <c r="D417" s="157"/>
      <c r="E417" s="157"/>
      <c r="F417" s="49"/>
      <c r="G417" s="147"/>
    </row>
    <row r="418">
      <c r="B418" s="14"/>
      <c r="C418" s="14"/>
      <c r="D418" s="157"/>
      <c r="E418" s="157"/>
      <c r="F418" s="49"/>
      <c r="G418" s="147"/>
    </row>
    <row r="419">
      <c r="B419" s="14"/>
      <c r="C419" s="14"/>
      <c r="D419" s="157"/>
      <c r="E419" s="157"/>
      <c r="F419" s="49"/>
      <c r="G419" s="147"/>
    </row>
    <row r="420">
      <c r="B420" s="14"/>
      <c r="C420" s="14"/>
      <c r="D420" s="157"/>
      <c r="E420" s="157"/>
      <c r="F420" s="49"/>
      <c r="G420" s="147"/>
    </row>
    <row r="421">
      <c r="B421" s="14"/>
      <c r="C421" s="14"/>
      <c r="D421" s="157"/>
      <c r="E421" s="157"/>
      <c r="F421" s="49"/>
      <c r="G421" s="147"/>
    </row>
    <row r="422">
      <c r="B422" s="14"/>
      <c r="C422" s="14"/>
      <c r="D422" s="157"/>
      <c r="E422" s="157"/>
      <c r="F422" s="49"/>
      <c r="G422" s="147"/>
    </row>
    <row r="423">
      <c r="B423" s="14"/>
      <c r="C423" s="14"/>
      <c r="D423" s="157"/>
      <c r="E423" s="157"/>
      <c r="F423" s="49"/>
      <c r="G423" s="147"/>
    </row>
    <row r="424">
      <c r="B424" s="14"/>
      <c r="C424" s="14"/>
      <c r="D424" s="157"/>
      <c r="E424" s="157"/>
      <c r="F424" s="49"/>
      <c r="G424" s="147"/>
    </row>
    <row r="425">
      <c r="B425" s="14"/>
      <c r="C425" s="14"/>
      <c r="D425" s="157"/>
      <c r="E425" s="157"/>
      <c r="F425" s="49"/>
      <c r="G425" s="147"/>
    </row>
    <row r="426">
      <c r="B426" s="14"/>
      <c r="C426" s="14"/>
      <c r="D426" s="157"/>
      <c r="E426" s="157"/>
      <c r="F426" s="49"/>
      <c r="G426" s="147"/>
    </row>
    <row r="427">
      <c r="B427" s="14"/>
      <c r="C427" s="14"/>
      <c r="D427" s="157"/>
      <c r="E427" s="157"/>
      <c r="F427" s="49"/>
      <c r="G427" s="147"/>
    </row>
    <row r="428">
      <c r="B428" s="14"/>
      <c r="C428" s="14"/>
      <c r="D428" s="157"/>
      <c r="E428" s="157"/>
      <c r="F428" s="49"/>
      <c r="G428" s="147"/>
    </row>
    <row r="429">
      <c r="B429" s="14"/>
      <c r="C429" s="14"/>
      <c r="D429" s="157"/>
      <c r="E429" s="157"/>
      <c r="F429" s="49"/>
      <c r="G429" s="147"/>
    </row>
    <row r="430">
      <c r="B430" s="14"/>
      <c r="C430" s="14"/>
      <c r="D430" s="157"/>
      <c r="E430" s="157"/>
      <c r="F430" s="49"/>
      <c r="G430" s="147"/>
    </row>
    <row r="431">
      <c r="B431" s="14"/>
      <c r="C431" s="14"/>
      <c r="D431" s="157"/>
      <c r="E431" s="157"/>
      <c r="F431" s="49"/>
      <c r="G431" s="147"/>
    </row>
    <row r="432">
      <c r="B432" s="14"/>
      <c r="C432" s="14"/>
      <c r="D432" s="157"/>
      <c r="E432" s="157"/>
      <c r="F432" s="49"/>
      <c r="G432" s="147"/>
    </row>
    <row r="433">
      <c r="B433" s="14"/>
      <c r="C433" s="14"/>
      <c r="D433" s="157"/>
      <c r="E433" s="157"/>
      <c r="F433" s="49"/>
      <c r="G433" s="147"/>
    </row>
    <row r="434">
      <c r="B434" s="14"/>
      <c r="C434" s="14"/>
      <c r="D434" s="157"/>
      <c r="E434" s="157"/>
      <c r="F434" s="49"/>
      <c r="G434" s="147"/>
    </row>
    <row r="435">
      <c r="B435" s="14"/>
      <c r="C435" s="14"/>
      <c r="D435" s="157"/>
      <c r="E435" s="157"/>
      <c r="F435" s="49"/>
      <c r="G435" s="147"/>
    </row>
    <row r="436">
      <c r="B436" s="14"/>
      <c r="C436" s="14"/>
      <c r="D436" s="157"/>
      <c r="E436" s="157"/>
      <c r="F436" s="49"/>
      <c r="G436" s="147"/>
    </row>
    <row r="437">
      <c r="B437" s="14"/>
      <c r="C437" s="14"/>
      <c r="D437" s="157"/>
      <c r="E437" s="157"/>
      <c r="F437" s="49"/>
      <c r="G437" s="147"/>
    </row>
    <row r="438">
      <c r="B438" s="14"/>
      <c r="C438" s="14"/>
      <c r="D438" s="157"/>
      <c r="E438" s="157"/>
      <c r="F438" s="49"/>
      <c r="G438" s="147"/>
    </row>
    <row r="439">
      <c r="B439" s="14"/>
      <c r="C439" s="14"/>
      <c r="D439" s="157"/>
      <c r="E439" s="157"/>
      <c r="F439" s="49"/>
      <c r="G439" s="147"/>
    </row>
    <row r="440">
      <c r="B440" s="14"/>
      <c r="C440" s="14"/>
      <c r="D440" s="157"/>
      <c r="E440" s="157"/>
      <c r="F440" s="49"/>
      <c r="G440" s="147"/>
    </row>
    <row r="441">
      <c r="B441" s="14"/>
      <c r="C441" s="14"/>
      <c r="D441" s="157"/>
      <c r="E441" s="157"/>
      <c r="F441" s="49"/>
      <c r="G441" s="147"/>
    </row>
    <row r="442">
      <c r="B442" s="14"/>
      <c r="C442" s="14"/>
      <c r="D442" s="157"/>
      <c r="E442" s="157"/>
      <c r="F442" s="49"/>
      <c r="G442" s="147"/>
    </row>
    <row r="443">
      <c r="B443" s="14"/>
      <c r="C443" s="14"/>
      <c r="D443" s="157"/>
      <c r="E443" s="157"/>
      <c r="F443" s="49"/>
      <c r="G443" s="147"/>
    </row>
    <row r="444">
      <c r="B444" s="14"/>
      <c r="C444" s="14"/>
      <c r="D444" s="157"/>
      <c r="E444" s="157"/>
      <c r="F444" s="49"/>
      <c r="G444" s="147"/>
    </row>
    <row r="445">
      <c r="B445" s="14"/>
      <c r="C445" s="14"/>
      <c r="D445" s="157"/>
      <c r="E445" s="157"/>
      <c r="F445" s="49"/>
      <c r="G445" s="147"/>
    </row>
    <row r="446">
      <c r="B446" s="14"/>
      <c r="C446" s="14"/>
      <c r="D446" s="157"/>
      <c r="E446" s="157"/>
      <c r="F446" s="49"/>
      <c r="G446" s="147"/>
    </row>
    <row r="447">
      <c r="B447" s="14"/>
      <c r="C447" s="14"/>
      <c r="D447" s="157"/>
      <c r="E447" s="157"/>
      <c r="F447" s="49"/>
      <c r="G447" s="147"/>
    </row>
    <row r="448">
      <c r="B448" s="14"/>
      <c r="C448" s="14"/>
      <c r="D448" s="157"/>
      <c r="E448" s="157"/>
      <c r="F448" s="49"/>
      <c r="G448" s="147"/>
    </row>
    <row r="449">
      <c r="B449" s="14"/>
      <c r="C449" s="14"/>
      <c r="D449" s="157"/>
      <c r="E449" s="157"/>
      <c r="F449" s="49"/>
      <c r="G449" s="147"/>
    </row>
    <row r="450">
      <c r="B450" s="14"/>
      <c r="C450" s="14"/>
      <c r="D450" s="157"/>
      <c r="E450" s="157"/>
      <c r="F450" s="49"/>
      <c r="G450" s="147"/>
    </row>
    <row r="451">
      <c r="B451" s="14"/>
      <c r="C451" s="14"/>
      <c r="D451" s="157"/>
      <c r="E451" s="157"/>
      <c r="F451" s="49"/>
      <c r="G451" s="147"/>
    </row>
    <row r="452">
      <c r="B452" s="14"/>
      <c r="C452" s="14"/>
      <c r="D452" s="157"/>
      <c r="E452" s="157"/>
      <c r="F452" s="49"/>
      <c r="G452" s="147"/>
    </row>
    <row r="453">
      <c r="B453" s="14"/>
      <c r="C453" s="14"/>
      <c r="D453" s="157"/>
      <c r="E453" s="157"/>
      <c r="F453" s="49"/>
      <c r="G453" s="147"/>
    </row>
    <row r="454">
      <c r="B454" s="14"/>
      <c r="C454" s="14"/>
      <c r="D454" s="157"/>
      <c r="E454" s="157"/>
      <c r="F454" s="49"/>
      <c r="G454" s="147"/>
    </row>
    <row r="455">
      <c r="B455" s="14"/>
      <c r="C455" s="14"/>
      <c r="D455" s="157"/>
      <c r="E455" s="157"/>
      <c r="F455" s="49"/>
      <c r="G455" s="147"/>
    </row>
    <row r="456">
      <c r="B456" s="14"/>
      <c r="C456" s="14"/>
      <c r="D456" s="157"/>
      <c r="E456" s="157"/>
      <c r="F456" s="49"/>
      <c r="G456" s="147"/>
    </row>
    <row r="457">
      <c r="B457" s="14"/>
      <c r="C457" s="14"/>
      <c r="D457" s="157"/>
      <c r="E457" s="157"/>
      <c r="F457" s="49"/>
      <c r="G457" s="147"/>
    </row>
    <row r="458">
      <c r="B458" s="14"/>
      <c r="C458" s="14"/>
      <c r="D458" s="157"/>
      <c r="E458" s="157"/>
      <c r="F458" s="49"/>
      <c r="G458" s="147"/>
    </row>
    <row r="459">
      <c r="B459" s="14"/>
      <c r="C459" s="14"/>
      <c r="D459" s="157"/>
      <c r="E459" s="157"/>
      <c r="F459" s="49"/>
      <c r="G459" s="147"/>
    </row>
    <row r="460">
      <c r="B460" s="14"/>
      <c r="C460" s="14"/>
      <c r="D460" s="157"/>
      <c r="E460" s="157"/>
      <c r="F460" s="49"/>
      <c r="G460" s="147"/>
    </row>
    <row r="461">
      <c r="B461" s="14"/>
      <c r="C461" s="14"/>
      <c r="D461" s="157"/>
      <c r="E461" s="157"/>
      <c r="F461" s="49"/>
      <c r="G461" s="147"/>
    </row>
    <row r="462">
      <c r="B462" s="14"/>
      <c r="C462" s="14"/>
      <c r="D462" s="157"/>
      <c r="E462" s="157"/>
      <c r="F462" s="49"/>
      <c r="G462" s="147"/>
    </row>
    <row r="463">
      <c r="B463" s="14"/>
      <c r="C463" s="14"/>
      <c r="D463" s="157"/>
      <c r="E463" s="157"/>
      <c r="F463" s="49"/>
      <c r="G463" s="147"/>
    </row>
    <row r="464">
      <c r="B464" s="14"/>
      <c r="C464" s="14"/>
      <c r="D464" s="157"/>
      <c r="E464" s="157"/>
      <c r="F464" s="49"/>
      <c r="G464" s="147"/>
    </row>
    <row r="465">
      <c r="B465" s="14"/>
      <c r="C465" s="14"/>
      <c r="D465" s="157"/>
      <c r="E465" s="157"/>
      <c r="F465" s="49"/>
      <c r="G465" s="147"/>
    </row>
    <row r="466">
      <c r="B466" s="14"/>
      <c r="C466" s="14"/>
      <c r="D466" s="157"/>
      <c r="E466" s="157"/>
      <c r="F466" s="49"/>
      <c r="G466" s="147"/>
    </row>
    <row r="467">
      <c r="B467" s="14"/>
      <c r="C467" s="14"/>
      <c r="D467" s="157"/>
      <c r="E467" s="157"/>
      <c r="F467" s="49"/>
      <c r="G467" s="147"/>
    </row>
    <row r="468">
      <c r="B468" s="14"/>
      <c r="C468" s="14"/>
      <c r="D468" s="157"/>
      <c r="E468" s="157"/>
      <c r="F468" s="49"/>
      <c r="G468" s="147"/>
    </row>
    <row r="469">
      <c r="B469" s="14"/>
      <c r="C469" s="14"/>
      <c r="D469" s="157"/>
      <c r="E469" s="157"/>
      <c r="F469" s="49"/>
      <c r="G469" s="147"/>
    </row>
    <row r="470">
      <c r="B470" s="14"/>
      <c r="C470" s="14"/>
      <c r="D470" s="157"/>
      <c r="E470" s="157"/>
      <c r="F470" s="49"/>
      <c r="G470" s="147"/>
    </row>
    <row r="471">
      <c r="B471" s="14"/>
      <c r="C471" s="14"/>
      <c r="D471" s="157"/>
      <c r="E471" s="157"/>
      <c r="F471" s="49"/>
      <c r="G471" s="147"/>
    </row>
    <row r="472">
      <c r="B472" s="14"/>
      <c r="C472" s="14"/>
      <c r="D472" s="157"/>
      <c r="E472" s="157"/>
      <c r="F472" s="49"/>
      <c r="G472" s="147"/>
    </row>
    <row r="473">
      <c r="B473" s="14"/>
      <c r="C473" s="14"/>
      <c r="D473" s="157"/>
      <c r="E473" s="157"/>
      <c r="F473" s="49"/>
      <c r="G473" s="147"/>
    </row>
    <row r="474">
      <c r="B474" s="14"/>
      <c r="C474" s="14"/>
      <c r="D474" s="157"/>
      <c r="E474" s="157"/>
      <c r="F474" s="49"/>
      <c r="G474" s="147"/>
    </row>
    <row r="475">
      <c r="B475" s="14"/>
      <c r="C475" s="14"/>
      <c r="D475" s="157"/>
      <c r="E475" s="157"/>
      <c r="F475" s="49"/>
      <c r="G475" s="147"/>
    </row>
    <row r="476">
      <c r="B476" s="14"/>
      <c r="C476" s="14"/>
      <c r="D476" s="157"/>
      <c r="E476" s="157"/>
      <c r="F476" s="49"/>
      <c r="G476" s="147"/>
    </row>
    <row r="477">
      <c r="B477" s="14"/>
      <c r="C477" s="14"/>
      <c r="D477" s="157"/>
      <c r="E477" s="157"/>
      <c r="F477" s="49"/>
      <c r="G477" s="147"/>
    </row>
    <row r="478">
      <c r="B478" s="14"/>
      <c r="C478" s="14"/>
      <c r="D478" s="157"/>
      <c r="E478" s="157"/>
      <c r="F478" s="49"/>
      <c r="G478" s="147"/>
    </row>
    <row r="479">
      <c r="B479" s="14"/>
      <c r="C479" s="14"/>
      <c r="D479" s="157"/>
      <c r="E479" s="157"/>
      <c r="F479" s="49"/>
      <c r="G479" s="147"/>
    </row>
    <row r="480">
      <c r="B480" s="14"/>
      <c r="C480" s="14"/>
      <c r="D480" s="157"/>
      <c r="E480" s="157"/>
      <c r="F480" s="49"/>
      <c r="G480" s="147"/>
    </row>
    <row r="481">
      <c r="B481" s="14"/>
      <c r="C481" s="14"/>
      <c r="D481" s="157"/>
      <c r="E481" s="157"/>
      <c r="F481" s="49"/>
      <c r="G481" s="147"/>
    </row>
    <row r="482">
      <c r="B482" s="14"/>
      <c r="C482" s="14"/>
      <c r="D482" s="157"/>
      <c r="E482" s="157"/>
      <c r="F482" s="49"/>
      <c r="G482" s="147"/>
    </row>
    <row r="483">
      <c r="B483" s="14"/>
      <c r="C483" s="14"/>
      <c r="D483" s="157"/>
      <c r="E483" s="157"/>
      <c r="F483" s="49"/>
      <c r="G483" s="147"/>
    </row>
    <row r="484">
      <c r="B484" s="14"/>
      <c r="C484" s="14"/>
      <c r="D484" s="157"/>
      <c r="E484" s="157"/>
      <c r="F484" s="49"/>
      <c r="G484" s="147"/>
    </row>
    <row r="485">
      <c r="B485" s="14"/>
      <c r="C485" s="14"/>
      <c r="D485" s="157"/>
      <c r="E485" s="157"/>
      <c r="F485" s="49"/>
      <c r="G485" s="147"/>
    </row>
    <row r="486">
      <c r="B486" s="14"/>
      <c r="C486" s="14"/>
      <c r="D486" s="157"/>
      <c r="E486" s="157"/>
      <c r="F486" s="49"/>
      <c r="G486" s="147"/>
    </row>
    <row r="487">
      <c r="B487" s="14"/>
      <c r="C487" s="14"/>
      <c r="D487" s="157"/>
      <c r="E487" s="157"/>
      <c r="F487" s="49"/>
      <c r="G487" s="147"/>
    </row>
    <row r="488">
      <c r="B488" s="14"/>
      <c r="C488" s="14"/>
      <c r="D488" s="157"/>
      <c r="E488" s="157"/>
      <c r="F488" s="49"/>
      <c r="G488" s="147"/>
    </row>
    <row r="489">
      <c r="B489" s="14"/>
      <c r="C489" s="14"/>
      <c r="D489" s="157"/>
      <c r="E489" s="157"/>
      <c r="F489" s="49"/>
      <c r="G489" s="147"/>
    </row>
    <row r="490">
      <c r="B490" s="14"/>
      <c r="C490" s="14"/>
      <c r="D490" s="157"/>
      <c r="E490" s="157"/>
      <c r="F490" s="49"/>
      <c r="G490" s="147"/>
    </row>
    <row r="491">
      <c r="B491" s="14"/>
      <c r="C491" s="14"/>
      <c r="D491" s="157"/>
      <c r="E491" s="157"/>
      <c r="F491" s="49"/>
      <c r="G491" s="147"/>
    </row>
    <row r="492">
      <c r="B492" s="14"/>
      <c r="C492" s="14"/>
      <c r="D492" s="157"/>
      <c r="E492" s="157"/>
      <c r="F492" s="49"/>
      <c r="G492" s="147"/>
    </row>
    <row r="493">
      <c r="B493" s="14"/>
      <c r="C493" s="14"/>
      <c r="D493" s="157"/>
      <c r="E493" s="157"/>
      <c r="F493" s="49"/>
      <c r="G493" s="147"/>
    </row>
    <row r="494">
      <c r="B494" s="14"/>
      <c r="C494" s="14"/>
      <c r="D494" s="157"/>
      <c r="E494" s="157"/>
      <c r="F494" s="49"/>
      <c r="G494" s="147"/>
    </row>
    <row r="495">
      <c r="B495" s="14"/>
      <c r="C495" s="14"/>
      <c r="D495" s="157"/>
      <c r="E495" s="157"/>
      <c r="F495" s="49"/>
      <c r="G495" s="147"/>
    </row>
    <row r="496">
      <c r="B496" s="14"/>
      <c r="C496" s="14"/>
      <c r="D496" s="157"/>
      <c r="E496" s="157"/>
      <c r="F496" s="49"/>
      <c r="G496" s="147"/>
    </row>
    <row r="497">
      <c r="B497" s="14"/>
      <c r="C497" s="14"/>
      <c r="D497" s="157"/>
      <c r="E497" s="157"/>
      <c r="F497" s="49"/>
      <c r="G497" s="147"/>
    </row>
    <row r="498">
      <c r="B498" s="14"/>
      <c r="C498" s="14"/>
      <c r="D498" s="157"/>
      <c r="E498" s="157"/>
      <c r="F498" s="49"/>
      <c r="G498" s="147"/>
    </row>
    <row r="499">
      <c r="B499" s="14"/>
      <c r="C499" s="14"/>
      <c r="D499" s="157"/>
      <c r="E499" s="157"/>
      <c r="F499" s="49"/>
      <c r="G499" s="147"/>
    </row>
    <row r="500">
      <c r="B500" s="14"/>
      <c r="C500" s="14"/>
      <c r="D500" s="157"/>
      <c r="E500" s="157"/>
      <c r="F500" s="49"/>
      <c r="G500" s="147"/>
    </row>
    <row r="501">
      <c r="B501" s="14"/>
      <c r="C501" s="14"/>
      <c r="D501" s="157"/>
      <c r="E501" s="157"/>
      <c r="F501" s="49"/>
      <c r="G501" s="147"/>
    </row>
    <row r="502">
      <c r="B502" s="14"/>
      <c r="C502" s="14"/>
      <c r="D502" s="157"/>
      <c r="E502" s="157"/>
      <c r="F502" s="49"/>
      <c r="G502" s="147"/>
    </row>
    <row r="503">
      <c r="B503" s="14"/>
      <c r="C503" s="14"/>
      <c r="D503" s="157"/>
      <c r="E503" s="157"/>
      <c r="F503" s="49"/>
      <c r="G503" s="147"/>
    </row>
    <row r="504">
      <c r="B504" s="14"/>
      <c r="C504" s="14"/>
      <c r="D504" s="157"/>
      <c r="E504" s="157"/>
      <c r="F504" s="49"/>
      <c r="G504" s="147"/>
    </row>
    <row r="505">
      <c r="B505" s="14"/>
      <c r="C505" s="14"/>
      <c r="D505" s="157"/>
      <c r="E505" s="157"/>
      <c r="F505" s="49"/>
      <c r="G505" s="147"/>
    </row>
    <row r="506">
      <c r="B506" s="14"/>
      <c r="C506" s="14"/>
      <c r="D506" s="157"/>
      <c r="E506" s="157"/>
      <c r="F506" s="49"/>
      <c r="G506" s="147"/>
    </row>
    <row r="507">
      <c r="B507" s="14"/>
      <c r="C507" s="14"/>
      <c r="D507" s="157"/>
      <c r="E507" s="157"/>
      <c r="F507" s="49"/>
      <c r="G507" s="147"/>
    </row>
    <row r="508">
      <c r="B508" s="14"/>
      <c r="C508" s="14"/>
      <c r="D508" s="157"/>
      <c r="E508" s="157"/>
      <c r="F508" s="49"/>
      <c r="G508" s="147"/>
    </row>
    <row r="509">
      <c r="B509" s="14"/>
      <c r="C509" s="14"/>
      <c r="D509" s="157"/>
      <c r="E509" s="157"/>
      <c r="F509" s="49"/>
      <c r="G509" s="147"/>
    </row>
    <row r="510">
      <c r="B510" s="14"/>
      <c r="C510" s="14"/>
      <c r="D510" s="157"/>
      <c r="E510" s="157"/>
      <c r="F510" s="49"/>
      <c r="G510" s="147"/>
    </row>
    <row r="511">
      <c r="B511" s="14"/>
      <c r="C511" s="14"/>
      <c r="D511" s="157"/>
      <c r="E511" s="157"/>
      <c r="F511" s="49"/>
      <c r="G511" s="147"/>
    </row>
    <row r="512">
      <c r="B512" s="14"/>
      <c r="C512" s="14"/>
      <c r="D512" s="157"/>
      <c r="E512" s="157"/>
      <c r="F512" s="49"/>
      <c r="G512" s="147"/>
    </row>
    <row r="513">
      <c r="B513" s="14"/>
      <c r="C513" s="14"/>
      <c r="D513" s="157"/>
      <c r="E513" s="157"/>
      <c r="F513" s="49"/>
      <c r="G513" s="147"/>
    </row>
    <row r="514">
      <c r="B514" s="14"/>
      <c r="C514" s="14"/>
      <c r="D514" s="157"/>
      <c r="E514" s="157"/>
      <c r="F514" s="49"/>
      <c r="G514" s="147"/>
    </row>
    <row r="515">
      <c r="B515" s="14"/>
      <c r="C515" s="14"/>
      <c r="D515" s="157"/>
      <c r="E515" s="157"/>
      <c r="F515" s="49"/>
      <c r="G515" s="147"/>
    </row>
    <row r="516">
      <c r="B516" s="14"/>
      <c r="C516" s="14"/>
      <c r="D516" s="157"/>
      <c r="E516" s="157"/>
      <c r="F516" s="49"/>
      <c r="G516" s="147"/>
    </row>
    <row r="517">
      <c r="B517" s="14"/>
      <c r="C517" s="14"/>
      <c r="D517" s="157"/>
      <c r="E517" s="157"/>
      <c r="F517" s="49"/>
      <c r="G517" s="147"/>
    </row>
    <row r="518">
      <c r="B518" s="14"/>
      <c r="C518" s="14"/>
      <c r="D518" s="157"/>
      <c r="E518" s="157"/>
      <c r="F518" s="49"/>
      <c r="G518" s="147"/>
    </row>
    <row r="519">
      <c r="B519" s="14"/>
      <c r="C519" s="14"/>
      <c r="D519" s="157"/>
      <c r="E519" s="157"/>
      <c r="F519" s="49"/>
      <c r="G519" s="147"/>
    </row>
    <row r="520">
      <c r="B520" s="14"/>
      <c r="C520" s="14"/>
      <c r="D520" s="157"/>
      <c r="E520" s="157"/>
      <c r="F520" s="49"/>
      <c r="G520" s="147"/>
    </row>
    <row r="521">
      <c r="B521" s="14"/>
      <c r="C521" s="14"/>
      <c r="D521" s="157"/>
      <c r="E521" s="157"/>
      <c r="F521" s="49"/>
      <c r="G521" s="147"/>
    </row>
    <row r="522">
      <c r="B522" s="14"/>
      <c r="C522" s="14"/>
      <c r="D522" s="157"/>
      <c r="E522" s="157"/>
      <c r="F522" s="49"/>
      <c r="G522" s="147"/>
    </row>
    <row r="523">
      <c r="B523" s="14"/>
      <c r="C523" s="14"/>
      <c r="D523" s="157"/>
      <c r="E523" s="157"/>
      <c r="F523" s="49"/>
      <c r="G523" s="147"/>
    </row>
    <row r="524">
      <c r="B524" s="14"/>
      <c r="C524" s="14"/>
      <c r="D524" s="157"/>
      <c r="E524" s="157"/>
      <c r="F524" s="49"/>
      <c r="G524" s="147"/>
    </row>
    <row r="525">
      <c r="B525" s="14"/>
      <c r="C525" s="14"/>
      <c r="D525" s="157"/>
      <c r="E525" s="157"/>
      <c r="F525" s="49"/>
      <c r="G525" s="147"/>
    </row>
    <row r="526">
      <c r="B526" s="14"/>
      <c r="C526" s="14"/>
      <c r="D526" s="157"/>
      <c r="E526" s="157"/>
      <c r="F526" s="49"/>
      <c r="G526" s="147"/>
    </row>
    <row r="527">
      <c r="B527" s="14"/>
      <c r="C527" s="14"/>
      <c r="D527" s="157"/>
      <c r="E527" s="157"/>
      <c r="F527" s="49"/>
      <c r="G527" s="147"/>
    </row>
    <row r="528">
      <c r="B528" s="14"/>
      <c r="C528" s="14"/>
      <c r="D528" s="157"/>
      <c r="E528" s="157"/>
      <c r="F528" s="49"/>
      <c r="G528" s="147"/>
    </row>
    <row r="529">
      <c r="B529" s="14"/>
      <c r="C529" s="14"/>
      <c r="D529" s="157"/>
      <c r="E529" s="157"/>
      <c r="F529" s="49"/>
      <c r="G529" s="147"/>
    </row>
    <row r="530">
      <c r="B530" s="14"/>
      <c r="C530" s="14"/>
      <c r="D530" s="157"/>
      <c r="E530" s="157"/>
      <c r="F530" s="49"/>
      <c r="G530" s="147"/>
    </row>
    <row r="531">
      <c r="B531" s="14"/>
      <c r="C531" s="14"/>
      <c r="D531" s="157"/>
      <c r="E531" s="157"/>
      <c r="F531" s="49"/>
      <c r="G531" s="147"/>
    </row>
    <row r="532">
      <c r="B532" s="14"/>
      <c r="C532" s="14"/>
      <c r="D532" s="157"/>
      <c r="E532" s="157"/>
      <c r="F532" s="49"/>
      <c r="G532" s="147"/>
    </row>
    <row r="533">
      <c r="B533" s="14"/>
      <c r="C533" s="14"/>
      <c r="D533" s="157"/>
      <c r="E533" s="157"/>
      <c r="F533" s="49"/>
      <c r="G533" s="147"/>
    </row>
    <row r="534">
      <c r="B534" s="14"/>
      <c r="C534" s="14"/>
      <c r="D534" s="157"/>
      <c r="E534" s="157"/>
      <c r="F534" s="49"/>
      <c r="G534" s="147"/>
    </row>
    <row r="535">
      <c r="B535" s="14"/>
      <c r="C535" s="14"/>
      <c r="D535" s="157"/>
      <c r="E535" s="157"/>
      <c r="F535" s="49"/>
      <c r="G535" s="147"/>
    </row>
    <row r="536">
      <c r="B536" s="14"/>
      <c r="C536" s="14"/>
      <c r="D536" s="157"/>
      <c r="E536" s="157"/>
      <c r="F536" s="49"/>
      <c r="G536" s="147"/>
    </row>
    <row r="537">
      <c r="B537" s="14"/>
      <c r="C537" s="14"/>
      <c r="D537" s="157"/>
      <c r="E537" s="157"/>
      <c r="F537" s="49"/>
      <c r="G537" s="147"/>
    </row>
    <row r="538">
      <c r="B538" s="14"/>
      <c r="C538" s="14"/>
      <c r="D538" s="157"/>
      <c r="E538" s="157"/>
      <c r="F538" s="49"/>
      <c r="G538" s="147"/>
    </row>
    <row r="539">
      <c r="B539" s="14"/>
      <c r="C539" s="14"/>
      <c r="D539" s="157"/>
      <c r="E539" s="157"/>
      <c r="F539" s="49"/>
      <c r="G539" s="147"/>
    </row>
    <row r="540">
      <c r="B540" s="14"/>
      <c r="C540" s="14"/>
      <c r="D540" s="157"/>
      <c r="E540" s="157"/>
      <c r="F540" s="49"/>
      <c r="G540" s="147"/>
    </row>
    <row r="541">
      <c r="B541" s="14"/>
      <c r="C541" s="14"/>
      <c r="D541" s="157"/>
      <c r="E541" s="157"/>
      <c r="F541" s="49"/>
      <c r="G541" s="147"/>
    </row>
    <row r="542">
      <c r="B542" s="14"/>
      <c r="C542" s="14"/>
      <c r="D542" s="157"/>
      <c r="E542" s="157"/>
      <c r="F542" s="49"/>
      <c r="G542" s="147"/>
    </row>
    <row r="543">
      <c r="B543" s="14"/>
      <c r="C543" s="14"/>
      <c r="D543" s="157"/>
      <c r="E543" s="157"/>
      <c r="F543" s="49"/>
      <c r="G543" s="147"/>
    </row>
    <row r="544">
      <c r="B544" s="14"/>
      <c r="C544" s="14"/>
      <c r="D544" s="157"/>
      <c r="E544" s="157"/>
      <c r="F544" s="49"/>
      <c r="G544" s="147"/>
    </row>
    <row r="545">
      <c r="B545" s="14"/>
      <c r="C545" s="14"/>
      <c r="D545" s="157"/>
      <c r="E545" s="157"/>
      <c r="F545" s="49"/>
      <c r="G545" s="147"/>
    </row>
    <row r="546">
      <c r="B546" s="14"/>
      <c r="C546" s="14"/>
      <c r="D546" s="157"/>
      <c r="E546" s="157"/>
      <c r="F546" s="49"/>
      <c r="G546" s="147"/>
    </row>
    <row r="547">
      <c r="B547" s="14"/>
      <c r="C547" s="14"/>
      <c r="D547" s="157"/>
      <c r="E547" s="157"/>
      <c r="F547" s="49"/>
      <c r="G547" s="147"/>
    </row>
    <row r="548">
      <c r="B548" s="14"/>
      <c r="C548" s="14"/>
      <c r="D548" s="157"/>
      <c r="E548" s="157"/>
      <c r="F548" s="49"/>
      <c r="G548" s="147"/>
    </row>
    <row r="549">
      <c r="B549" s="14"/>
      <c r="C549" s="14"/>
      <c r="D549" s="157"/>
      <c r="E549" s="157"/>
      <c r="F549" s="49"/>
      <c r="G549" s="147"/>
    </row>
    <row r="550">
      <c r="B550" s="14"/>
      <c r="C550" s="14"/>
      <c r="D550" s="157"/>
      <c r="E550" s="157"/>
      <c r="F550" s="49"/>
      <c r="G550" s="147"/>
    </row>
    <row r="551">
      <c r="B551" s="14"/>
      <c r="C551" s="14"/>
      <c r="D551" s="157"/>
      <c r="E551" s="157"/>
      <c r="F551" s="49"/>
      <c r="G551" s="147"/>
    </row>
    <row r="552">
      <c r="B552" s="14"/>
      <c r="C552" s="14"/>
      <c r="D552" s="157"/>
      <c r="E552" s="157"/>
      <c r="F552" s="49"/>
      <c r="G552" s="147"/>
    </row>
    <row r="553">
      <c r="B553" s="14"/>
      <c r="C553" s="14"/>
      <c r="D553" s="157"/>
      <c r="E553" s="157"/>
      <c r="F553" s="49"/>
      <c r="G553" s="147"/>
    </row>
    <row r="554">
      <c r="B554" s="14"/>
      <c r="C554" s="14"/>
      <c r="D554" s="157"/>
      <c r="E554" s="157"/>
      <c r="F554" s="49"/>
      <c r="G554" s="147"/>
    </row>
    <row r="555">
      <c r="B555" s="14"/>
      <c r="C555" s="14"/>
      <c r="D555" s="157"/>
      <c r="E555" s="157"/>
      <c r="F555" s="49"/>
      <c r="G555" s="147"/>
    </row>
    <row r="556">
      <c r="B556" s="14"/>
      <c r="C556" s="14"/>
      <c r="D556" s="157"/>
      <c r="E556" s="157"/>
      <c r="F556" s="49"/>
      <c r="G556" s="147"/>
    </row>
    <row r="557">
      <c r="B557" s="14"/>
      <c r="C557" s="14"/>
      <c r="D557" s="157"/>
      <c r="E557" s="157"/>
      <c r="F557" s="49"/>
      <c r="G557" s="147"/>
    </row>
    <row r="558">
      <c r="B558" s="14"/>
      <c r="C558" s="14"/>
      <c r="D558" s="157"/>
      <c r="E558" s="157"/>
      <c r="F558" s="49"/>
      <c r="G558" s="147"/>
    </row>
    <row r="559">
      <c r="B559" s="14"/>
      <c r="C559" s="14"/>
      <c r="D559" s="157"/>
      <c r="E559" s="157"/>
      <c r="F559" s="49"/>
      <c r="G559" s="147"/>
    </row>
    <row r="560">
      <c r="B560" s="14"/>
      <c r="C560" s="14"/>
      <c r="D560" s="157"/>
      <c r="E560" s="157"/>
      <c r="F560" s="49"/>
      <c r="G560" s="147"/>
    </row>
    <row r="561">
      <c r="B561" s="14"/>
      <c r="C561" s="14"/>
      <c r="D561" s="157"/>
      <c r="E561" s="157"/>
      <c r="F561" s="49"/>
      <c r="G561" s="147"/>
    </row>
    <row r="562">
      <c r="B562" s="14"/>
      <c r="C562" s="14"/>
      <c r="D562" s="157"/>
      <c r="E562" s="157"/>
      <c r="F562" s="49"/>
      <c r="G562" s="147"/>
    </row>
    <row r="563">
      <c r="B563" s="14"/>
      <c r="C563" s="14"/>
      <c r="D563" s="157"/>
      <c r="E563" s="157"/>
      <c r="F563" s="49"/>
      <c r="G563" s="147"/>
    </row>
    <row r="564">
      <c r="B564" s="14"/>
      <c r="C564" s="14"/>
      <c r="D564" s="157"/>
      <c r="E564" s="157"/>
      <c r="F564" s="49"/>
      <c r="G564" s="147"/>
    </row>
    <row r="565">
      <c r="B565" s="14"/>
      <c r="C565" s="14"/>
      <c r="D565" s="157"/>
      <c r="E565" s="157"/>
      <c r="F565" s="49"/>
      <c r="G565" s="147"/>
    </row>
    <row r="566">
      <c r="B566" s="14"/>
      <c r="C566" s="14"/>
      <c r="D566" s="157"/>
      <c r="E566" s="157"/>
      <c r="F566" s="49"/>
      <c r="G566" s="147"/>
    </row>
    <row r="567">
      <c r="B567" s="14"/>
      <c r="C567" s="14"/>
      <c r="D567" s="157"/>
      <c r="E567" s="157"/>
      <c r="F567" s="49"/>
      <c r="G567" s="147"/>
    </row>
    <row r="568">
      <c r="B568" s="14"/>
      <c r="C568" s="14"/>
      <c r="D568" s="157"/>
      <c r="E568" s="157"/>
      <c r="F568" s="49"/>
      <c r="G568" s="147"/>
    </row>
    <row r="569">
      <c r="B569" s="14"/>
      <c r="C569" s="14"/>
      <c r="D569" s="157"/>
      <c r="E569" s="157"/>
      <c r="F569" s="49"/>
      <c r="G569" s="147"/>
    </row>
    <row r="570">
      <c r="B570" s="14"/>
      <c r="C570" s="14"/>
      <c r="D570" s="157"/>
      <c r="E570" s="157"/>
      <c r="F570" s="49"/>
      <c r="G570" s="147"/>
    </row>
    <row r="571">
      <c r="B571" s="14"/>
      <c r="C571" s="14"/>
      <c r="D571" s="157"/>
      <c r="E571" s="157"/>
      <c r="F571" s="49"/>
      <c r="G571" s="147"/>
    </row>
    <row r="572">
      <c r="B572" s="14"/>
      <c r="C572" s="14"/>
      <c r="D572" s="157"/>
      <c r="E572" s="157"/>
      <c r="F572" s="49"/>
      <c r="G572" s="147"/>
    </row>
    <row r="573">
      <c r="B573" s="14"/>
      <c r="C573" s="14"/>
      <c r="D573" s="157"/>
      <c r="E573" s="157"/>
      <c r="F573" s="49"/>
      <c r="G573" s="147"/>
    </row>
    <row r="574">
      <c r="B574" s="14"/>
      <c r="C574" s="14"/>
      <c r="D574" s="157"/>
      <c r="E574" s="157"/>
      <c r="F574" s="49"/>
      <c r="G574" s="147"/>
    </row>
    <row r="575">
      <c r="B575" s="14"/>
      <c r="C575" s="14"/>
      <c r="D575" s="157"/>
      <c r="E575" s="157"/>
      <c r="F575" s="49"/>
      <c r="G575" s="147"/>
    </row>
    <row r="576">
      <c r="B576" s="14"/>
      <c r="C576" s="14"/>
      <c r="D576" s="157"/>
      <c r="E576" s="157"/>
      <c r="F576" s="49"/>
      <c r="G576" s="147"/>
    </row>
    <row r="577">
      <c r="B577" s="14"/>
      <c r="C577" s="14"/>
      <c r="D577" s="157"/>
      <c r="E577" s="157"/>
      <c r="F577" s="49"/>
      <c r="G577" s="147"/>
    </row>
    <row r="578">
      <c r="B578" s="14"/>
      <c r="C578" s="14"/>
      <c r="D578" s="157"/>
      <c r="E578" s="157"/>
      <c r="F578" s="49"/>
      <c r="G578" s="147"/>
    </row>
    <row r="579">
      <c r="B579" s="14"/>
      <c r="C579" s="14"/>
      <c r="D579" s="157"/>
      <c r="E579" s="157"/>
      <c r="F579" s="49"/>
      <c r="G579" s="147"/>
    </row>
    <row r="580">
      <c r="B580" s="14"/>
      <c r="C580" s="14"/>
      <c r="D580" s="157"/>
      <c r="E580" s="157"/>
      <c r="F580" s="49"/>
      <c r="G580" s="147"/>
    </row>
    <row r="581">
      <c r="B581" s="14"/>
      <c r="C581" s="14"/>
      <c r="D581" s="157"/>
      <c r="E581" s="157"/>
      <c r="F581" s="49"/>
      <c r="G581" s="147"/>
    </row>
    <row r="582">
      <c r="B582" s="14"/>
      <c r="C582" s="14"/>
      <c r="D582" s="157"/>
      <c r="E582" s="157"/>
      <c r="F582" s="49"/>
      <c r="G582" s="147"/>
    </row>
    <row r="583">
      <c r="B583" s="14"/>
      <c r="C583" s="14"/>
      <c r="D583" s="157"/>
      <c r="E583" s="157"/>
      <c r="F583" s="49"/>
      <c r="G583" s="147"/>
    </row>
    <row r="584">
      <c r="B584" s="14"/>
      <c r="C584" s="14"/>
      <c r="D584" s="157"/>
      <c r="E584" s="157"/>
      <c r="F584" s="49"/>
      <c r="G584" s="147"/>
    </row>
    <row r="585">
      <c r="B585" s="14"/>
      <c r="C585" s="14"/>
      <c r="D585" s="157"/>
      <c r="E585" s="157"/>
      <c r="F585" s="49"/>
      <c r="G585" s="147"/>
    </row>
    <row r="586">
      <c r="B586" s="14"/>
      <c r="C586" s="14"/>
      <c r="D586" s="157"/>
      <c r="E586" s="157"/>
      <c r="F586" s="49"/>
      <c r="G586" s="147"/>
    </row>
    <row r="587">
      <c r="B587" s="14"/>
      <c r="C587" s="14"/>
      <c r="D587" s="157"/>
      <c r="E587" s="157"/>
      <c r="F587" s="49"/>
      <c r="G587" s="147"/>
    </row>
    <row r="588">
      <c r="B588" s="14"/>
      <c r="C588" s="14"/>
      <c r="D588" s="157"/>
      <c r="E588" s="157"/>
      <c r="F588" s="49"/>
      <c r="G588" s="147"/>
    </row>
    <row r="589">
      <c r="B589" s="14"/>
      <c r="C589" s="14"/>
      <c r="D589" s="157"/>
      <c r="E589" s="157"/>
      <c r="F589" s="49"/>
      <c r="G589" s="147"/>
    </row>
    <row r="590">
      <c r="B590" s="14"/>
      <c r="C590" s="14"/>
      <c r="D590" s="157"/>
      <c r="E590" s="157"/>
      <c r="F590" s="49"/>
      <c r="G590" s="147"/>
    </row>
    <row r="591">
      <c r="B591" s="14"/>
      <c r="C591" s="14"/>
      <c r="D591" s="157"/>
      <c r="E591" s="157"/>
      <c r="F591" s="49"/>
      <c r="G591" s="147"/>
    </row>
    <row r="592">
      <c r="B592" s="14"/>
      <c r="C592" s="14"/>
      <c r="D592" s="157"/>
      <c r="E592" s="157"/>
      <c r="F592" s="49"/>
      <c r="G592" s="147"/>
    </row>
    <row r="593">
      <c r="B593" s="14"/>
      <c r="C593" s="14"/>
      <c r="D593" s="157"/>
      <c r="E593" s="157"/>
      <c r="F593" s="49"/>
      <c r="G593" s="147"/>
    </row>
    <row r="594">
      <c r="B594" s="14"/>
      <c r="C594" s="14"/>
      <c r="D594" s="157"/>
      <c r="E594" s="157"/>
      <c r="F594" s="49"/>
      <c r="G594" s="147"/>
    </row>
    <row r="595">
      <c r="B595" s="14"/>
      <c r="C595" s="14"/>
      <c r="D595" s="157"/>
      <c r="E595" s="157"/>
      <c r="F595" s="49"/>
      <c r="G595" s="147"/>
    </row>
    <row r="596">
      <c r="B596" s="14"/>
      <c r="C596" s="14"/>
      <c r="D596" s="157"/>
      <c r="E596" s="157"/>
      <c r="F596" s="49"/>
      <c r="G596" s="147"/>
    </row>
    <row r="597">
      <c r="B597" s="14"/>
      <c r="C597" s="14"/>
      <c r="D597" s="157"/>
      <c r="E597" s="157"/>
      <c r="F597" s="49"/>
      <c r="G597" s="147"/>
    </row>
    <row r="598">
      <c r="B598" s="14"/>
      <c r="C598" s="14"/>
      <c r="D598" s="157"/>
      <c r="E598" s="157"/>
      <c r="F598" s="49"/>
      <c r="G598" s="147"/>
    </row>
    <row r="599">
      <c r="B599" s="14"/>
      <c r="C599" s="14"/>
      <c r="D599" s="157"/>
      <c r="E599" s="157"/>
      <c r="F599" s="49"/>
      <c r="G599" s="147"/>
    </row>
    <row r="600">
      <c r="B600" s="14"/>
      <c r="C600" s="14"/>
      <c r="D600" s="157"/>
      <c r="E600" s="157"/>
      <c r="F600" s="49"/>
      <c r="G600" s="147"/>
    </row>
    <row r="601">
      <c r="B601" s="14"/>
      <c r="C601" s="14"/>
      <c r="D601" s="157"/>
      <c r="E601" s="157"/>
      <c r="F601" s="49"/>
      <c r="G601" s="147"/>
    </row>
    <row r="602">
      <c r="B602" s="14"/>
      <c r="C602" s="14"/>
      <c r="D602" s="157"/>
      <c r="E602" s="157"/>
      <c r="F602" s="49"/>
      <c r="G602" s="147"/>
    </row>
    <row r="603">
      <c r="B603" s="14"/>
      <c r="C603" s="14"/>
      <c r="D603" s="157"/>
      <c r="E603" s="157"/>
      <c r="F603" s="49"/>
      <c r="G603" s="147"/>
    </row>
    <row r="604">
      <c r="B604" s="14"/>
      <c r="C604" s="14"/>
      <c r="D604" s="157"/>
      <c r="E604" s="157"/>
      <c r="F604" s="49"/>
      <c r="G604" s="147"/>
    </row>
    <row r="605">
      <c r="B605" s="14"/>
      <c r="C605" s="14"/>
      <c r="D605" s="157"/>
      <c r="E605" s="157"/>
      <c r="F605" s="49"/>
      <c r="G605" s="147"/>
    </row>
    <row r="606">
      <c r="B606" s="14"/>
      <c r="C606" s="14"/>
      <c r="D606" s="157"/>
      <c r="E606" s="157"/>
      <c r="F606" s="49"/>
      <c r="G606" s="147"/>
    </row>
    <row r="607">
      <c r="B607" s="14"/>
      <c r="C607" s="14"/>
      <c r="D607" s="157"/>
      <c r="E607" s="157"/>
      <c r="F607" s="49"/>
      <c r="G607" s="147"/>
    </row>
    <row r="608">
      <c r="B608" s="14"/>
      <c r="C608" s="14"/>
      <c r="D608" s="157"/>
      <c r="E608" s="157"/>
      <c r="F608" s="49"/>
      <c r="G608" s="147"/>
    </row>
    <row r="609">
      <c r="B609" s="14"/>
      <c r="C609" s="14"/>
      <c r="D609" s="157"/>
      <c r="E609" s="157"/>
      <c r="F609" s="49"/>
      <c r="G609" s="147"/>
    </row>
    <row r="610">
      <c r="B610" s="14"/>
      <c r="C610" s="14"/>
      <c r="D610" s="157"/>
      <c r="E610" s="157"/>
      <c r="F610" s="49"/>
      <c r="G610" s="147"/>
    </row>
    <row r="611">
      <c r="B611" s="14"/>
      <c r="C611" s="14"/>
      <c r="D611" s="157"/>
      <c r="E611" s="157"/>
      <c r="F611" s="49"/>
      <c r="G611" s="147"/>
    </row>
    <row r="612">
      <c r="B612" s="14"/>
      <c r="C612" s="14"/>
      <c r="D612" s="157"/>
      <c r="E612" s="157"/>
      <c r="F612" s="49"/>
      <c r="G612" s="147"/>
    </row>
    <row r="613">
      <c r="B613" s="14"/>
      <c r="C613" s="14"/>
      <c r="D613" s="157"/>
      <c r="E613" s="157"/>
      <c r="F613" s="49"/>
      <c r="G613" s="147"/>
    </row>
    <row r="614">
      <c r="B614" s="14"/>
      <c r="C614" s="14"/>
      <c r="D614" s="157"/>
      <c r="E614" s="157"/>
      <c r="F614" s="49"/>
      <c r="G614" s="147"/>
    </row>
    <row r="615">
      <c r="B615" s="14"/>
      <c r="C615" s="14"/>
      <c r="D615" s="157"/>
      <c r="E615" s="157"/>
      <c r="F615" s="49"/>
      <c r="G615" s="147"/>
    </row>
    <row r="616">
      <c r="B616" s="14"/>
      <c r="C616" s="14"/>
      <c r="D616" s="157"/>
      <c r="E616" s="157"/>
      <c r="F616" s="49"/>
      <c r="G616" s="147"/>
    </row>
    <row r="617">
      <c r="B617" s="14"/>
      <c r="C617" s="14"/>
      <c r="D617" s="157"/>
      <c r="E617" s="157"/>
      <c r="F617" s="49"/>
      <c r="G617" s="147"/>
    </row>
    <row r="618">
      <c r="B618" s="14"/>
      <c r="C618" s="14"/>
      <c r="D618" s="157"/>
      <c r="E618" s="157"/>
      <c r="F618" s="49"/>
      <c r="G618" s="147"/>
    </row>
    <row r="619">
      <c r="B619" s="14"/>
      <c r="C619" s="14"/>
      <c r="D619" s="157"/>
      <c r="E619" s="157"/>
      <c r="F619" s="49"/>
      <c r="G619" s="147"/>
    </row>
    <row r="620">
      <c r="B620" s="14"/>
      <c r="C620" s="14"/>
      <c r="D620" s="157"/>
      <c r="E620" s="157"/>
      <c r="F620" s="49"/>
      <c r="G620" s="147"/>
    </row>
    <row r="621">
      <c r="B621" s="14"/>
      <c r="C621" s="14"/>
      <c r="D621" s="157"/>
      <c r="E621" s="157"/>
      <c r="F621" s="49"/>
      <c r="G621" s="147"/>
    </row>
    <row r="622">
      <c r="B622" s="14"/>
      <c r="C622" s="14"/>
      <c r="D622" s="157"/>
      <c r="E622" s="157"/>
      <c r="F622" s="49"/>
      <c r="G622" s="147"/>
    </row>
    <row r="623">
      <c r="B623" s="14"/>
      <c r="C623" s="14"/>
      <c r="D623" s="157"/>
      <c r="E623" s="157"/>
      <c r="F623" s="49"/>
      <c r="G623" s="147"/>
    </row>
    <row r="624">
      <c r="B624" s="14"/>
      <c r="C624" s="14"/>
      <c r="D624" s="157"/>
      <c r="E624" s="157"/>
      <c r="F624" s="49"/>
      <c r="G624" s="147"/>
    </row>
    <row r="625">
      <c r="B625" s="14"/>
      <c r="C625" s="14"/>
      <c r="D625" s="157"/>
      <c r="E625" s="157"/>
      <c r="F625" s="49"/>
      <c r="G625" s="147"/>
    </row>
    <row r="626">
      <c r="B626" s="14"/>
      <c r="C626" s="14"/>
      <c r="D626" s="157"/>
      <c r="E626" s="157"/>
      <c r="F626" s="49"/>
      <c r="G626" s="147"/>
    </row>
    <row r="627">
      <c r="B627" s="14"/>
      <c r="C627" s="14"/>
      <c r="D627" s="157"/>
      <c r="E627" s="157"/>
      <c r="F627" s="49"/>
      <c r="G627" s="147"/>
    </row>
    <row r="628">
      <c r="B628" s="14"/>
      <c r="C628" s="14"/>
      <c r="D628" s="157"/>
      <c r="E628" s="157"/>
      <c r="F628" s="49"/>
      <c r="G628" s="147"/>
    </row>
    <row r="629">
      <c r="B629" s="14"/>
      <c r="C629" s="14"/>
      <c r="D629" s="157"/>
      <c r="E629" s="157"/>
      <c r="F629" s="49"/>
      <c r="G629" s="147"/>
    </row>
    <row r="630">
      <c r="B630" s="14"/>
      <c r="C630" s="14"/>
      <c r="D630" s="157"/>
      <c r="E630" s="157"/>
      <c r="F630" s="49"/>
      <c r="G630" s="147"/>
    </row>
    <row r="631">
      <c r="B631" s="14"/>
      <c r="C631" s="14"/>
      <c r="D631" s="157"/>
      <c r="E631" s="157"/>
      <c r="F631" s="49"/>
      <c r="G631" s="147"/>
    </row>
    <row r="632">
      <c r="B632" s="14"/>
      <c r="C632" s="14"/>
      <c r="D632" s="157"/>
      <c r="E632" s="157"/>
      <c r="F632" s="49"/>
      <c r="G632" s="147"/>
    </row>
    <row r="633">
      <c r="B633" s="14"/>
      <c r="C633" s="14"/>
      <c r="D633" s="157"/>
      <c r="E633" s="157"/>
      <c r="F633" s="49"/>
      <c r="G633" s="147"/>
    </row>
    <row r="634">
      <c r="B634" s="14"/>
      <c r="C634" s="14"/>
      <c r="D634" s="157"/>
      <c r="E634" s="157"/>
      <c r="F634" s="49"/>
      <c r="G634" s="147"/>
    </row>
    <row r="635">
      <c r="B635" s="14"/>
      <c r="C635" s="14"/>
      <c r="D635" s="157"/>
      <c r="E635" s="157"/>
      <c r="F635" s="49"/>
      <c r="G635" s="147"/>
    </row>
    <row r="636">
      <c r="B636" s="14"/>
      <c r="C636" s="14"/>
      <c r="D636" s="157"/>
      <c r="E636" s="157"/>
      <c r="F636" s="49"/>
      <c r="G636" s="147"/>
    </row>
    <row r="637">
      <c r="B637" s="14"/>
      <c r="C637" s="14"/>
      <c r="D637" s="157"/>
      <c r="E637" s="157"/>
      <c r="F637" s="49"/>
      <c r="G637" s="147"/>
    </row>
    <row r="638">
      <c r="B638" s="14"/>
      <c r="C638" s="14"/>
      <c r="D638" s="157"/>
      <c r="E638" s="157"/>
      <c r="F638" s="49"/>
      <c r="G638" s="147"/>
    </row>
    <row r="639">
      <c r="B639" s="14"/>
      <c r="C639" s="14"/>
      <c r="D639" s="157"/>
      <c r="E639" s="157"/>
      <c r="F639" s="49"/>
      <c r="G639" s="147"/>
    </row>
    <row r="640">
      <c r="B640" s="14"/>
      <c r="C640" s="14"/>
      <c r="D640" s="157"/>
      <c r="E640" s="157"/>
      <c r="F640" s="49"/>
      <c r="G640" s="147"/>
    </row>
    <row r="641">
      <c r="B641" s="14"/>
      <c r="C641" s="14"/>
      <c r="D641" s="157"/>
      <c r="E641" s="157"/>
      <c r="F641" s="49"/>
      <c r="G641" s="147"/>
    </row>
    <row r="642">
      <c r="B642" s="14"/>
      <c r="C642" s="14"/>
      <c r="D642" s="157"/>
      <c r="E642" s="157"/>
      <c r="F642" s="49"/>
      <c r="G642" s="147"/>
    </row>
    <row r="643">
      <c r="B643" s="14"/>
      <c r="C643" s="14"/>
      <c r="D643" s="157"/>
      <c r="E643" s="157"/>
      <c r="F643" s="49"/>
      <c r="G643" s="147"/>
    </row>
    <row r="644">
      <c r="B644" s="14"/>
      <c r="C644" s="14"/>
      <c r="D644" s="157"/>
      <c r="E644" s="157"/>
      <c r="F644" s="49"/>
      <c r="G644" s="147"/>
    </row>
    <row r="645">
      <c r="B645" s="14"/>
      <c r="C645" s="14"/>
      <c r="D645" s="157"/>
      <c r="E645" s="157"/>
      <c r="F645" s="49"/>
      <c r="G645" s="147"/>
    </row>
    <row r="646">
      <c r="B646" s="14"/>
      <c r="C646" s="14"/>
      <c r="D646" s="157"/>
      <c r="E646" s="157"/>
      <c r="F646" s="49"/>
      <c r="G646" s="147"/>
    </row>
    <row r="647">
      <c r="B647" s="14"/>
      <c r="C647" s="14"/>
      <c r="D647" s="157"/>
      <c r="E647" s="157"/>
      <c r="F647" s="49"/>
      <c r="G647" s="147"/>
    </row>
    <row r="648">
      <c r="B648" s="14"/>
      <c r="C648" s="14"/>
      <c r="D648" s="157"/>
      <c r="E648" s="157"/>
      <c r="F648" s="49"/>
      <c r="G648" s="147"/>
    </row>
    <row r="649">
      <c r="B649" s="14"/>
      <c r="C649" s="14"/>
      <c r="D649" s="157"/>
      <c r="E649" s="157"/>
      <c r="F649" s="49"/>
      <c r="G649" s="147"/>
    </row>
    <row r="650">
      <c r="B650" s="14"/>
      <c r="C650" s="14"/>
      <c r="D650" s="157"/>
      <c r="E650" s="157"/>
      <c r="F650" s="49"/>
      <c r="G650" s="147"/>
    </row>
    <row r="651">
      <c r="B651" s="14"/>
      <c r="C651" s="14"/>
      <c r="D651" s="157"/>
      <c r="E651" s="157"/>
      <c r="F651" s="49"/>
      <c r="G651" s="147"/>
    </row>
    <row r="652">
      <c r="B652" s="14"/>
      <c r="C652" s="14"/>
      <c r="D652" s="157"/>
      <c r="E652" s="157"/>
      <c r="F652" s="49"/>
      <c r="G652" s="147"/>
    </row>
    <row r="653">
      <c r="B653" s="14"/>
      <c r="C653" s="14"/>
      <c r="D653" s="157"/>
      <c r="E653" s="157"/>
      <c r="F653" s="49"/>
      <c r="G653" s="147"/>
    </row>
    <row r="654">
      <c r="B654" s="14"/>
      <c r="C654" s="14"/>
      <c r="D654" s="157"/>
      <c r="E654" s="157"/>
      <c r="F654" s="49"/>
      <c r="G654" s="147"/>
    </row>
    <row r="655">
      <c r="B655" s="14"/>
      <c r="C655" s="14"/>
      <c r="D655" s="157"/>
      <c r="E655" s="157"/>
      <c r="F655" s="49"/>
      <c r="G655" s="147"/>
    </row>
    <row r="656">
      <c r="B656" s="14"/>
      <c r="C656" s="14"/>
      <c r="D656" s="157"/>
      <c r="E656" s="157"/>
      <c r="F656" s="49"/>
      <c r="G656" s="147"/>
    </row>
    <row r="657">
      <c r="B657" s="14"/>
      <c r="C657" s="14"/>
      <c r="D657" s="157"/>
      <c r="E657" s="157"/>
      <c r="F657" s="49"/>
      <c r="G657" s="147"/>
    </row>
    <row r="658">
      <c r="B658" s="14"/>
      <c r="C658" s="14"/>
      <c r="D658" s="157"/>
      <c r="E658" s="157"/>
      <c r="F658" s="49"/>
      <c r="G658" s="147"/>
    </row>
    <row r="659">
      <c r="B659" s="14"/>
      <c r="C659" s="14"/>
      <c r="D659" s="157"/>
      <c r="E659" s="157"/>
      <c r="F659" s="49"/>
      <c r="G659" s="147"/>
    </row>
    <row r="660">
      <c r="B660" s="14"/>
      <c r="C660" s="14"/>
      <c r="D660" s="157"/>
      <c r="E660" s="157"/>
      <c r="F660" s="49"/>
      <c r="G660" s="147"/>
    </row>
    <row r="661">
      <c r="B661" s="14"/>
      <c r="C661" s="14"/>
      <c r="D661" s="157"/>
      <c r="E661" s="157"/>
      <c r="F661" s="49"/>
      <c r="G661" s="147"/>
    </row>
    <row r="662">
      <c r="B662" s="14"/>
      <c r="C662" s="14"/>
      <c r="D662" s="157"/>
      <c r="E662" s="157"/>
      <c r="F662" s="49"/>
      <c r="G662" s="147"/>
    </row>
    <row r="663">
      <c r="B663" s="14"/>
      <c r="C663" s="14"/>
      <c r="D663" s="157"/>
      <c r="E663" s="157"/>
      <c r="F663" s="49"/>
      <c r="G663" s="147"/>
    </row>
    <row r="664">
      <c r="B664" s="14"/>
      <c r="C664" s="14"/>
      <c r="D664" s="157"/>
      <c r="E664" s="157"/>
      <c r="F664" s="49"/>
      <c r="G664" s="147"/>
    </row>
    <row r="665">
      <c r="B665" s="14"/>
      <c r="C665" s="14"/>
      <c r="D665" s="157"/>
      <c r="E665" s="157"/>
      <c r="F665" s="49"/>
      <c r="G665" s="147"/>
    </row>
    <row r="666">
      <c r="B666" s="14"/>
      <c r="C666" s="14"/>
      <c r="D666" s="157"/>
      <c r="E666" s="157"/>
      <c r="F666" s="49"/>
      <c r="G666" s="147"/>
    </row>
    <row r="667">
      <c r="B667" s="14"/>
      <c r="C667" s="14"/>
      <c r="D667" s="157"/>
      <c r="E667" s="157"/>
      <c r="F667" s="49"/>
      <c r="G667" s="147"/>
    </row>
    <row r="668">
      <c r="B668" s="14"/>
      <c r="C668" s="14"/>
      <c r="D668" s="157"/>
      <c r="E668" s="157"/>
      <c r="F668" s="49"/>
      <c r="G668" s="147"/>
    </row>
    <row r="669">
      <c r="B669" s="14"/>
      <c r="C669" s="14"/>
      <c r="D669" s="157"/>
      <c r="E669" s="157"/>
      <c r="F669" s="49"/>
      <c r="G669" s="147"/>
    </row>
    <row r="670">
      <c r="B670" s="14"/>
      <c r="C670" s="14"/>
      <c r="D670" s="157"/>
      <c r="E670" s="157"/>
      <c r="F670" s="49"/>
      <c r="G670" s="147"/>
    </row>
    <row r="671">
      <c r="B671" s="14"/>
      <c r="C671" s="14"/>
      <c r="D671" s="157"/>
      <c r="E671" s="157"/>
      <c r="F671" s="49"/>
      <c r="G671" s="147"/>
    </row>
    <row r="672">
      <c r="B672" s="14"/>
      <c r="C672" s="14"/>
      <c r="D672" s="157"/>
      <c r="E672" s="157"/>
      <c r="F672" s="49"/>
      <c r="G672" s="147"/>
    </row>
    <row r="673">
      <c r="B673" s="14"/>
      <c r="C673" s="14"/>
      <c r="D673" s="157"/>
      <c r="E673" s="157"/>
      <c r="F673" s="49"/>
      <c r="G673" s="147"/>
    </row>
    <row r="674">
      <c r="B674" s="14"/>
      <c r="C674" s="14"/>
      <c r="D674" s="157"/>
      <c r="E674" s="157"/>
      <c r="F674" s="49"/>
      <c r="G674" s="147"/>
    </row>
    <row r="675">
      <c r="B675" s="14"/>
      <c r="C675" s="14"/>
      <c r="D675" s="157"/>
      <c r="E675" s="157"/>
      <c r="F675" s="49"/>
      <c r="G675" s="147"/>
    </row>
    <row r="676">
      <c r="B676" s="14"/>
      <c r="C676" s="14"/>
      <c r="D676" s="157"/>
      <c r="E676" s="157"/>
      <c r="F676" s="49"/>
      <c r="G676" s="147"/>
    </row>
    <row r="677">
      <c r="B677" s="14"/>
      <c r="C677" s="14"/>
      <c r="D677" s="157"/>
      <c r="E677" s="157"/>
      <c r="F677" s="49"/>
      <c r="G677" s="147"/>
    </row>
    <row r="678">
      <c r="B678" s="14"/>
      <c r="C678" s="14"/>
      <c r="D678" s="157"/>
      <c r="E678" s="157"/>
      <c r="F678" s="49"/>
      <c r="G678" s="147"/>
    </row>
    <row r="679">
      <c r="B679" s="14"/>
      <c r="C679" s="14"/>
      <c r="D679" s="157"/>
      <c r="E679" s="157"/>
      <c r="F679" s="49"/>
      <c r="G679" s="147"/>
    </row>
    <row r="680">
      <c r="B680" s="14"/>
      <c r="C680" s="14"/>
      <c r="D680" s="157"/>
      <c r="E680" s="157"/>
      <c r="F680" s="49"/>
      <c r="G680" s="147"/>
    </row>
    <row r="681">
      <c r="B681" s="14"/>
      <c r="C681" s="14"/>
      <c r="D681" s="157"/>
      <c r="E681" s="157"/>
      <c r="F681" s="49"/>
      <c r="G681" s="147"/>
    </row>
    <row r="682">
      <c r="B682" s="14"/>
      <c r="C682" s="14"/>
      <c r="D682" s="157"/>
      <c r="E682" s="157"/>
      <c r="F682" s="49"/>
      <c r="G682" s="147"/>
    </row>
    <row r="683">
      <c r="B683" s="14"/>
      <c r="C683" s="14"/>
      <c r="D683" s="157"/>
      <c r="E683" s="157"/>
      <c r="F683" s="49"/>
      <c r="G683" s="147"/>
    </row>
    <row r="684">
      <c r="B684" s="14"/>
      <c r="C684" s="14"/>
      <c r="D684" s="157"/>
      <c r="E684" s="157"/>
      <c r="F684" s="49"/>
      <c r="G684" s="147"/>
    </row>
    <row r="685">
      <c r="B685" s="14"/>
      <c r="C685" s="14"/>
      <c r="D685" s="157"/>
      <c r="E685" s="157"/>
      <c r="F685" s="49"/>
      <c r="G685" s="147"/>
    </row>
    <row r="686">
      <c r="B686" s="14"/>
      <c r="C686" s="14"/>
      <c r="D686" s="157"/>
      <c r="E686" s="157"/>
      <c r="F686" s="49"/>
      <c r="G686" s="147"/>
    </row>
    <row r="687">
      <c r="B687" s="14"/>
      <c r="C687" s="14"/>
      <c r="D687" s="157"/>
      <c r="E687" s="157"/>
      <c r="F687" s="49"/>
      <c r="G687" s="147"/>
    </row>
    <row r="688">
      <c r="B688" s="14"/>
      <c r="C688" s="14"/>
      <c r="D688" s="157"/>
      <c r="E688" s="157"/>
      <c r="F688" s="49"/>
      <c r="G688" s="147"/>
    </row>
    <row r="689">
      <c r="B689" s="14"/>
      <c r="C689" s="14"/>
      <c r="D689" s="157"/>
      <c r="E689" s="157"/>
      <c r="F689" s="49"/>
      <c r="G689" s="147"/>
    </row>
    <row r="690">
      <c r="B690" s="14"/>
      <c r="C690" s="14"/>
      <c r="D690" s="157"/>
      <c r="E690" s="157"/>
      <c r="F690" s="49"/>
      <c r="G690" s="147"/>
    </row>
    <row r="691">
      <c r="B691" s="14"/>
      <c r="C691" s="14"/>
      <c r="D691" s="157"/>
      <c r="E691" s="157"/>
      <c r="F691" s="49"/>
      <c r="G691" s="147"/>
    </row>
    <row r="692">
      <c r="B692" s="14"/>
      <c r="C692" s="14"/>
      <c r="D692" s="157"/>
      <c r="E692" s="157"/>
      <c r="F692" s="49"/>
      <c r="G692" s="147"/>
    </row>
    <row r="693">
      <c r="B693" s="14"/>
      <c r="C693" s="14"/>
      <c r="D693" s="157"/>
      <c r="E693" s="157"/>
      <c r="F693" s="49"/>
      <c r="G693" s="147"/>
    </row>
    <row r="694">
      <c r="B694" s="14"/>
      <c r="C694" s="14"/>
      <c r="D694" s="157"/>
      <c r="E694" s="157"/>
      <c r="F694" s="49"/>
      <c r="G694" s="147"/>
    </row>
    <row r="695">
      <c r="B695" s="14"/>
      <c r="C695" s="14"/>
      <c r="D695" s="157"/>
      <c r="E695" s="157"/>
      <c r="F695" s="49"/>
      <c r="G695" s="147"/>
    </row>
    <row r="696">
      <c r="B696" s="14"/>
      <c r="C696" s="14"/>
      <c r="D696" s="157"/>
      <c r="E696" s="157"/>
      <c r="F696" s="49"/>
      <c r="G696" s="147"/>
    </row>
    <row r="697">
      <c r="B697" s="14"/>
      <c r="C697" s="14"/>
      <c r="D697" s="157"/>
      <c r="E697" s="157"/>
      <c r="F697" s="49"/>
      <c r="G697" s="147"/>
    </row>
    <row r="698">
      <c r="B698" s="14"/>
      <c r="C698" s="14"/>
      <c r="D698" s="157"/>
      <c r="E698" s="157"/>
      <c r="F698" s="49"/>
      <c r="G698" s="147"/>
    </row>
    <row r="699">
      <c r="B699" s="14"/>
      <c r="C699" s="14"/>
      <c r="D699" s="157"/>
      <c r="E699" s="157"/>
      <c r="F699" s="49"/>
      <c r="G699" s="147"/>
    </row>
    <row r="700">
      <c r="B700" s="14"/>
      <c r="C700" s="14"/>
      <c r="D700" s="157"/>
      <c r="E700" s="157"/>
      <c r="F700" s="49"/>
      <c r="G700" s="147"/>
    </row>
    <row r="701">
      <c r="B701" s="14"/>
      <c r="C701" s="14"/>
      <c r="D701" s="157"/>
      <c r="E701" s="157"/>
      <c r="F701" s="49"/>
      <c r="G701" s="147"/>
    </row>
    <row r="702">
      <c r="B702" s="14"/>
      <c r="C702" s="14"/>
      <c r="D702" s="157"/>
      <c r="E702" s="157"/>
      <c r="F702" s="49"/>
      <c r="G702" s="147"/>
    </row>
    <row r="703">
      <c r="B703" s="14"/>
      <c r="C703" s="14"/>
      <c r="D703" s="157"/>
      <c r="E703" s="157"/>
      <c r="F703" s="49"/>
      <c r="G703" s="147"/>
    </row>
    <row r="704">
      <c r="B704" s="14"/>
      <c r="C704" s="14"/>
      <c r="D704" s="157"/>
      <c r="E704" s="157"/>
      <c r="F704" s="49"/>
      <c r="G704" s="147"/>
    </row>
    <row r="705">
      <c r="B705" s="14"/>
      <c r="C705" s="14"/>
      <c r="D705" s="157"/>
      <c r="E705" s="157"/>
      <c r="F705" s="49"/>
      <c r="G705" s="147"/>
    </row>
    <row r="706">
      <c r="B706" s="14"/>
      <c r="C706" s="14"/>
      <c r="D706" s="157"/>
      <c r="E706" s="157"/>
      <c r="F706" s="49"/>
      <c r="G706" s="147"/>
    </row>
    <row r="707">
      <c r="B707" s="14"/>
      <c r="C707" s="14"/>
      <c r="D707" s="157"/>
      <c r="E707" s="157"/>
      <c r="F707" s="49"/>
      <c r="G707" s="147"/>
    </row>
    <row r="708">
      <c r="B708" s="14"/>
      <c r="C708" s="14"/>
      <c r="D708" s="157"/>
      <c r="E708" s="157"/>
      <c r="F708" s="49"/>
      <c r="G708" s="147"/>
    </row>
    <row r="709">
      <c r="B709" s="14"/>
      <c r="C709" s="14"/>
      <c r="D709" s="157"/>
      <c r="E709" s="157"/>
      <c r="F709" s="49"/>
      <c r="G709" s="147"/>
    </row>
    <row r="710">
      <c r="B710" s="14"/>
      <c r="C710" s="14"/>
      <c r="D710" s="157"/>
      <c r="E710" s="157"/>
      <c r="F710" s="49"/>
      <c r="G710" s="147"/>
    </row>
    <row r="711">
      <c r="B711" s="14"/>
      <c r="C711" s="14"/>
      <c r="D711" s="157"/>
      <c r="E711" s="157"/>
      <c r="F711" s="49"/>
      <c r="G711" s="147"/>
    </row>
    <row r="712">
      <c r="B712" s="14"/>
      <c r="C712" s="14"/>
      <c r="D712" s="157"/>
      <c r="E712" s="157"/>
      <c r="F712" s="49"/>
      <c r="G712" s="147"/>
    </row>
    <row r="713">
      <c r="B713" s="14"/>
      <c r="C713" s="14"/>
      <c r="D713" s="157"/>
      <c r="E713" s="157"/>
      <c r="F713" s="49"/>
      <c r="G713" s="147"/>
    </row>
    <row r="714">
      <c r="B714" s="14"/>
      <c r="C714" s="14"/>
      <c r="D714" s="157"/>
      <c r="E714" s="157"/>
      <c r="F714" s="49"/>
      <c r="G714" s="147"/>
    </row>
    <row r="715">
      <c r="B715" s="14"/>
      <c r="C715" s="14"/>
      <c r="D715" s="157"/>
      <c r="E715" s="157"/>
      <c r="F715" s="49"/>
      <c r="G715" s="147"/>
    </row>
    <row r="716">
      <c r="B716" s="14"/>
      <c r="C716" s="14"/>
      <c r="D716" s="157"/>
      <c r="E716" s="157"/>
      <c r="F716" s="49"/>
      <c r="G716" s="147"/>
    </row>
    <row r="717">
      <c r="B717" s="14"/>
      <c r="C717" s="14"/>
      <c r="D717" s="157"/>
      <c r="E717" s="157"/>
      <c r="F717" s="49"/>
      <c r="G717" s="147"/>
    </row>
    <row r="718">
      <c r="B718" s="14"/>
      <c r="C718" s="14"/>
      <c r="D718" s="157"/>
      <c r="E718" s="157"/>
      <c r="F718" s="49"/>
      <c r="G718" s="147"/>
    </row>
    <row r="719">
      <c r="B719" s="14"/>
      <c r="C719" s="14"/>
      <c r="D719" s="157"/>
      <c r="E719" s="157"/>
      <c r="F719" s="49"/>
      <c r="G719" s="147"/>
    </row>
    <row r="720">
      <c r="B720" s="14"/>
      <c r="C720" s="14"/>
      <c r="D720" s="157"/>
      <c r="E720" s="157"/>
      <c r="F720" s="49"/>
      <c r="G720" s="147"/>
    </row>
    <row r="721">
      <c r="B721" s="14"/>
      <c r="C721" s="14"/>
      <c r="D721" s="157"/>
      <c r="E721" s="157"/>
      <c r="F721" s="49"/>
      <c r="G721" s="147"/>
    </row>
    <row r="722">
      <c r="B722" s="14"/>
      <c r="C722" s="14"/>
      <c r="D722" s="157"/>
      <c r="E722" s="157"/>
      <c r="F722" s="49"/>
      <c r="G722" s="147"/>
    </row>
    <row r="723">
      <c r="B723" s="14"/>
      <c r="C723" s="14"/>
      <c r="D723" s="157"/>
      <c r="E723" s="157"/>
      <c r="F723" s="49"/>
      <c r="G723" s="147"/>
    </row>
    <row r="724">
      <c r="B724" s="14"/>
      <c r="C724" s="14"/>
      <c r="D724" s="157"/>
      <c r="E724" s="157"/>
      <c r="F724" s="49"/>
      <c r="G724" s="147"/>
    </row>
    <row r="725">
      <c r="B725" s="14"/>
      <c r="C725" s="14"/>
      <c r="D725" s="157"/>
      <c r="E725" s="157"/>
      <c r="F725" s="49"/>
      <c r="G725" s="147"/>
    </row>
    <row r="726">
      <c r="B726" s="14"/>
      <c r="C726" s="14"/>
      <c r="D726" s="157"/>
      <c r="E726" s="157"/>
      <c r="F726" s="49"/>
      <c r="G726" s="147"/>
    </row>
    <row r="727">
      <c r="B727" s="14"/>
      <c r="C727" s="14"/>
      <c r="D727" s="157"/>
      <c r="E727" s="157"/>
      <c r="F727" s="49"/>
      <c r="G727" s="147"/>
    </row>
    <row r="728">
      <c r="B728" s="14"/>
      <c r="C728" s="14"/>
      <c r="D728" s="157"/>
      <c r="E728" s="157"/>
      <c r="F728" s="49"/>
      <c r="G728" s="147"/>
    </row>
    <row r="729">
      <c r="B729" s="14"/>
      <c r="C729" s="14"/>
      <c r="D729" s="157"/>
      <c r="E729" s="157"/>
      <c r="F729" s="49"/>
      <c r="G729" s="147"/>
    </row>
    <row r="730">
      <c r="B730" s="14"/>
      <c r="C730" s="14"/>
      <c r="D730" s="157"/>
      <c r="E730" s="157"/>
      <c r="F730" s="49"/>
      <c r="G730" s="147"/>
    </row>
    <row r="731">
      <c r="B731" s="14"/>
      <c r="C731" s="14"/>
      <c r="D731" s="157"/>
      <c r="E731" s="157"/>
      <c r="F731" s="49"/>
      <c r="G731" s="147"/>
    </row>
    <row r="732">
      <c r="B732" s="14"/>
      <c r="C732" s="14"/>
      <c r="D732" s="157"/>
      <c r="E732" s="157"/>
      <c r="F732" s="49"/>
      <c r="G732" s="147"/>
    </row>
    <row r="733">
      <c r="B733" s="14"/>
      <c r="C733" s="14"/>
      <c r="D733" s="157"/>
      <c r="E733" s="157"/>
      <c r="F733" s="49"/>
      <c r="G733" s="147"/>
    </row>
    <row r="734">
      <c r="B734" s="14"/>
      <c r="C734" s="14"/>
      <c r="D734" s="157"/>
      <c r="E734" s="157"/>
      <c r="F734" s="49"/>
      <c r="G734" s="147"/>
    </row>
    <row r="735">
      <c r="B735" s="14"/>
      <c r="C735" s="14"/>
      <c r="D735" s="157"/>
      <c r="E735" s="157"/>
      <c r="F735" s="49"/>
      <c r="G735" s="147"/>
    </row>
    <row r="736">
      <c r="B736" s="14"/>
      <c r="C736" s="14"/>
      <c r="D736" s="157"/>
      <c r="E736" s="157"/>
      <c r="F736" s="49"/>
      <c r="G736" s="147"/>
    </row>
    <row r="737">
      <c r="B737" s="14"/>
      <c r="C737" s="14"/>
      <c r="D737" s="157"/>
      <c r="E737" s="157"/>
      <c r="F737" s="49"/>
      <c r="G737" s="147"/>
    </row>
    <row r="738">
      <c r="B738" s="14"/>
      <c r="C738" s="14"/>
      <c r="D738" s="157"/>
      <c r="E738" s="157"/>
      <c r="F738" s="49"/>
      <c r="G738" s="147"/>
    </row>
    <row r="739">
      <c r="B739" s="14"/>
      <c r="C739" s="14"/>
      <c r="D739" s="157"/>
      <c r="E739" s="157"/>
      <c r="F739" s="49"/>
      <c r="G739" s="147"/>
    </row>
    <row r="740">
      <c r="B740" s="14"/>
      <c r="C740" s="14"/>
      <c r="D740" s="157"/>
      <c r="E740" s="157"/>
      <c r="F740" s="49"/>
      <c r="G740" s="147"/>
    </row>
    <row r="741">
      <c r="B741" s="14"/>
      <c r="C741" s="14"/>
      <c r="D741" s="157"/>
      <c r="E741" s="157"/>
      <c r="F741" s="49"/>
      <c r="G741" s="147"/>
    </row>
    <row r="742">
      <c r="B742" s="14"/>
      <c r="C742" s="14"/>
      <c r="D742" s="157"/>
      <c r="E742" s="157"/>
      <c r="F742" s="49"/>
      <c r="G742" s="147"/>
    </row>
    <row r="743">
      <c r="B743" s="14"/>
      <c r="C743" s="14"/>
      <c r="D743" s="157"/>
      <c r="E743" s="157"/>
      <c r="F743" s="49"/>
      <c r="G743" s="147"/>
    </row>
    <row r="744">
      <c r="B744" s="14"/>
      <c r="C744" s="14"/>
      <c r="D744" s="157"/>
      <c r="E744" s="157"/>
      <c r="F744" s="49"/>
      <c r="G744" s="147"/>
    </row>
    <row r="745">
      <c r="B745" s="14"/>
      <c r="C745" s="14"/>
      <c r="D745" s="157"/>
      <c r="E745" s="157"/>
      <c r="F745" s="49"/>
      <c r="G745" s="147"/>
    </row>
    <row r="746">
      <c r="B746" s="14"/>
      <c r="C746" s="14"/>
      <c r="D746" s="157"/>
      <c r="E746" s="157"/>
      <c r="F746" s="49"/>
      <c r="G746" s="147"/>
    </row>
    <row r="747">
      <c r="B747" s="14"/>
      <c r="C747" s="14"/>
      <c r="D747" s="157"/>
      <c r="E747" s="157"/>
      <c r="F747" s="49"/>
      <c r="G747" s="147"/>
    </row>
    <row r="748">
      <c r="B748" s="14"/>
      <c r="C748" s="14"/>
      <c r="D748" s="157"/>
      <c r="E748" s="157"/>
      <c r="F748" s="49"/>
      <c r="G748" s="147"/>
    </row>
    <row r="749">
      <c r="B749" s="14"/>
      <c r="C749" s="14"/>
      <c r="D749" s="157"/>
      <c r="E749" s="157"/>
      <c r="F749" s="49"/>
      <c r="G749" s="147"/>
    </row>
    <row r="750">
      <c r="B750" s="14"/>
      <c r="C750" s="14"/>
      <c r="D750" s="157"/>
      <c r="E750" s="157"/>
      <c r="F750" s="49"/>
      <c r="G750" s="147"/>
    </row>
    <row r="751">
      <c r="B751" s="14"/>
      <c r="C751" s="14"/>
      <c r="D751" s="157"/>
      <c r="E751" s="157"/>
      <c r="F751" s="49"/>
      <c r="G751" s="147"/>
    </row>
    <row r="752">
      <c r="B752" s="14"/>
      <c r="C752" s="14"/>
      <c r="D752" s="157"/>
      <c r="E752" s="157"/>
      <c r="F752" s="49"/>
      <c r="G752" s="147"/>
    </row>
    <row r="753">
      <c r="B753" s="14"/>
      <c r="C753" s="14"/>
      <c r="D753" s="157"/>
      <c r="E753" s="157"/>
      <c r="F753" s="49"/>
      <c r="G753" s="147"/>
    </row>
    <row r="754">
      <c r="B754" s="14"/>
      <c r="C754" s="14"/>
      <c r="D754" s="157"/>
      <c r="E754" s="157"/>
      <c r="F754" s="49"/>
      <c r="G754" s="147"/>
    </row>
    <row r="755">
      <c r="B755" s="14"/>
      <c r="C755" s="14"/>
      <c r="D755" s="157"/>
      <c r="E755" s="157"/>
      <c r="F755" s="49"/>
      <c r="G755" s="147"/>
    </row>
    <row r="756">
      <c r="B756" s="14"/>
      <c r="C756" s="14"/>
      <c r="D756" s="157"/>
      <c r="E756" s="157"/>
      <c r="F756" s="49"/>
      <c r="G756" s="147"/>
    </row>
    <row r="757">
      <c r="B757" s="14"/>
      <c r="C757" s="14"/>
      <c r="D757" s="157"/>
      <c r="E757" s="157"/>
      <c r="F757" s="49"/>
      <c r="G757" s="147"/>
    </row>
    <row r="758">
      <c r="B758" s="14"/>
      <c r="C758" s="14"/>
      <c r="D758" s="157"/>
      <c r="E758" s="157"/>
      <c r="F758" s="49"/>
      <c r="G758" s="147"/>
    </row>
    <row r="759">
      <c r="B759" s="14"/>
      <c r="C759" s="14"/>
      <c r="D759" s="157"/>
      <c r="E759" s="157"/>
      <c r="F759" s="49"/>
      <c r="G759" s="147"/>
    </row>
    <row r="760">
      <c r="B760" s="14"/>
      <c r="C760" s="14"/>
      <c r="D760" s="157"/>
      <c r="E760" s="157"/>
      <c r="F760" s="49"/>
      <c r="G760" s="147"/>
    </row>
    <row r="761">
      <c r="B761" s="14"/>
      <c r="C761" s="14"/>
      <c r="D761" s="157"/>
      <c r="E761" s="157"/>
      <c r="F761" s="49"/>
      <c r="G761" s="147"/>
    </row>
    <row r="762">
      <c r="B762" s="14"/>
      <c r="C762" s="14"/>
      <c r="D762" s="157"/>
      <c r="E762" s="157"/>
      <c r="F762" s="49"/>
      <c r="G762" s="147"/>
    </row>
    <row r="763">
      <c r="B763" s="14"/>
      <c r="C763" s="14"/>
      <c r="D763" s="157"/>
      <c r="E763" s="157"/>
      <c r="F763" s="49"/>
      <c r="G763" s="147"/>
    </row>
    <row r="764">
      <c r="B764" s="14"/>
      <c r="C764" s="14"/>
      <c r="D764" s="157"/>
      <c r="E764" s="157"/>
      <c r="F764" s="49"/>
      <c r="G764" s="147"/>
    </row>
    <row r="765">
      <c r="B765" s="14"/>
      <c r="C765" s="14"/>
      <c r="D765" s="157"/>
      <c r="E765" s="157"/>
      <c r="F765" s="49"/>
      <c r="G765" s="147"/>
    </row>
    <row r="766">
      <c r="B766" s="14"/>
      <c r="C766" s="14"/>
      <c r="D766" s="157"/>
      <c r="E766" s="157"/>
      <c r="F766" s="49"/>
      <c r="G766" s="147"/>
    </row>
    <row r="767">
      <c r="B767" s="14"/>
      <c r="C767" s="14"/>
      <c r="D767" s="157"/>
      <c r="E767" s="157"/>
      <c r="F767" s="49"/>
      <c r="G767" s="147"/>
    </row>
    <row r="768">
      <c r="B768" s="14"/>
      <c r="C768" s="14"/>
      <c r="D768" s="157"/>
      <c r="E768" s="157"/>
      <c r="F768" s="49"/>
      <c r="G768" s="147"/>
    </row>
    <row r="769">
      <c r="B769" s="14"/>
      <c r="C769" s="14"/>
      <c r="D769" s="157"/>
      <c r="E769" s="157"/>
      <c r="F769" s="49"/>
      <c r="G769" s="147"/>
    </row>
    <row r="770">
      <c r="B770" s="14"/>
      <c r="C770" s="14"/>
      <c r="D770" s="157"/>
      <c r="E770" s="157"/>
      <c r="F770" s="49"/>
      <c r="G770" s="147"/>
    </row>
    <row r="771">
      <c r="B771" s="14"/>
      <c r="C771" s="14"/>
      <c r="D771" s="157"/>
      <c r="E771" s="157"/>
      <c r="F771" s="49"/>
      <c r="G771" s="147"/>
    </row>
    <row r="772">
      <c r="B772" s="14"/>
      <c r="C772" s="14"/>
      <c r="D772" s="157"/>
      <c r="E772" s="157"/>
      <c r="F772" s="49"/>
      <c r="G772" s="147"/>
    </row>
    <row r="773">
      <c r="B773" s="14"/>
      <c r="C773" s="14"/>
      <c r="D773" s="157"/>
      <c r="E773" s="157"/>
      <c r="F773" s="49"/>
      <c r="G773" s="147"/>
    </row>
    <row r="774">
      <c r="B774" s="14"/>
      <c r="C774" s="14"/>
      <c r="D774" s="157"/>
      <c r="E774" s="157"/>
      <c r="F774" s="49"/>
      <c r="G774" s="147"/>
    </row>
    <row r="775">
      <c r="B775" s="14"/>
      <c r="C775" s="14"/>
      <c r="D775" s="157"/>
      <c r="E775" s="157"/>
      <c r="F775" s="49"/>
      <c r="G775" s="147"/>
    </row>
    <row r="776">
      <c r="B776" s="14"/>
      <c r="C776" s="14"/>
      <c r="D776" s="157"/>
      <c r="E776" s="157"/>
      <c r="F776" s="49"/>
      <c r="G776" s="147"/>
    </row>
    <row r="777">
      <c r="B777" s="14"/>
      <c r="C777" s="14"/>
      <c r="D777" s="157"/>
      <c r="E777" s="157"/>
      <c r="F777" s="49"/>
      <c r="G777" s="147"/>
    </row>
    <row r="778">
      <c r="B778" s="14"/>
      <c r="C778" s="14"/>
      <c r="D778" s="157"/>
      <c r="E778" s="157"/>
      <c r="F778" s="49"/>
      <c r="G778" s="147"/>
    </row>
    <row r="779">
      <c r="B779" s="14"/>
      <c r="C779" s="14"/>
      <c r="D779" s="157"/>
      <c r="E779" s="157"/>
      <c r="F779" s="49"/>
      <c r="G779" s="147"/>
    </row>
    <row r="780">
      <c r="B780" s="14"/>
      <c r="C780" s="14"/>
      <c r="D780" s="157"/>
      <c r="E780" s="157"/>
      <c r="F780" s="49"/>
      <c r="G780" s="147"/>
    </row>
    <row r="781">
      <c r="B781" s="14"/>
      <c r="C781" s="14"/>
      <c r="D781" s="157"/>
      <c r="E781" s="157"/>
      <c r="F781" s="49"/>
      <c r="G781" s="147"/>
    </row>
    <row r="782">
      <c r="B782" s="14"/>
      <c r="C782" s="14"/>
      <c r="D782" s="157"/>
      <c r="E782" s="157"/>
      <c r="F782" s="49"/>
      <c r="G782" s="147"/>
    </row>
    <row r="783">
      <c r="B783" s="14"/>
      <c r="C783" s="14"/>
      <c r="D783" s="157"/>
      <c r="E783" s="157"/>
      <c r="F783" s="49"/>
      <c r="G783" s="147"/>
    </row>
    <row r="784">
      <c r="B784" s="14"/>
      <c r="C784" s="14"/>
      <c r="D784" s="157"/>
      <c r="E784" s="157"/>
      <c r="F784" s="49"/>
      <c r="G784" s="147"/>
    </row>
    <row r="785">
      <c r="B785" s="14"/>
      <c r="C785" s="14"/>
      <c r="D785" s="157"/>
      <c r="E785" s="157"/>
      <c r="F785" s="49"/>
      <c r="G785" s="147"/>
    </row>
    <row r="786">
      <c r="B786" s="14"/>
      <c r="C786" s="14"/>
      <c r="D786" s="157"/>
      <c r="E786" s="157"/>
      <c r="F786" s="49"/>
      <c r="G786" s="147"/>
    </row>
    <row r="787">
      <c r="B787" s="14"/>
      <c r="C787" s="14"/>
      <c r="D787" s="157"/>
      <c r="E787" s="157"/>
      <c r="F787" s="49"/>
      <c r="G787" s="147"/>
    </row>
    <row r="788">
      <c r="B788" s="14"/>
      <c r="C788" s="14"/>
      <c r="D788" s="157"/>
      <c r="E788" s="157"/>
      <c r="F788" s="49"/>
      <c r="G788" s="147"/>
    </row>
    <row r="789">
      <c r="B789" s="14"/>
      <c r="C789" s="14"/>
      <c r="D789" s="157"/>
      <c r="E789" s="157"/>
      <c r="F789" s="49"/>
      <c r="G789" s="147"/>
    </row>
    <row r="790">
      <c r="B790" s="14"/>
      <c r="C790" s="14"/>
      <c r="D790" s="157"/>
      <c r="E790" s="157"/>
      <c r="F790" s="49"/>
      <c r="G790" s="147"/>
    </row>
    <row r="791">
      <c r="B791" s="14"/>
      <c r="C791" s="14"/>
      <c r="D791" s="157"/>
      <c r="E791" s="157"/>
      <c r="F791" s="49"/>
      <c r="G791" s="147"/>
    </row>
    <row r="792">
      <c r="B792" s="14"/>
      <c r="C792" s="14"/>
      <c r="D792" s="157"/>
      <c r="E792" s="157"/>
      <c r="F792" s="49"/>
      <c r="G792" s="147"/>
    </row>
    <row r="793">
      <c r="B793" s="14"/>
      <c r="C793" s="14"/>
      <c r="D793" s="157"/>
      <c r="E793" s="157"/>
      <c r="F793" s="49"/>
      <c r="G793" s="147"/>
    </row>
    <row r="794">
      <c r="B794" s="14"/>
      <c r="C794" s="14"/>
      <c r="D794" s="157"/>
      <c r="E794" s="157"/>
      <c r="F794" s="49"/>
      <c r="G794" s="147"/>
    </row>
    <row r="795">
      <c r="B795" s="14"/>
      <c r="C795" s="14"/>
      <c r="D795" s="157"/>
      <c r="E795" s="157"/>
      <c r="F795" s="49"/>
      <c r="G795" s="147"/>
    </row>
    <row r="796">
      <c r="B796" s="14"/>
      <c r="C796" s="14"/>
      <c r="D796" s="157"/>
      <c r="E796" s="157"/>
      <c r="F796" s="49"/>
      <c r="G796" s="147"/>
    </row>
    <row r="797">
      <c r="B797" s="14"/>
      <c r="C797" s="14"/>
      <c r="D797" s="157"/>
      <c r="E797" s="157"/>
      <c r="F797" s="49"/>
      <c r="G797" s="147"/>
    </row>
    <row r="798">
      <c r="B798" s="14"/>
      <c r="C798" s="14"/>
      <c r="D798" s="157"/>
      <c r="E798" s="157"/>
      <c r="F798" s="49"/>
      <c r="G798" s="147"/>
    </row>
    <row r="799">
      <c r="B799" s="14"/>
      <c r="C799" s="14"/>
      <c r="D799" s="157"/>
      <c r="E799" s="157"/>
      <c r="F799" s="49"/>
      <c r="G799" s="147"/>
    </row>
    <row r="800">
      <c r="B800" s="14"/>
      <c r="C800" s="14"/>
      <c r="D800" s="157"/>
      <c r="E800" s="157"/>
      <c r="F800" s="49"/>
      <c r="G800" s="147"/>
    </row>
    <row r="801">
      <c r="B801" s="14"/>
      <c r="C801" s="14"/>
      <c r="D801" s="157"/>
      <c r="E801" s="157"/>
      <c r="F801" s="49"/>
      <c r="G801" s="147"/>
    </row>
    <row r="802">
      <c r="B802" s="14"/>
      <c r="C802" s="14"/>
      <c r="D802" s="157"/>
      <c r="E802" s="157"/>
      <c r="F802" s="49"/>
      <c r="G802" s="147"/>
    </row>
    <row r="803">
      <c r="B803" s="14"/>
      <c r="C803" s="14"/>
      <c r="D803" s="157"/>
      <c r="E803" s="157"/>
      <c r="F803" s="49"/>
      <c r="G803" s="147"/>
    </row>
    <row r="804">
      <c r="B804" s="14"/>
      <c r="C804" s="14"/>
      <c r="D804" s="157"/>
      <c r="E804" s="157"/>
      <c r="F804" s="49"/>
      <c r="G804" s="147"/>
    </row>
    <row r="805">
      <c r="B805" s="14"/>
      <c r="C805" s="14"/>
      <c r="D805" s="157"/>
      <c r="E805" s="157"/>
      <c r="F805" s="49"/>
      <c r="G805" s="147"/>
    </row>
    <row r="806">
      <c r="B806" s="14"/>
      <c r="C806" s="14"/>
      <c r="D806" s="157"/>
      <c r="E806" s="157"/>
      <c r="F806" s="49"/>
      <c r="G806" s="147"/>
    </row>
    <row r="807">
      <c r="B807" s="14"/>
      <c r="C807" s="14"/>
      <c r="D807" s="157"/>
      <c r="E807" s="157"/>
      <c r="F807" s="49"/>
      <c r="G807" s="147"/>
    </row>
    <row r="808">
      <c r="B808" s="14"/>
      <c r="C808" s="14"/>
      <c r="D808" s="157"/>
      <c r="E808" s="157"/>
      <c r="F808" s="49"/>
      <c r="G808" s="147"/>
    </row>
    <row r="809">
      <c r="B809" s="14"/>
      <c r="C809" s="14"/>
      <c r="D809" s="157"/>
      <c r="E809" s="157"/>
      <c r="F809" s="49"/>
      <c r="G809" s="147"/>
    </row>
    <row r="810">
      <c r="B810" s="14"/>
      <c r="C810" s="14"/>
      <c r="D810" s="157"/>
      <c r="E810" s="157"/>
      <c r="F810" s="49"/>
      <c r="G810" s="147"/>
    </row>
    <row r="811">
      <c r="B811" s="14"/>
      <c r="C811" s="14"/>
      <c r="D811" s="157"/>
      <c r="E811" s="157"/>
      <c r="F811" s="49"/>
      <c r="G811" s="147"/>
    </row>
    <row r="812">
      <c r="B812" s="14"/>
      <c r="C812" s="14"/>
      <c r="D812" s="157"/>
      <c r="E812" s="157"/>
      <c r="F812" s="49"/>
      <c r="G812" s="147"/>
    </row>
    <row r="813">
      <c r="B813" s="14"/>
      <c r="C813" s="14"/>
      <c r="D813" s="157"/>
      <c r="E813" s="157"/>
      <c r="F813" s="49"/>
      <c r="G813" s="147"/>
    </row>
    <row r="814">
      <c r="B814" s="14"/>
      <c r="C814" s="14"/>
      <c r="D814" s="157"/>
      <c r="E814" s="157"/>
      <c r="F814" s="49"/>
      <c r="G814" s="147"/>
    </row>
    <row r="815">
      <c r="B815" s="14"/>
      <c r="C815" s="14"/>
      <c r="D815" s="157"/>
      <c r="E815" s="157"/>
      <c r="F815" s="49"/>
      <c r="G815" s="147"/>
    </row>
    <row r="816">
      <c r="B816" s="14"/>
      <c r="C816" s="14"/>
      <c r="D816" s="157"/>
      <c r="E816" s="157"/>
      <c r="F816" s="49"/>
      <c r="G816" s="147"/>
    </row>
    <row r="817">
      <c r="B817" s="14"/>
      <c r="C817" s="14"/>
      <c r="D817" s="157"/>
      <c r="E817" s="157"/>
      <c r="F817" s="49"/>
      <c r="G817" s="147"/>
    </row>
    <row r="818">
      <c r="B818" s="14"/>
      <c r="C818" s="14"/>
      <c r="D818" s="157"/>
      <c r="E818" s="157"/>
      <c r="F818" s="49"/>
      <c r="G818" s="147"/>
    </row>
    <row r="819">
      <c r="B819" s="14"/>
      <c r="C819" s="14"/>
      <c r="D819" s="157"/>
      <c r="E819" s="157"/>
      <c r="F819" s="49"/>
      <c r="G819" s="147"/>
    </row>
    <row r="820">
      <c r="B820" s="14"/>
      <c r="C820" s="14"/>
      <c r="D820" s="157"/>
      <c r="E820" s="157"/>
      <c r="F820" s="49"/>
      <c r="G820" s="147"/>
    </row>
    <row r="821">
      <c r="B821" s="14"/>
      <c r="C821" s="14"/>
      <c r="D821" s="157"/>
      <c r="E821" s="157"/>
      <c r="F821" s="49"/>
      <c r="G821" s="147"/>
    </row>
    <row r="822">
      <c r="B822" s="14"/>
      <c r="C822" s="14"/>
      <c r="D822" s="157"/>
      <c r="E822" s="157"/>
      <c r="F822" s="49"/>
      <c r="G822" s="147"/>
    </row>
    <row r="823">
      <c r="B823" s="14"/>
      <c r="C823" s="14"/>
      <c r="D823" s="157"/>
      <c r="E823" s="157"/>
      <c r="F823" s="49"/>
      <c r="G823" s="147"/>
    </row>
    <row r="824">
      <c r="B824" s="14"/>
      <c r="C824" s="14"/>
      <c r="D824" s="157"/>
      <c r="E824" s="157"/>
      <c r="F824" s="49"/>
      <c r="G824" s="147"/>
    </row>
    <row r="825">
      <c r="B825" s="14"/>
      <c r="C825" s="14"/>
      <c r="D825" s="157"/>
      <c r="E825" s="157"/>
      <c r="F825" s="49"/>
      <c r="G825" s="147"/>
    </row>
    <row r="826">
      <c r="B826" s="14"/>
      <c r="C826" s="14"/>
      <c r="D826" s="157"/>
      <c r="E826" s="157"/>
      <c r="F826" s="49"/>
      <c r="G826" s="147"/>
    </row>
    <row r="827">
      <c r="B827" s="14"/>
      <c r="C827" s="14"/>
      <c r="D827" s="157"/>
      <c r="E827" s="157"/>
      <c r="F827" s="49"/>
      <c r="G827" s="147"/>
    </row>
    <row r="828">
      <c r="B828" s="14"/>
      <c r="C828" s="14"/>
      <c r="D828" s="157"/>
      <c r="E828" s="157"/>
      <c r="F828" s="49"/>
      <c r="G828" s="147"/>
    </row>
    <row r="829">
      <c r="B829" s="14"/>
      <c r="C829" s="14"/>
      <c r="D829" s="157"/>
      <c r="E829" s="157"/>
      <c r="F829" s="49"/>
      <c r="G829" s="147"/>
    </row>
    <row r="830">
      <c r="B830" s="14"/>
      <c r="C830" s="14"/>
      <c r="D830" s="157"/>
      <c r="E830" s="157"/>
      <c r="F830" s="49"/>
      <c r="G830" s="147"/>
    </row>
    <row r="831">
      <c r="B831" s="14"/>
      <c r="C831" s="14"/>
      <c r="D831" s="157"/>
      <c r="E831" s="157"/>
      <c r="F831" s="49"/>
      <c r="G831" s="147"/>
    </row>
    <row r="832">
      <c r="B832" s="14"/>
      <c r="C832" s="14"/>
      <c r="D832" s="157"/>
      <c r="E832" s="157"/>
      <c r="F832" s="49"/>
      <c r="G832" s="147"/>
    </row>
    <row r="833">
      <c r="B833" s="14"/>
      <c r="C833" s="14"/>
      <c r="D833" s="157"/>
      <c r="E833" s="157"/>
      <c r="F833" s="49"/>
      <c r="G833" s="147"/>
    </row>
    <row r="834">
      <c r="B834" s="14"/>
      <c r="C834" s="14"/>
      <c r="D834" s="157"/>
      <c r="E834" s="157"/>
      <c r="F834" s="49"/>
      <c r="G834" s="147"/>
    </row>
    <row r="835">
      <c r="B835" s="14"/>
      <c r="C835" s="14"/>
      <c r="D835" s="157"/>
      <c r="E835" s="157"/>
      <c r="F835" s="49"/>
      <c r="G835" s="147"/>
    </row>
    <row r="836">
      <c r="B836" s="14"/>
      <c r="C836" s="14"/>
      <c r="D836" s="157"/>
      <c r="E836" s="157"/>
      <c r="F836" s="49"/>
      <c r="G836" s="147"/>
    </row>
    <row r="837">
      <c r="B837" s="14"/>
      <c r="C837" s="14"/>
      <c r="D837" s="157"/>
      <c r="E837" s="157"/>
      <c r="F837" s="49"/>
      <c r="G837" s="147"/>
    </row>
    <row r="838">
      <c r="B838" s="14"/>
      <c r="C838" s="14"/>
      <c r="D838" s="157"/>
      <c r="E838" s="157"/>
      <c r="F838" s="49"/>
      <c r="G838" s="147"/>
    </row>
    <row r="839">
      <c r="B839" s="14"/>
      <c r="C839" s="14"/>
      <c r="D839" s="157"/>
      <c r="E839" s="157"/>
      <c r="F839" s="49"/>
      <c r="G839" s="147"/>
    </row>
    <row r="840">
      <c r="B840" s="14"/>
      <c r="C840" s="14"/>
      <c r="D840" s="157"/>
      <c r="E840" s="157"/>
      <c r="F840" s="49"/>
      <c r="G840" s="147"/>
    </row>
    <row r="841">
      <c r="B841" s="14"/>
      <c r="C841" s="14"/>
      <c r="D841" s="157"/>
      <c r="E841" s="157"/>
      <c r="F841" s="49"/>
      <c r="G841" s="147"/>
    </row>
    <row r="842">
      <c r="B842" s="14"/>
      <c r="C842" s="14"/>
      <c r="D842" s="157"/>
      <c r="E842" s="157"/>
      <c r="F842" s="49"/>
      <c r="G842" s="147"/>
    </row>
    <row r="843">
      <c r="B843" s="14"/>
      <c r="C843" s="14"/>
      <c r="D843" s="157"/>
      <c r="E843" s="157"/>
      <c r="F843" s="49"/>
      <c r="G843" s="147"/>
    </row>
    <row r="844">
      <c r="B844" s="14"/>
      <c r="C844" s="14"/>
      <c r="D844" s="157"/>
      <c r="E844" s="157"/>
      <c r="F844" s="49"/>
      <c r="G844" s="147"/>
    </row>
    <row r="845">
      <c r="B845" s="14"/>
      <c r="C845" s="14"/>
      <c r="D845" s="157"/>
      <c r="E845" s="157"/>
      <c r="F845" s="49"/>
      <c r="G845" s="147"/>
    </row>
    <row r="846">
      <c r="B846" s="14"/>
      <c r="C846" s="14"/>
      <c r="D846" s="157"/>
      <c r="E846" s="157"/>
      <c r="F846" s="49"/>
      <c r="G846" s="147"/>
    </row>
    <row r="847">
      <c r="B847" s="14"/>
      <c r="C847" s="14"/>
      <c r="D847" s="157"/>
      <c r="E847" s="157"/>
      <c r="F847" s="49"/>
      <c r="G847" s="147"/>
    </row>
    <row r="848">
      <c r="B848" s="14"/>
      <c r="C848" s="14"/>
      <c r="D848" s="157"/>
      <c r="E848" s="157"/>
      <c r="F848" s="49"/>
      <c r="G848" s="147"/>
    </row>
    <row r="849">
      <c r="B849" s="14"/>
      <c r="C849" s="14"/>
      <c r="D849" s="157"/>
      <c r="E849" s="157"/>
      <c r="F849" s="49"/>
      <c r="G849" s="147"/>
    </row>
    <row r="850">
      <c r="B850" s="14"/>
      <c r="C850" s="14"/>
      <c r="D850" s="157"/>
      <c r="E850" s="157"/>
      <c r="F850" s="49"/>
      <c r="G850" s="147"/>
    </row>
    <row r="851">
      <c r="B851" s="14"/>
      <c r="C851" s="14"/>
      <c r="D851" s="157"/>
      <c r="E851" s="157"/>
      <c r="F851" s="49"/>
      <c r="G851" s="147"/>
    </row>
    <row r="852">
      <c r="B852" s="14"/>
      <c r="C852" s="14"/>
      <c r="D852" s="157"/>
      <c r="E852" s="157"/>
      <c r="F852" s="49"/>
      <c r="G852" s="147"/>
    </row>
    <row r="853">
      <c r="B853" s="14"/>
      <c r="C853" s="14"/>
      <c r="D853" s="157"/>
      <c r="E853" s="157"/>
      <c r="F853" s="49"/>
      <c r="G853" s="147"/>
    </row>
    <row r="854">
      <c r="B854" s="14"/>
      <c r="C854" s="14"/>
      <c r="D854" s="157"/>
      <c r="E854" s="157"/>
      <c r="F854" s="49"/>
      <c r="G854" s="147"/>
    </row>
    <row r="855">
      <c r="B855" s="14"/>
      <c r="C855" s="14"/>
      <c r="D855" s="157"/>
      <c r="E855" s="157"/>
      <c r="F855" s="49"/>
      <c r="G855" s="147"/>
    </row>
    <row r="856">
      <c r="B856" s="14"/>
      <c r="C856" s="14"/>
      <c r="D856" s="157"/>
      <c r="E856" s="157"/>
      <c r="F856" s="49"/>
      <c r="G856" s="147"/>
    </row>
    <row r="857">
      <c r="B857" s="14"/>
      <c r="C857" s="14"/>
      <c r="D857" s="157"/>
      <c r="E857" s="157"/>
      <c r="F857" s="49"/>
      <c r="G857" s="147"/>
    </row>
    <row r="858">
      <c r="B858" s="14"/>
      <c r="C858" s="14"/>
      <c r="D858" s="157"/>
      <c r="E858" s="157"/>
      <c r="F858" s="49"/>
      <c r="G858" s="147"/>
    </row>
    <row r="859">
      <c r="B859" s="14"/>
      <c r="C859" s="14"/>
      <c r="D859" s="157"/>
      <c r="E859" s="157"/>
      <c r="F859" s="49"/>
      <c r="G859" s="147"/>
    </row>
    <row r="860">
      <c r="B860" s="14"/>
      <c r="C860" s="14"/>
      <c r="D860" s="157"/>
      <c r="E860" s="157"/>
      <c r="F860" s="49"/>
      <c r="G860" s="147"/>
    </row>
    <row r="861">
      <c r="B861" s="14"/>
      <c r="C861" s="14"/>
      <c r="D861" s="157"/>
      <c r="E861" s="157"/>
      <c r="F861" s="49"/>
      <c r="G861" s="147"/>
    </row>
    <row r="862">
      <c r="B862" s="14"/>
      <c r="C862" s="14"/>
      <c r="D862" s="157"/>
      <c r="E862" s="157"/>
      <c r="F862" s="49"/>
      <c r="G862" s="147"/>
    </row>
    <row r="863">
      <c r="B863" s="14"/>
      <c r="C863" s="14"/>
      <c r="D863" s="157"/>
      <c r="E863" s="157"/>
      <c r="F863" s="49"/>
      <c r="G863" s="147"/>
    </row>
    <row r="864">
      <c r="B864" s="14"/>
      <c r="C864" s="14"/>
      <c r="D864" s="157"/>
      <c r="E864" s="157"/>
      <c r="F864" s="49"/>
      <c r="G864" s="147"/>
    </row>
    <row r="865">
      <c r="B865" s="14"/>
      <c r="C865" s="14"/>
      <c r="D865" s="157"/>
      <c r="E865" s="157"/>
      <c r="F865" s="49"/>
      <c r="G865" s="147"/>
    </row>
    <row r="866">
      <c r="B866" s="14"/>
      <c r="C866" s="14"/>
      <c r="D866" s="157"/>
      <c r="E866" s="157"/>
      <c r="F866" s="49"/>
      <c r="G866" s="147"/>
    </row>
    <row r="867">
      <c r="B867" s="14"/>
      <c r="C867" s="14"/>
      <c r="D867" s="157"/>
      <c r="E867" s="157"/>
      <c r="F867" s="49"/>
      <c r="G867" s="147"/>
    </row>
    <row r="868">
      <c r="B868" s="14"/>
      <c r="C868" s="14"/>
      <c r="D868" s="157"/>
      <c r="E868" s="157"/>
      <c r="F868" s="49"/>
      <c r="G868" s="147"/>
    </row>
    <row r="869">
      <c r="B869" s="14"/>
      <c r="C869" s="14"/>
      <c r="D869" s="157"/>
      <c r="E869" s="157"/>
      <c r="F869" s="49"/>
      <c r="G869" s="147"/>
    </row>
    <row r="870">
      <c r="B870" s="14"/>
      <c r="C870" s="14"/>
      <c r="D870" s="157"/>
      <c r="E870" s="157"/>
      <c r="F870" s="49"/>
      <c r="G870" s="147"/>
    </row>
    <row r="871">
      <c r="B871" s="14"/>
      <c r="C871" s="14"/>
      <c r="D871" s="157"/>
      <c r="E871" s="157"/>
      <c r="F871" s="49"/>
      <c r="G871" s="147"/>
    </row>
    <row r="872">
      <c r="B872" s="14"/>
      <c r="C872" s="14"/>
      <c r="D872" s="157"/>
      <c r="E872" s="157"/>
      <c r="F872" s="49"/>
      <c r="G872" s="147"/>
    </row>
    <row r="873">
      <c r="B873" s="14"/>
      <c r="C873" s="14"/>
      <c r="D873" s="157"/>
      <c r="E873" s="157"/>
      <c r="F873" s="49"/>
      <c r="G873" s="147"/>
    </row>
    <row r="874">
      <c r="B874" s="14"/>
      <c r="C874" s="14"/>
      <c r="D874" s="157"/>
      <c r="E874" s="157"/>
      <c r="F874" s="49"/>
      <c r="G874" s="147"/>
    </row>
    <row r="875">
      <c r="B875" s="14"/>
      <c r="C875" s="14"/>
      <c r="D875" s="157"/>
      <c r="E875" s="157"/>
      <c r="F875" s="49"/>
      <c r="G875" s="147"/>
    </row>
    <row r="876">
      <c r="B876" s="14"/>
      <c r="C876" s="14"/>
      <c r="D876" s="157"/>
      <c r="E876" s="157"/>
      <c r="F876" s="49"/>
      <c r="G876" s="147"/>
    </row>
    <row r="877">
      <c r="B877" s="14"/>
      <c r="C877" s="14"/>
      <c r="D877" s="157"/>
      <c r="E877" s="157"/>
      <c r="F877" s="49"/>
      <c r="G877" s="147"/>
    </row>
    <row r="878">
      <c r="B878" s="14"/>
      <c r="C878" s="14"/>
      <c r="D878" s="157"/>
      <c r="E878" s="157"/>
      <c r="F878" s="49"/>
      <c r="G878" s="147"/>
    </row>
    <row r="879">
      <c r="B879" s="14"/>
      <c r="C879" s="14"/>
      <c r="D879" s="157"/>
      <c r="E879" s="157"/>
      <c r="F879" s="49"/>
      <c r="G879" s="147"/>
    </row>
    <row r="880">
      <c r="B880" s="14"/>
      <c r="C880" s="14"/>
      <c r="D880" s="157"/>
      <c r="E880" s="157"/>
      <c r="F880" s="49"/>
      <c r="G880" s="147"/>
    </row>
    <row r="881">
      <c r="B881" s="14"/>
      <c r="C881" s="14"/>
      <c r="D881" s="157"/>
      <c r="E881" s="157"/>
      <c r="F881" s="49"/>
      <c r="G881" s="147"/>
    </row>
    <row r="882">
      <c r="B882" s="14"/>
      <c r="C882" s="14"/>
      <c r="D882" s="157"/>
      <c r="E882" s="157"/>
      <c r="F882" s="49"/>
      <c r="G882" s="147"/>
    </row>
    <row r="883">
      <c r="B883" s="14"/>
      <c r="C883" s="14"/>
      <c r="D883" s="157"/>
      <c r="E883" s="157"/>
      <c r="F883" s="49"/>
      <c r="G883" s="147"/>
    </row>
    <row r="884">
      <c r="B884" s="14"/>
      <c r="C884" s="14"/>
      <c r="D884" s="157"/>
      <c r="E884" s="157"/>
      <c r="F884" s="49"/>
      <c r="G884" s="147"/>
    </row>
    <row r="885">
      <c r="B885" s="14"/>
      <c r="C885" s="14"/>
      <c r="D885" s="157"/>
      <c r="E885" s="157"/>
      <c r="F885" s="49"/>
      <c r="G885" s="147"/>
    </row>
    <row r="886">
      <c r="B886" s="14"/>
      <c r="C886" s="14"/>
      <c r="D886" s="157"/>
      <c r="E886" s="157"/>
      <c r="F886" s="49"/>
      <c r="G886" s="147"/>
    </row>
    <row r="887">
      <c r="B887" s="14"/>
      <c r="C887" s="14"/>
      <c r="D887" s="157"/>
      <c r="E887" s="157"/>
      <c r="F887" s="49"/>
      <c r="G887" s="147"/>
    </row>
    <row r="888">
      <c r="B888" s="14"/>
      <c r="C888" s="14"/>
      <c r="D888" s="157"/>
      <c r="E888" s="157"/>
      <c r="F888" s="49"/>
      <c r="G888" s="147"/>
    </row>
    <row r="889">
      <c r="B889" s="14"/>
      <c r="C889" s="14"/>
      <c r="D889" s="157"/>
      <c r="E889" s="157"/>
      <c r="F889" s="49"/>
      <c r="G889" s="147"/>
    </row>
    <row r="890">
      <c r="B890" s="14"/>
      <c r="C890" s="14"/>
      <c r="D890" s="157"/>
      <c r="E890" s="157"/>
      <c r="F890" s="49"/>
      <c r="G890" s="147"/>
    </row>
    <row r="891">
      <c r="B891" s="14"/>
      <c r="C891" s="14"/>
      <c r="D891" s="157"/>
      <c r="E891" s="157"/>
      <c r="F891" s="49"/>
      <c r="G891" s="147"/>
    </row>
    <row r="892">
      <c r="B892" s="14"/>
      <c r="C892" s="14"/>
      <c r="D892" s="157"/>
      <c r="E892" s="157"/>
      <c r="F892" s="49"/>
      <c r="G892" s="147"/>
    </row>
    <row r="893">
      <c r="B893" s="14"/>
      <c r="C893" s="14"/>
      <c r="D893" s="157"/>
      <c r="E893" s="157"/>
      <c r="F893" s="49"/>
      <c r="G893" s="147"/>
    </row>
    <row r="894">
      <c r="B894" s="14"/>
      <c r="C894" s="14"/>
      <c r="D894" s="157"/>
      <c r="E894" s="157"/>
      <c r="F894" s="49"/>
      <c r="G894" s="147"/>
    </row>
    <row r="895">
      <c r="B895" s="14"/>
      <c r="C895" s="14"/>
      <c r="D895" s="157"/>
      <c r="E895" s="157"/>
      <c r="F895" s="49"/>
      <c r="G895" s="147"/>
    </row>
    <row r="896">
      <c r="B896" s="14"/>
      <c r="C896" s="14"/>
      <c r="D896" s="157"/>
      <c r="E896" s="157"/>
      <c r="F896" s="49"/>
      <c r="G896" s="147"/>
    </row>
    <row r="897">
      <c r="B897" s="14"/>
      <c r="C897" s="14"/>
      <c r="D897" s="157"/>
      <c r="E897" s="157"/>
      <c r="F897" s="49"/>
      <c r="G897" s="147"/>
    </row>
    <row r="898">
      <c r="B898" s="14"/>
      <c r="C898" s="14"/>
      <c r="D898" s="157"/>
      <c r="E898" s="157"/>
      <c r="F898" s="49"/>
      <c r="G898" s="147"/>
    </row>
    <row r="899">
      <c r="B899" s="14"/>
      <c r="C899" s="14"/>
      <c r="D899" s="157"/>
      <c r="E899" s="157"/>
      <c r="F899" s="49"/>
      <c r="G899" s="147"/>
    </row>
    <row r="900">
      <c r="B900" s="14"/>
      <c r="C900" s="14"/>
      <c r="D900" s="157"/>
      <c r="E900" s="157"/>
      <c r="F900" s="49"/>
      <c r="G900" s="147"/>
    </row>
    <row r="901">
      <c r="B901" s="14"/>
      <c r="C901" s="14"/>
      <c r="D901" s="157"/>
      <c r="E901" s="157"/>
      <c r="F901" s="49"/>
      <c r="G901" s="147"/>
    </row>
    <row r="902">
      <c r="B902" s="14"/>
      <c r="C902" s="14"/>
      <c r="D902" s="157"/>
      <c r="E902" s="157"/>
      <c r="F902" s="49"/>
      <c r="G902" s="147"/>
    </row>
    <row r="903">
      <c r="B903" s="14"/>
      <c r="C903" s="14"/>
      <c r="D903" s="157"/>
      <c r="E903" s="157"/>
      <c r="F903" s="49"/>
      <c r="G903" s="147"/>
    </row>
    <row r="904">
      <c r="B904" s="14"/>
      <c r="C904" s="14"/>
      <c r="D904" s="157"/>
      <c r="E904" s="157"/>
      <c r="F904" s="49"/>
      <c r="G904" s="147"/>
    </row>
    <row r="905">
      <c r="B905" s="14"/>
      <c r="C905" s="14"/>
      <c r="D905" s="157"/>
      <c r="E905" s="157"/>
      <c r="F905" s="49"/>
      <c r="G905" s="147"/>
    </row>
    <row r="906">
      <c r="B906" s="14"/>
      <c r="C906" s="14"/>
      <c r="D906" s="157"/>
      <c r="E906" s="157"/>
      <c r="F906" s="49"/>
      <c r="G906" s="147"/>
    </row>
    <row r="907">
      <c r="B907" s="14"/>
      <c r="C907" s="14"/>
      <c r="D907" s="157"/>
      <c r="E907" s="157"/>
      <c r="F907" s="49"/>
      <c r="G907" s="147"/>
    </row>
    <row r="908">
      <c r="B908" s="14"/>
      <c r="C908" s="14"/>
      <c r="D908" s="157"/>
      <c r="E908" s="157"/>
      <c r="F908" s="49"/>
      <c r="G908" s="147"/>
    </row>
    <row r="909">
      <c r="B909" s="14"/>
      <c r="C909" s="14"/>
      <c r="D909" s="157"/>
      <c r="E909" s="157"/>
      <c r="F909" s="49"/>
      <c r="G909" s="147"/>
    </row>
    <row r="910">
      <c r="B910" s="14"/>
      <c r="C910" s="14"/>
      <c r="D910" s="157"/>
      <c r="E910" s="157"/>
      <c r="F910" s="49"/>
      <c r="G910" s="147"/>
    </row>
    <row r="911">
      <c r="B911" s="14"/>
      <c r="C911" s="14"/>
      <c r="D911" s="157"/>
      <c r="E911" s="157"/>
      <c r="F911" s="49"/>
      <c r="G911" s="147"/>
    </row>
    <row r="912">
      <c r="B912" s="14"/>
      <c r="C912" s="14"/>
      <c r="D912" s="157"/>
      <c r="E912" s="157"/>
      <c r="F912" s="49"/>
      <c r="G912" s="147"/>
    </row>
    <row r="913">
      <c r="B913" s="14"/>
      <c r="C913" s="14"/>
      <c r="D913" s="157"/>
      <c r="E913" s="157"/>
      <c r="F913" s="49"/>
      <c r="G913" s="147"/>
    </row>
    <row r="914">
      <c r="B914" s="14"/>
      <c r="C914" s="14"/>
      <c r="D914" s="157"/>
      <c r="E914" s="157"/>
      <c r="F914" s="49"/>
      <c r="G914" s="147"/>
    </row>
    <row r="915">
      <c r="B915" s="14"/>
      <c r="C915" s="14"/>
      <c r="D915" s="157"/>
      <c r="E915" s="157"/>
      <c r="F915" s="49"/>
      <c r="G915" s="147"/>
    </row>
    <row r="916">
      <c r="B916" s="14"/>
      <c r="C916" s="14"/>
      <c r="D916" s="157"/>
      <c r="E916" s="157"/>
      <c r="F916" s="49"/>
      <c r="G916" s="147"/>
    </row>
    <row r="917">
      <c r="B917" s="14"/>
      <c r="C917" s="14"/>
      <c r="D917" s="157"/>
      <c r="E917" s="157"/>
      <c r="F917" s="49"/>
      <c r="G917" s="147"/>
    </row>
    <row r="918">
      <c r="B918" s="14"/>
      <c r="C918" s="14"/>
      <c r="D918" s="157"/>
      <c r="E918" s="157"/>
      <c r="F918" s="49"/>
      <c r="G918" s="147"/>
    </row>
    <row r="919">
      <c r="B919" s="14"/>
      <c r="C919" s="14"/>
      <c r="D919" s="157"/>
      <c r="E919" s="157"/>
      <c r="F919" s="49"/>
      <c r="G919" s="147"/>
    </row>
    <row r="920">
      <c r="B920" s="14"/>
      <c r="C920" s="14"/>
      <c r="D920" s="157"/>
      <c r="E920" s="157"/>
      <c r="F920" s="49"/>
      <c r="G920" s="147"/>
    </row>
    <row r="921">
      <c r="B921" s="14"/>
      <c r="C921" s="14"/>
      <c r="D921" s="157"/>
      <c r="E921" s="157"/>
      <c r="F921" s="49"/>
      <c r="G921" s="147"/>
    </row>
    <row r="922">
      <c r="B922" s="14"/>
      <c r="C922" s="14"/>
      <c r="D922" s="157"/>
      <c r="E922" s="157"/>
      <c r="F922" s="49"/>
      <c r="G922" s="147"/>
    </row>
    <row r="923">
      <c r="B923" s="14"/>
      <c r="C923" s="14"/>
      <c r="D923" s="157"/>
      <c r="E923" s="157"/>
      <c r="F923" s="49"/>
      <c r="G923" s="147"/>
    </row>
    <row r="924">
      <c r="B924" s="14"/>
      <c r="C924" s="14"/>
      <c r="D924" s="157"/>
      <c r="E924" s="157"/>
      <c r="F924" s="49"/>
      <c r="G924" s="147"/>
    </row>
    <row r="925">
      <c r="B925" s="14"/>
      <c r="C925" s="14"/>
      <c r="D925" s="157"/>
      <c r="E925" s="157"/>
      <c r="F925" s="49"/>
      <c r="G925" s="147"/>
    </row>
    <row r="926">
      <c r="B926" s="14"/>
      <c r="C926" s="14"/>
      <c r="D926" s="157"/>
      <c r="E926" s="157"/>
      <c r="F926" s="49"/>
      <c r="G926" s="147"/>
    </row>
    <row r="927">
      <c r="B927" s="14"/>
      <c r="C927" s="14"/>
      <c r="D927" s="157"/>
      <c r="E927" s="157"/>
      <c r="F927" s="49"/>
      <c r="G927" s="147"/>
    </row>
    <row r="928">
      <c r="B928" s="14"/>
      <c r="C928" s="14"/>
      <c r="D928" s="157"/>
      <c r="E928" s="157"/>
      <c r="F928" s="49"/>
      <c r="G928" s="147"/>
    </row>
    <row r="929">
      <c r="B929" s="14"/>
      <c r="C929" s="14"/>
      <c r="D929" s="157"/>
      <c r="E929" s="157"/>
      <c r="F929" s="49"/>
      <c r="G929" s="147"/>
    </row>
    <row r="930">
      <c r="B930" s="14"/>
      <c r="C930" s="14"/>
      <c r="D930" s="157"/>
      <c r="E930" s="157"/>
      <c r="F930" s="49"/>
      <c r="G930" s="147"/>
    </row>
    <row r="931">
      <c r="B931" s="14"/>
      <c r="C931" s="14"/>
      <c r="D931" s="157"/>
      <c r="E931" s="157"/>
      <c r="F931" s="49"/>
      <c r="G931" s="147"/>
    </row>
    <row r="932">
      <c r="B932" s="14"/>
      <c r="C932" s="14"/>
      <c r="D932" s="157"/>
      <c r="E932" s="157"/>
      <c r="F932" s="49"/>
      <c r="G932" s="147"/>
    </row>
    <row r="933">
      <c r="B933" s="14"/>
      <c r="C933" s="14"/>
      <c r="D933" s="157"/>
      <c r="E933" s="157"/>
      <c r="F933" s="49"/>
      <c r="G933" s="147"/>
    </row>
    <row r="934">
      <c r="B934" s="14"/>
      <c r="C934" s="14"/>
      <c r="D934" s="157"/>
      <c r="E934" s="157"/>
      <c r="F934" s="49"/>
      <c r="G934" s="147"/>
    </row>
    <row r="935">
      <c r="B935" s="14"/>
      <c r="C935" s="14"/>
      <c r="D935" s="157"/>
      <c r="E935" s="157"/>
      <c r="F935" s="49"/>
      <c r="G935" s="147"/>
    </row>
    <row r="936">
      <c r="B936" s="14"/>
      <c r="C936" s="14"/>
      <c r="D936" s="157"/>
      <c r="E936" s="157"/>
      <c r="F936" s="49"/>
      <c r="G936" s="147"/>
    </row>
    <row r="937">
      <c r="B937" s="14"/>
      <c r="C937" s="14"/>
      <c r="D937" s="157"/>
      <c r="E937" s="157"/>
      <c r="F937" s="49"/>
      <c r="G937" s="147"/>
    </row>
    <row r="938">
      <c r="B938" s="14"/>
      <c r="C938" s="14"/>
      <c r="D938" s="157"/>
      <c r="E938" s="157"/>
      <c r="F938" s="49"/>
      <c r="G938" s="147"/>
    </row>
    <row r="939">
      <c r="B939" s="14"/>
      <c r="C939" s="14"/>
      <c r="D939" s="157"/>
      <c r="E939" s="157"/>
      <c r="F939" s="49"/>
      <c r="G939" s="147"/>
    </row>
    <row r="940">
      <c r="B940" s="14"/>
      <c r="C940" s="14"/>
      <c r="D940" s="157"/>
      <c r="E940" s="157"/>
      <c r="F940" s="49"/>
      <c r="G940" s="147"/>
    </row>
    <row r="941">
      <c r="B941" s="14"/>
      <c r="C941" s="14"/>
      <c r="D941" s="157"/>
      <c r="E941" s="157"/>
      <c r="F941" s="49"/>
      <c r="G941" s="147"/>
    </row>
    <row r="942">
      <c r="B942" s="14"/>
      <c r="C942" s="14"/>
      <c r="D942" s="157"/>
      <c r="E942" s="157"/>
      <c r="F942" s="49"/>
      <c r="G942" s="147"/>
    </row>
    <row r="943">
      <c r="B943" s="14"/>
      <c r="C943" s="14"/>
      <c r="D943" s="157"/>
      <c r="E943" s="157"/>
      <c r="F943" s="49"/>
      <c r="G943" s="147"/>
    </row>
    <row r="944">
      <c r="B944" s="14"/>
      <c r="C944" s="14"/>
      <c r="D944" s="157"/>
      <c r="E944" s="157"/>
      <c r="F944" s="49"/>
      <c r="G944" s="147"/>
    </row>
    <row r="945">
      <c r="B945" s="14"/>
      <c r="C945" s="14"/>
      <c r="D945" s="157"/>
      <c r="E945" s="157"/>
      <c r="F945" s="49"/>
      <c r="G945" s="147"/>
    </row>
    <row r="946">
      <c r="B946" s="14"/>
      <c r="C946" s="14"/>
      <c r="D946" s="157"/>
      <c r="E946" s="157"/>
      <c r="F946" s="49"/>
      <c r="G946" s="147"/>
    </row>
    <row r="947">
      <c r="B947" s="14"/>
      <c r="C947" s="14"/>
      <c r="D947" s="157"/>
      <c r="E947" s="157"/>
      <c r="F947" s="49"/>
      <c r="G947" s="147"/>
    </row>
    <row r="948">
      <c r="B948" s="14"/>
      <c r="C948" s="14"/>
      <c r="D948" s="157"/>
      <c r="E948" s="157"/>
      <c r="F948" s="49"/>
      <c r="G948" s="147"/>
    </row>
    <row r="949">
      <c r="B949" s="14"/>
      <c r="C949" s="14"/>
      <c r="D949" s="157"/>
      <c r="E949" s="157"/>
      <c r="F949" s="49"/>
      <c r="G949" s="147"/>
    </row>
    <row r="950">
      <c r="B950" s="14"/>
      <c r="C950" s="14"/>
      <c r="D950" s="157"/>
      <c r="E950" s="157"/>
      <c r="F950" s="49"/>
      <c r="G950" s="147"/>
    </row>
    <row r="951">
      <c r="B951" s="14"/>
      <c r="C951" s="14"/>
      <c r="D951" s="157"/>
      <c r="E951" s="157"/>
      <c r="F951" s="49"/>
      <c r="G951" s="147"/>
    </row>
    <row r="952">
      <c r="B952" s="14"/>
      <c r="C952" s="14"/>
      <c r="D952" s="157"/>
      <c r="E952" s="157"/>
      <c r="F952" s="49"/>
      <c r="G952" s="147"/>
    </row>
    <row r="953">
      <c r="B953" s="14"/>
      <c r="C953" s="14"/>
      <c r="D953" s="157"/>
      <c r="E953" s="157"/>
      <c r="F953" s="49"/>
      <c r="G953" s="147"/>
    </row>
    <row r="954">
      <c r="B954" s="14"/>
      <c r="C954" s="14"/>
      <c r="D954" s="157"/>
      <c r="E954" s="157"/>
      <c r="F954" s="49"/>
      <c r="G954" s="147"/>
    </row>
    <row r="955">
      <c r="B955" s="14"/>
      <c r="C955" s="14"/>
      <c r="D955" s="157"/>
      <c r="E955" s="157"/>
      <c r="F955" s="49"/>
      <c r="G955" s="147"/>
    </row>
    <row r="956">
      <c r="B956" s="14"/>
      <c r="C956" s="14"/>
      <c r="D956" s="157"/>
      <c r="E956" s="157"/>
      <c r="F956" s="49"/>
      <c r="G956" s="147"/>
    </row>
    <row r="957">
      <c r="B957" s="14"/>
      <c r="C957" s="14"/>
      <c r="D957" s="157"/>
      <c r="E957" s="157"/>
      <c r="F957" s="49"/>
      <c r="G957" s="147"/>
    </row>
    <row r="958">
      <c r="B958" s="14"/>
      <c r="C958" s="14"/>
      <c r="D958" s="157"/>
      <c r="E958" s="157"/>
      <c r="F958" s="49"/>
      <c r="G958" s="147"/>
    </row>
    <row r="959">
      <c r="B959" s="14"/>
      <c r="C959" s="14"/>
      <c r="D959" s="157"/>
      <c r="E959" s="157"/>
      <c r="F959" s="49"/>
      <c r="G959" s="147"/>
    </row>
    <row r="960">
      <c r="B960" s="14"/>
      <c r="C960" s="14"/>
      <c r="D960" s="157"/>
      <c r="E960" s="157"/>
      <c r="F960" s="49"/>
      <c r="G960" s="147"/>
    </row>
    <row r="961">
      <c r="B961" s="14"/>
      <c r="C961" s="14"/>
      <c r="D961" s="157"/>
      <c r="E961" s="157"/>
      <c r="F961" s="49"/>
      <c r="G961" s="147"/>
    </row>
    <row r="962">
      <c r="B962" s="14"/>
      <c r="C962" s="14"/>
      <c r="D962" s="157"/>
      <c r="E962" s="157"/>
      <c r="F962" s="49"/>
      <c r="G962" s="147"/>
    </row>
    <row r="963">
      <c r="B963" s="14"/>
      <c r="C963" s="14"/>
      <c r="D963" s="157"/>
      <c r="E963" s="157"/>
      <c r="F963" s="49"/>
      <c r="G963" s="147"/>
    </row>
    <row r="964">
      <c r="B964" s="14"/>
      <c r="C964" s="14"/>
      <c r="D964" s="157"/>
      <c r="E964" s="157"/>
      <c r="F964" s="49"/>
      <c r="G964" s="147"/>
    </row>
    <row r="965">
      <c r="B965" s="14"/>
      <c r="C965" s="14"/>
      <c r="D965" s="157"/>
      <c r="E965" s="157"/>
      <c r="F965" s="49"/>
      <c r="G965" s="147"/>
    </row>
    <row r="966">
      <c r="B966" s="14"/>
      <c r="C966" s="14"/>
      <c r="D966" s="157"/>
      <c r="E966" s="157"/>
      <c r="F966" s="49"/>
      <c r="G966" s="147"/>
    </row>
    <row r="967">
      <c r="B967" s="14"/>
      <c r="C967" s="14"/>
      <c r="D967" s="157"/>
      <c r="E967" s="157"/>
      <c r="F967" s="49"/>
      <c r="G967" s="147"/>
    </row>
    <row r="968">
      <c r="B968" s="14"/>
      <c r="C968" s="14"/>
      <c r="D968" s="157"/>
      <c r="E968" s="157"/>
      <c r="F968" s="49"/>
      <c r="G968" s="147"/>
    </row>
    <row r="969">
      <c r="B969" s="14"/>
      <c r="C969" s="14"/>
      <c r="D969" s="157"/>
      <c r="E969" s="157"/>
      <c r="F969" s="49"/>
      <c r="G969" s="147"/>
    </row>
    <row r="970">
      <c r="B970" s="14"/>
      <c r="C970" s="14"/>
      <c r="D970" s="157"/>
      <c r="E970" s="157"/>
      <c r="F970" s="49"/>
      <c r="G970" s="147"/>
    </row>
    <row r="971">
      <c r="B971" s="14"/>
      <c r="C971" s="14"/>
      <c r="D971" s="157"/>
      <c r="E971" s="157"/>
      <c r="F971" s="49"/>
      <c r="G971" s="147"/>
    </row>
    <row r="972">
      <c r="B972" s="14"/>
      <c r="C972" s="14"/>
      <c r="D972" s="157"/>
      <c r="E972" s="157"/>
      <c r="F972" s="49"/>
      <c r="G972" s="147"/>
    </row>
    <row r="973">
      <c r="B973" s="14"/>
      <c r="C973" s="14"/>
      <c r="D973" s="157"/>
      <c r="E973" s="157"/>
      <c r="F973" s="49"/>
      <c r="G973" s="147"/>
    </row>
    <row r="974">
      <c r="B974" s="14"/>
      <c r="C974" s="14"/>
      <c r="D974" s="157"/>
      <c r="E974" s="157"/>
      <c r="F974" s="49"/>
      <c r="G974" s="147"/>
    </row>
    <row r="975">
      <c r="B975" s="14"/>
      <c r="C975" s="14"/>
      <c r="D975" s="157"/>
      <c r="E975" s="157"/>
      <c r="F975" s="49"/>
      <c r="G975" s="147"/>
    </row>
    <row r="976">
      <c r="B976" s="14"/>
      <c r="C976" s="14"/>
      <c r="D976" s="157"/>
      <c r="E976" s="157"/>
      <c r="F976" s="49"/>
      <c r="G976" s="147"/>
    </row>
    <row r="977">
      <c r="B977" s="14"/>
      <c r="C977" s="14"/>
      <c r="D977" s="157"/>
      <c r="E977" s="157"/>
      <c r="F977" s="49"/>
      <c r="G977" s="147"/>
    </row>
    <row r="978">
      <c r="B978" s="14"/>
      <c r="C978" s="14"/>
      <c r="D978" s="157"/>
      <c r="E978" s="157"/>
      <c r="F978" s="49"/>
      <c r="G978" s="147"/>
    </row>
    <row r="979">
      <c r="B979" s="14"/>
      <c r="C979" s="14"/>
      <c r="D979" s="157"/>
      <c r="E979" s="157"/>
      <c r="F979" s="49"/>
      <c r="G979" s="147"/>
    </row>
    <row r="980">
      <c r="B980" s="14"/>
      <c r="C980" s="14"/>
      <c r="D980" s="157"/>
      <c r="E980" s="157"/>
      <c r="F980" s="49"/>
      <c r="G980" s="147"/>
    </row>
    <row r="981">
      <c r="B981" s="14"/>
      <c r="C981" s="14"/>
      <c r="D981" s="157"/>
      <c r="E981" s="157"/>
      <c r="F981" s="49"/>
      <c r="G981" s="147"/>
    </row>
    <row r="982">
      <c r="B982" s="14"/>
      <c r="C982" s="14"/>
      <c r="D982" s="157"/>
      <c r="E982" s="157"/>
      <c r="F982" s="49"/>
      <c r="G982" s="147"/>
    </row>
    <row r="983">
      <c r="B983" s="14"/>
      <c r="C983" s="14"/>
      <c r="D983" s="157"/>
      <c r="E983" s="157"/>
      <c r="F983" s="49"/>
      <c r="G983" s="147"/>
    </row>
    <row r="984">
      <c r="B984" s="14"/>
      <c r="C984" s="14"/>
      <c r="D984" s="157"/>
      <c r="E984" s="157"/>
      <c r="F984" s="49"/>
      <c r="G984" s="147"/>
    </row>
    <row r="985">
      <c r="B985" s="14"/>
      <c r="C985" s="14"/>
      <c r="D985" s="157"/>
      <c r="E985" s="157"/>
      <c r="F985" s="49"/>
      <c r="G985" s="147"/>
    </row>
    <row r="986">
      <c r="B986" s="14"/>
      <c r="C986" s="14"/>
      <c r="D986" s="157"/>
      <c r="E986" s="157"/>
      <c r="F986" s="49"/>
      <c r="G986" s="147"/>
    </row>
    <row r="987">
      <c r="B987" s="14"/>
      <c r="C987" s="14"/>
      <c r="D987" s="157"/>
      <c r="E987" s="157"/>
      <c r="F987" s="49"/>
      <c r="G987" s="147"/>
    </row>
    <row r="988">
      <c r="B988" s="14"/>
      <c r="C988" s="14"/>
      <c r="D988" s="157"/>
      <c r="E988" s="157"/>
      <c r="F988" s="49"/>
      <c r="G988" s="147"/>
    </row>
    <row r="989">
      <c r="B989" s="14"/>
      <c r="C989" s="14"/>
      <c r="D989" s="157"/>
      <c r="E989" s="157"/>
      <c r="F989" s="49"/>
      <c r="G989" s="147"/>
    </row>
    <row r="990">
      <c r="B990" s="14"/>
      <c r="C990" s="14"/>
      <c r="D990" s="157"/>
      <c r="E990" s="157"/>
      <c r="F990" s="49"/>
      <c r="G990" s="147"/>
    </row>
    <row r="991">
      <c r="B991" s="14"/>
      <c r="C991" s="14"/>
      <c r="D991" s="157"/>
      <c r="E991" s="157"/>
      <c r="F991" s="49"/>
      <c r="G991" s="147"/>
    </row>
    <row r="992">
      <c r="B992" s="14"/>
      <c r="C992" s="14"/>
      <c r="D992" s="157"/>
      <c r="E992" s="157"/>
      <c r="F992" s="49"/>
      <c r="G992" s="147"/>
    </row>
    <row r="993">
      <c r="B993" s="14"/>
      <c r="C993" s="14"/>
      <c r="D993" s="157"/>
      <c r="E993" s="157"/>
      <c r="F993" s="49"/>
      <c r="G993" s="147"/>
    </row>
    <row r="994">
      <c r="B994" s="14"/>
      <c r="C994" s="14"/>
      <c r="D994" s="157"/>
      <c r="E994" s="157"/>
      <c r="F994" s="49"/>
      <c r="G994" s="147"/>
    </row>
    <row r="995">
      <c r="B995" s="14"/>
      <c r="C995" s="14"/>
      <c r="D995" s="157"/>
      <c r="E995" s="157"/>
      <c r="F995" s="49"/>
      <c r="G995" s="147"/>
    </row>
    <row r="996">
      <c r="B996" s="14"/>
      <c r="C996" s="14"/>
      <c r="D996" s="157"/>
      <c r="E996" s="157"/>
      <c r="F996" s="49"/>
      <c r="G996" s="147"/>
    </row>
    <row r="997">
      <c r="B997" s="14"/>
      <c r="C997" s="14"/>
      <c r="D997" s="157"/>
      <c r="E997" s="157"/>
      <c r="F997" s="49"/>
      <c r="G997" s="147"/>
    </row>
    <row r="998">
      <c r="B998" s="14"/>
      <c r="C998" s="14"/>
      <c r="D998" s="157"/>
      <c r="E998" s="157"/>
      <c r="F998" s="49"/>
      <c r="G998" s="147"/>
    </row>
    <row r="999">
      <c r="B999" s="14"/>
      <c r="C999" s="14"/>
      <c r="D999" s="157"/>
      <c r="E999" s="157"/>
      <c r="F999" s="49"/>
      <c r="G999" s="147"/>
    </row>
    <row r="1000">
      <c r="B1000" s="14"/>
      <c r="C1000" s="14"/>
      <c r="D1000" s="157"/>
      <c r="E1000" s="157"/>
      <c r="F1000" s="49"/>
      <c r="G1000" s="147"/>
    </row>
  </sheetData>
  <conditionalFormatting sqref="F1:F1000">
    <cfRule type="cellIs" dxfId="3" priority="1" operator="greaterThanOrEqual">
      <formula>10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2.0"/>
    <col customWidth="1" min="3" max="7" width="18.13"/>
    <col customWidth="1" min="8" max="10" width="21.25"/>
    <col customWidth="1" min="11" max="11" width="11.13"/>
    <col customWidth="1" min="12" max="12" width="14.13"/>
    <col customWidth="1" min="13" max="13" width="11.0"/>
    <col customWidth="1" min="14" max="26" width="21.25"/>
  </cols>
  <sheetData>
    <row r="1">
      <c r="A1" s="223" t="s">
        <v>191</v>
      </c>
      <c r="B1" s="225"/>
      <c r="C1" s="225"/>
      <c r="D1" s="225"/>
      <c r="E1" s="225"/>
      <c r="F1" s="227"/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</row>
    <row r="2">
      <c r="A2" s="228"/>
      <c r="B2" s="225"/>
      <c r="C2" s="225"/>
      <c r="D2" s="225"/>
      <c r="E2" s="225"/>
      <c r="F2" s="227"/>
      <c r="G2" s="227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>
      <c r="A3" s="229" t="s">
        <v>34</v>
      </c>
      <c r="B3" s="230" t="str">
        <f t="array" ref="B3">XLOOKUP($A3,'Maestro de productos 2024'!$A$3:$A$163,'Maestro de productos 2024'!$B$3:$B$163,0)</f>
        <v>ID-3824</v>
      </c>
      <c r="C3" s="231"/>
      <c r="D3" s="231"/>
      <c r="E3" s="232"/>
      <c r="F3" s="233"/>
      <c r="G3" s="233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>
      <c r="A4" s="234">
        <v>32.0</v>
      </c>
      <c r="B4" s="235" t="s">
        <v>213</v>
      </c>
      <c r="C4" s="230"/>
      <c r="D4" s="230"/>
      <c r="E4" s="230"/>
      <c r="F4" s="236"/>
      <c r="G4" s="236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>
      <c r="A5" s="234" t="s">
        <v>214</v>
      </c>
      <c r="B5" s="230" t="s">
        <v>215</v>
      </c>
      <c r="C5" s="230"/>
      <c r="D5" s="230"/>
      <c r="E5" s="230"/>
      <c r="F5" s="236"/>
      <c r="G5" s="236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>
      <c r="A6" s="234" t="s">
        <v>216</v>
      </c>
      <c r="B6" s="230" t="s">
        <v>217</v>
      </c>
      <c r="C6" s="230"/>
      <c r="D6" s="230"/>
      <c r="E6" s="230"/>
      <c r="F6" s="236"/>
      <c r="G6" s="236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>
      <c r="A7" s="223" t="s">
        <v>218</v>
      </c>
      <c r="B7" s="240" t="s">
        <v>115</v>
      </c>
      <c r="C7" s="240" t="s">
        <v>219</v>
      </c>
      <c r="D7" s="240" t="s">
        <v>116</v>
      </c>
      <c r="E7" s="240" t="s">
        <v>220</v>
      </c>
      <c r="F7" s="241" t="s">
        <v>221</v>
      </c>
      <c r="G7" s="241" t="s">
        <v>222</v>
      </c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</row>
    <row r="8">
      <c r="A8" s="242" t="s">
        <v>149</v>
      </c>
      <c r="B8" s="243">
        <f>VLOOKUP(A8,Lista!$A$3:$E$45,2,FALSE())</f>
        <v>1</v>
      </c>
      <c r="C8" s="230">
        <v>0.15</v>
      </c>
      <c r="D8" s="225">
        <f>VLOOKUP(A8,Lista!$A$3:$E$45,3,FALSE())</f>
        <v>261.1111111</v>
      </c>
      <c r="E8" s="225">
        <f t="shared" ref="E8:F8" si="1">($C$8*$D$8)/$B$8</f>
        <v>39.16666667</v>
      </c>
      <c r="F8" s="225">
        <f t="shared" si="1"/>
        <v>39.16666667</v>
      </c>
      <c r="G8" s="230">
        <f t="shared" ref="G8:G17" si="3">(E8-F8)/E8</f>
        <v>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</row>
    <row r="9">
      <c r="A9" s="244" t="s">
        <v>118</v>
      </c>
      <c r="B9" s="243">
        <f>VLOOKUP(A9,Lista!$A$3:$E$45,2,FALSE())</f>
        <v>1</v>
      </c>
      <c r="C9" s="230">
        <v>0.125</v>
      </c>
      <c r="D9" s="225">
        <f>VLOOKUP(A9,Lista!$A$3:$E$45,3,FALSE())</f>
        <v>38</v>
      </c>
      <c r="E9" s="225">
        <f t="shared" ref="E9:F9" si="2">($C$9*$D$9)/$B$9</f>
        <v>4.75</v>
      </c>
      <c r="F9" s="225">
        <f t="shared" si="2"/>
        <v>4.75</v>
      </c>
      <c r="G9" s="230">
        <f t="shared" si="3"/>
        <v>0</v>
      </c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</row>
    <row r="10">
      <c r="A10" s="244" t="s">
        <v>120</v>
      </c>
      <c r="B10" s="243">
        <f>VLOOKUP(A10,Lista!$A$3:$E$45,2,FALSE())</f>
        <v>1</v>
      </c>
      <c r="C10" s="230">
        <v>0.125</v>
      </c>
      <c r="D10" s="225">
        <f>VLOOKUP(A10,Lista!$A$3:$E$45,3,FALSE())</f>
        <v>51.5</v>
      </c>
      <c r="E10" s="225">
        <f t="shared" ref="E10:F10" si="4">($C$10*$D$10)/$B$10</f>
        <v>6.4375</v>
      </c>
      <c r="F10" s="225">
        <f t="shared" si="4"/>
        <v>6.4375</v>
      </c>
      <c r="G10" s="230">
        <f t="shared" si="3"/>
        <v>0</v>
      </c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</row>
    <row r="11">
      <c r="A11" s="244" t="s">
        <v>141</v>
      </c>
      <c r="B11" s="243">
        <f>VLOOKUP(A11,Lista!$A$3:$E$45,2,FALSE())</f>
        <v>30</v>
      </c>
      <c r="C11" s="230">
        <v>1.0</v>
      </c>
      <c r="D11" s="225">
        <f>VLOOKUP(A11,Lista!$A$3:$E$45,3,FALSE())</f>
        <v>91</v>
      </c>
      <c r="E11" s="225">
        <f t="shared" ref="E11:F11" si="5">($C$11*$D$11)/$B$11</f>
        <v>3.033333333</v>
      </c>
      <c r="F11" s="225">
        <f t="shared" si="5"/>
        <v>3.033333333</v>
      </c>
      <c r="G11" s="230">
        <f t="shared" si="3"/>
        <v>0</v>
      </c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</row>
    <row r="12">
      <c r="A12" s="244" t="s">
        <v>159</v>
      </c>
      <c r="B12" s="243">
        <f>VLOOKUP(A12,Lista!$A$3:$E$45,2,FALSE())</f>
        <v>0.25</v>
      </c>
      <c r="C12" s="230">
        <v>0.015</v>
      </c>
      <c r="D12" s="225">
        <f>VLOOKUP(A12,Lista!$A$3:$E$45,3,FALSE())</f>
        <v>24.5</v>
      </c>
      <c r="E12" s="225">
        <f t="shared" ref="E12:F12" si="6">($C$12*$D$12)/$B$12</f>
        <v>1.47</v>
      </c>
      <c r="F12" s="225">
        <f t="shared" si="6"/>
        <v>1.47</v>
      </c>
      <c r="G12" s="230">
        <f t="shared" si="3"/>
        <v>0</v>
      </c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</row>
    <row r="13">
      <c r="A13" s="244" t="s">
        <v>121</v>
      </c>
      <c r="B13" s="243">
        <f>VLOOKUP(A13,Lista!$A$3:$E$45,2,FALSE())</f>
        <v>1</v>
      </c>
      <c r="C13" s="230">
        <v>0.003</v>
      </c>
      <c r="D13" s="225">
        <f>VLOOKUP(A13,Lista!$A$3:$E$45,3,FALSE())</f>
        <v>30</v>
      </c>
      <c r="E13" s="225">
        <f t="shared" ref="E13:F13" si="7">($C$13*$D$13)/$B$13</f>
        <v>0.09</v>
      </c>
      <c r="F13" s="225">
        <f t="shared" si="7"/>
        <v>0.09</v>
      </c>
      <c r="G13" s="230">
        <f t="shared" si="3"/>
        <v>0</v>
      </c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</row>
    <row r="14">
      <c r="A14" s="244" t="s">
        <v>157</v>
      </c>
      <c r="B14" s="243">
        <f>VLOOKUP(A14,Lista!$A$3:$E$45,2,FALSE())</f>
        <v>0.65</v>
      </c>
      <c r="C14" s="230">
        <v>0.003</v>
      </c>
      <c r="D14" s="225">
        <f>VLOOKUP(A14,Lista!$A$3:$E$45,3,FALSE())</f>
        <v>14.8</v>
      </c>
      <c r="E14" s="225">
        <f t="shared" ref="E14:F14" si="8">($C$14*$D$14)/$B$14</f>
        <v>0.06830769231</v>
      </c>
      <c r="F14" s="225">
        <f t="shared" si="8"/>
        <v>0.06830769231</v>
      </c>
      <c r="G14" s="230">
        <f t="shared" si="3"/>
        <v>0</v>
      </c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</row>
    <row r="15">
      <c r="A15" s="244" t="s">
        <v>151</v>
      </c>
      <c r="B15" s="243">
        <f>VLOOKUP(A15,Lista!$A$3:$E$45,2,FALSE())</f>
        <v>1</v>
      </c>
      <c r="C15" s="230">
        <v>0.125</v>
      </c>
      <c r="D15" s="225">
        <f>VLOOKUP(A15,Lista!$A$3:$E$45,3,FALSE())</f>
        <v>274</v>
      </c>
      <c r="E15" s="225">
        <f t="shared" ref="E15:F15" si="9">($C$15*$D$15)/$B$15</f>
        <v>34.25</v>
      </c>
      <c r="F15" s="225">
        <f t="shared" si="9"/>
        <v>34.25</v>
      </c>
      <c r="G15" s="230">
        <f t="shared" si="3"/>
        <v>0</v>
      </c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</row>
    <row r="16">
      <c r="A16" s="244" t="s">
        <v>128</v>
      </c>
      <c r="B16" s="243">
        <f>VLOOKUP(A16,Lista!$A$3:$E$45,2,FALSE())</f>
        <v>0.5</v>
      </c>
      <c r="C16" s="230">
        <v>0.16</v>
      </c>
      <c r="D16" s="225">
        <f>VLOOKUP(A16,Lista!$A$3:$E$45,3,FALSE())</f>
        <v>79</v>
      </c>
      <c r="E16" s="225">
        <f t="shared" ref="E16:F16" si="10">($C$16*$D$16)/$B$16</f>
        <v>25.28</v>
      </c>
      <c r="F16" s="225">
        <f t="shared" si="10"/>
        <v>25.28</v>
      </c>
      <c r="G16" s="230">
        <f t="shared" si="3"/>
        <v>0</v>
      </c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</row>
    <row r="17">
      <c r="A17" s="244" t="s">
        <v>140</v>
      </c>
      <c r="B17" s="243">
        <f>VLOOKUP(A17,Lista!$A$3:$E$45,2,FALSE())</f>
        <v>1</v>
      </c>
      <c r="C17" s="230">
        <v>0.25</v>
      </c>
      <c r="D17" s="225">
        <f>VLOOKUP(A17,Lista!$A$3:$E$45,3,FALSE())</f>
        <v>23</v>
      </c>
      <c r="E17" s="225">
        <f t="shared" ref="E17:F17" si="11">($C$17*$D$17)/$B$17</f>
        <v>5.75</v>
      </c>
      <c r="F17" s="225">
        <f t="shared" si="11"/>
        <v>5.75</v>
      </c>
      <c r="G17" s="230">
        <f t="shared" si="3"/>
        <v>0</v>
      </c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</row>
    <row r="18">
      <c r="A18" s="228"/>
      <c r="B18" s="225"/>
      <c r="C18" s="225"/>
      <c r="D18" s="258" t="s">
        <v>223</v>
      </c>
      <c r="E18" s="225">
        <f t="shared" ref="E18:F18" si="12">SUM(E8:E17)</f>
        <v>120.2958077</v>
      </c>
      <c r="F18" s="225">
        <f t="shared" si="12"/>
        <v>120.2958077</v>
      </c>
      <c r="G18" s="230">
        <f>($E$18-$F$18)/$E$18</f>
        <v>0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>
      <c r="A19" s="228"/>
      <c r="B19" s="225"/>
      <c r="C19" s="225"/>
      <c r="D19" s="258" t="s">
        <v>224</v>
      </c>
      <c r="E19" s="259">
        <f t="shared" ref="E19:F19" si="13">E18+10</f>
        <v>130.2958077</v>
      </c>
      <c r="F19" s="259">
        <f t="shared" si="13"/>
        <v>130.2958077</v>
      </c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>
      <c r="A20" s="228"/>
      <c r="B20" s="225"/>
      <c r="C20" s="225"/>
      <c r="D20" s="260" t="s">
        <v>225</v>
      </c>
      <c r="E20" s="225">
        <f t="shared" ref="E20:F20" si="14">E19*100/40</f>
        <v>325.7395192</v>
      </c>
      <c r="F20" s="225">
        <f t="shared" si="14"/>
        <v>325.7395192</v>
      </c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>
      <c r="A21" s="228"/>
      <c r="B21" s="225"/>
      <c r="C21" s="225"/>
      <c r="D21" s="258" t="s">
        <v>226</v>
      </c>
      <c r="E21" s="225">
        <f>E19/A4</f>
        <v>4.07174399</v>
      </c>
      <c r="F21" s="225">
        <f>F19/A4</f>
        <v>4.07174399</v>
      </c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>
      <c r="A22" s="228"/>
      <c r="B22" s="225"/>
      <c r="C22" s="225"/>
      <c r="D22" s="261" t="s">
        <v>227</v>
      </c>
      <c r="E22" s="259">
        <f>E21*100/40</f>
        <v>10.17935998</v>
      </c>
      <c r="F22" s="259">
        <f>$F$21*100/40</f>
        <v>10.17935998</v>
      </c>
      <c r="G22" s="230">
        <f>($E$22-$F$22)/$E$22</f>
        <v>0</v>
      </c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>
      <c r="A23" s="228"/>
      <c r="B23" s="225"/>
      <c r="C23" s="225"/>
      <c r="D23" s="231" t="s">
        <v>228</v>
      </c>
      <c r="E23" s="232">
        <f t="shared" ref="E23:F23" si="15">ROUNDDOWN($E$22,0)</f>
        <v>10</v>
      </c>
      <c r="F23" s="232">
        <f t="shared" si="15"/>
        <v>10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>
      <c r="A24" s="228"/>
      <c r="B24" s="225"/>
      <c r="C24" s="225"/>
      <c r="D24" s="225"/>
      <c r="E24" s="225"/>
      <c r="F24" s="227"/>
      <c r="G24" s="227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>
      <c r="A25" s="228"/>
      <c r="B25" s="225"/>
      <c r="C25" s="225"/>
      <c r="D25" s="225"/>
      <c r="E25" s="225"/>
      <c r="F25" s="227"/>
      <c r="G25" s="227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>
      <c r="A26" s="229" t="s">
        <v>37</v>
      </c>
      <c r="B26" s="230" t="str">
        <f t="array" ref="B26">XLOOKUP($A26,'Maestro de productos 2024'!$A$3:$A$163,'Maestro de productos 2024'!$B$3:$B$163,0)</f>
        <v>ID-3825</v>
      </c>
      <c r="C26" s="225"/>
      <c r="D26" s="225"/>
      <c r="E26" s="225"/>
      <c r="F26" s="227"/>
      <c r="G26" s="227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>
      <c r="A27" s="244">
        <v>16.0</v>
      </c>
      <c r="B27" s="230" t="s">
        <v>229</v>
      </c>
      <c r="C27" s="225"/>
      <c r="D27" s="225"/>
      <c r="E27" s="225"/>
      <c r="F27" s="227"/>
      <c r="G27" s="227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>
      <c r="A28" s="265" t="s">
        <v>230</v>
      </c>
      <c r="B28" s="230" t="s">
        <v>231</v>
      </c>
      <c r="C28" s="225"/>
      <c r="D28" s="225"/>
      <c r="E28" s="225"/>
      <c r="F28" s="227"/>
      <c r="G28" s="227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>
      <c r="A29" s="265" t="s">
        <v>216</v>
      </c>
      <c r="B29" s="230" t="s">
        <v>217</v>
      </c>
      <c r="C29" s="225"/>
      <c r="D29" s="225"/>
      <c r="E29" s="225"/>
      <c r="F29" s="227"/>
      <c r="G29" s="227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>
      <c r="A30" s="223" t="s">
        <v>218</v>
      </c>
      <c r="B30" s="240" t="s">
        <v>115</v>
      </c>
      <c r="C30" s="240" t="s">
        <v>219</v>
      </c>
      <c r="D30" s="240" t="s">
        <v>116</v>
      </c>
      <c r="E30" s="240" t="s">
        <v>220</v>
      </c>
      <c r="F30" s="241" t="s">
        <v>221</v>
      </c>
      <c r="G30" s="241" t="s">
        <v>222</v>
      </c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</row>
    <row r="31">
      <c r="A31" s="244" t="s">
        <v>139</v>
      </c>
      <c r="B31" s="243">
        <f>VLOOKUP(A31,Lista!$A$3:$E$45,2,FALSE())</f>
        <v>0.17</v>
      </c>
      <c r="C31" s="230">
        <v>0.15</v>
      </c>
      <c r="D31" s="225">
        <f>VLOOKUP(A31,Lista!$A$3:$E$45,3,FALSE())</f>
        <v>19.5</v>
      </c>
      <c r="E31" s="225">
        <f t="shared" ref="E31:F31" si="16">($C$31*$D$31)/$B$31</f>
        <v>17.20588235</v>
      </c>
      <c r="F31" s="225">
        <f t="shared" si="16"/>
        <v>17.20588235</v>
      </c>
      <c r="G31" s="230">
        <v>0.0</v>
      </c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</row>
    <row r="32">
      <c r="A32" s="244" t="s">
        <v>149</v>
      </c>
      <c r="B32" s="243">
        <f>VLOOKUP(A32,Lista!$A$3:$E$45,2,FALSE())</f>
        <v>1</v>
      </c>
      <c r="C32" s="230">
        <v>0.07</v>
      </c>
      <c r="D32" s="225">
        <f>VLOOKUP(A32,Lista!$A$3:$E$45,3,FALSE())</f>
        <v>261.1111111</v>
      </c>
      <c r="E32" s="225">
        <f t="shared" ref="E32:F32" si="17">($C$32*$D$32)/$B$32</f>
        <v>18.27777778</v>
      </c>
      <c r="F32" s="225">
        <f t="shared" si="17"/>
        <v>18.27777778</v>
      </c>
      <c r="G32" s="230">
        <v>0.0</v>
      </c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</row>
    <row r="33">
      <c r="A33" s="244" t="s">
        <v>155</v>
      </c>
      <c r="B33" s="243">
        <f>VLOOKUP(A33,Lista!$A$3:$E$45,2,FALSE())</f>
        <v>1</v>
      </c>
      <c r="C33" s="230">
        <v>0.3</v>
      </c>
      <c r="D33" s="225">
        <f>VLOOKUP(A33,Lista!$A$3:$E$45,3,FALSE())</f>
        <v>120</v>
      </c>
      <c r="E33" s="225">
        <f t="shared" ref="E33:F33" si="18">($C$33*$D$33)/$B$33</f>
        <v>36</v>
      </c>
      <c r="F33" s="225">
        <f t="shared" si="18"/>
        <v>36</v>
      </c>
      <c r="G33" s="230">
        <v>0.0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</row>
    <row r="34">
      <c r="A34" s="244" t="s">
        <v>118</v>
      </c>
      <c r="B34" s="243">
        <f>VLOOKUP(A34,Lista!$A$3:$E$45,2,FALSE())</f>
        <v>1</v>
      </c>
      <c r="C34" s="230">
        <v>0.15</v>
      </c>
      <c r="D34" s="225">
        <f>VLOOKUP(A34,Lista!$A$3:$E$45,3,FALSE())</f>
        <v>38</v>
      </c>
      <c r="E34" s="225">
        <f t="shared" ref="E34:F34" si="19">($C$34*$D$34)/$B$34</f>
        <v>5.7</v>
      </c>
      <c r="F34" s="225">
        <f t="shared" si="19"/>
        <v>5.7</v>
      </c>
      <c r="G34" s="230">
        <v>0.0</v>
      </c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</row>
    <row r="35">
      <c r="A35" s="244" t="s">
        <v>141</v>
      </c>
      <c r="B35" s="243">
        <f>VLOOKUP(A35,Lista!$A$3:$E$45,2,FALSE())</f>
        <v>30</v>
      </c>
      <c r="C35" s="230">
        <v>2.0</v>
      </c>
      <c r="D35" s="225">
        <f>VLOOKUP(A35,Lista!$A$3:$E$45,3,FALSE())</f>
        <v>91</v>
      </c>
      <c r="E35" s="225">
        <f t="shared" ref="E35:F35" si="20">($C$35*$D$35)/$B$35</f>
        <v>6.066666667</v>
      </c>
      <c r="F35" s="225">
        <f t="shared" si="20"/>
        <v>6.066666667</v>
      </c>
      <c r="G35" s="230">
        <v>0.0</v>
      </c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</row>
    <row r="36">
      <c r="A36" s="244" t="s">
        <v>150</v>
      </c>
      <c r="B36" s="243">
        <f>VLOOKUP(A36,Lista!$A$3:$E$45,2,FALSE())</f>
        <v>0.225</v>
      </c>
      <c r="C36" s="230">
        <f>(0.15+0.08)</f>
        <v>0.23</v>
      </c>
      <c r="D36" s="225">
        <f>VLOOKUP(A36,Lista!$A$3:$E$45,3,FALSE())</f>
        <v>20.5</v>
      </c>
      <c r="E36" s="225">
        <f>($C$36*$D$36)/$B$36</f>
        <v>20.95555556</v>
      </c>
      <c r="F36" s="225">
        <f>(0.15*$D$36)/$B$36</f>
        <v>13.66666667</v>
      </c>
      <c r="G36" s="225">
        <f>(E36-((0.15*D36)/B36))/E36</f>
        <v>0.347826087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</row>
    <row r="37">
      <c r="A37" s="244" t="s">
        <v>159</v>
      </c>
      <c r="B37" s="243">
        <f>VLOOKUP(A37,Lista!$A$3:$E$45,2,FALSE())</f>
        <v>0.25</v>
      </c>
      <c r="C37" s="230">
        <v>0.01</v>
      </c>
      <c r="D37" s="225">
        <f>VLOOKUP(A37,Lista!$A$3:$E$45,3,FALSE())</f>
        <v>24.5</v>
      </c>
      <c r="E37" s="225">
        <f t="shared" ref="E37:F37" si="21">($C$37*$D$37)/$B$37</f>
        <v>0.98</v>
      </c>
      <c r="F37" s="225">
        <f t="shared" si="21"/>
        <v>0.98</v>
      </c>
      <c r="G37" s="230">
        <v>0.0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</row>
    <row r="38">
      <c r="A38" s="244" t="s">
        <v>137</v>
      </c>
      <c r="B38" s="243">
        <f>VLOOKUP(A38,Lista!$A$3:$E$45,2,FALSE())</f>
        <v>1</v>
      </c>
      <c r="C38" s="230">
        <v>0.01</v>
      </c>
      <c r="D38" s="225">
        <f>VLOOKUP(A38,Lista!$A$3:$E$45,3,FALSE())</f>
        <v>153.125</v>
      </c>
      <c r="E38" s="225">
        <f t="shared" ref="E38:F38" si="22">($C$38*$D$38)/$B$38</f>
        <v>1.53125</v>
      </c>
      <c r="F38" s="225">
        <f t="shared" si="22"/>
        <v>1.53125</v>
      </c>
      <c r="G38" s="230">
        <v>0.0</v>
      </c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</row>
    <row r="39">
      <c r="A39" s="244" t="s">
        <v>148</v>
      </c>
      <c r="B39" s="243">
        <f>VLOOKUP(A39,Lista!$A$3:$E$45,2,FALSE())</f>
        <v>1</v>
      </c>
      <c r="C39" s="230">
        <v>0.015</v>
      </c>
      <c r="D39" s="225">
        <f>VLOOKUP(A39,Lista!$A$3:$E$45,3,FALSE())</f>
        <v>57.9</v>
      </c>
      <c r="E39" s="225">
        <f t="shared" ref="E39:F39" si="23">($C$39*$D$39)/$B$39</f>
        <v>0.8685</v>
      </c>
      <c r="F39" s="225">
        <f t="shared" si="23"/>
        <v>0.8685</v>
      </c>
      <c r="G39" s="230">
        <v>0.0</v>
      </c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</row>
    <row r="40">
      <c r="A40" s="244" t="s">
        <v>138</v>
      </c>
      <c r="B40" s="243">
        <f>VLOOKUP(A40,Lista!$A$3:$E$45,2,FALSE())</f>
        <v>0.5</v>
      </c>
      <c r="C40" s="230">
        <f>(0.115+0.03)</f>
        <v>0.145</v>
      </c>
      <c r="D40" s="225">
        <f>VLOOKUP(A40,Lista!$A$3:$E$45,3,FALSE())</f>
        <v>151.4705882</v>
      </c>
      <c r="E40" s="225">
        <f>($C$40*$D$40)/$B$40</f>
        <v>43.92647059</v>
      </c>
      <c r="F40" s="225">
        <f>(0.115*$D$40)/$B$40</f>
        <v>34.83823529</v>
      </c>
      <c r="G40" s="230">
        <v>0.0</v>
      </c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</row>
    <row r="41">
      <c r="A41" s="244" t="s">
        <v>124</v>
      </c>
      <c r="B41" s="243">
        <f>VLOOKUP(A41,Lista!$A$3:$E$45,2,FALSE())</f>
        <v>500</v>
      </c>
      <c r="C41" s="230">
        <v>16.0</v>
      </c>
      <c r="D41" s="225">
        <f>VLOOKUP(A41,Lista!$A$3:$E$45,3,FALSE())</f>
        <v>85</v>
      </c>
      <c r="E41" s="225">
        <f t="shared" ref="E41:F41" si="24">($C$41*$D$41)/$B$41</f>
        <v>2.72</v>
      </c>
      <c r="F41" s="225">
        <f t="shared" si="24"/>
        <v>2.72</v>
      </c>
      <c r="G41" s="230">
        <v>0.0</v>
      </c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</row>
    <row r="42">
      <c r="A42" s="244" t="s">
        <v>133</v>
      </c>
      <c r="B42" s="243">
        <f>VLOOKUP(A42,Lista!$A$3:$E$45,2,FALSE())</f>
        <v>1</v>
      </c>
      <c r="C42" s="230">
        <v>1.0</v>
      </c>
      <c r="D42" s="225">
        <f>VLOOKUP(A42,Lista!$A$3:$E$45,3,FALSE())</f>
        <v>20</v>
      </c>
      <c r="E42" s="225">
        <f t="shared" ref="E42:F42" si="25">($C$42*$D$42)/$B$42</f>
        <v>20</v>
      </c>
      <c r="F42" s="225">
        <f t="shared" si="25"/>
        <v>20</v>
      </c>
      <c r="G42" s="230">
        <v>0.0</v>
      </c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</row>
    <row r="43">
      <c r="A43" s="228"/>
      <c r="B43" s="225"/>
      <c r="C43" s="225"/>
      <c r="D43" s="258" t="s">
        <v>223</v>
      </c>
      <c r="E43" s="225">
        <f t="shared" ref="E43:F43" si="26">SUM(E31:E41)</f>
        <v>154.2321029</v>
      </c>
      <c r="F43" s="225">
        <f t="shared" si="26"/>
        <v>137.8549788</v>
      </c>
      <c r="G43" s="230">
        <f>($E$43-$F$43)/$E$43</f>
        <v>0.1061849243</v>
      </c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>
      <c r="A44" s="228"/>
      <c r="B44" s="225"/>
      <c r="C44" s="225"/>
      <c r="D44" s="258" t="s">
        <v>224</v>
      </c>
      <c r="E44" s="259">
        <f t="shared" ref="E44:F44" si="27">E43+10</f>
        <v>164.2321029</v>
      </c>
      <c r="F44" s="259">
        <f t="shared" si="27"/>
        <v>147.8549788</v>
      </c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>
      <c r="A45" s="228"/>
      <c r="B45" s="225"/>
      <c r="C45" s="225"/>
      <c r="D45" s="260" t="s">
        <v>225</v>
      </c>
      <c r="E45" s="225">
        <f t="shared" ref="E45:F45" si="28">(E44*100/40)+E42</f>
        <v>430.5802574</v>
      </c>
      <c r="F45" s="225">
        <f t="shared" si="28"/>
        <v>389.6374469</v>
      </c>
      <c r="H45" s="228"/>
      <c r="I45" s="228"/>
      <c r="J45" s="228"/>
      <c r="K45" s="244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>
      <c r="A46" s="228"/>
      <c r="B46" s="225"/>
      <c r="C46" s="225"/>
      <c r="D46" s="258" t="s">
        <v>226</v>
      </c>
      <c r="E46" s="225">
        <f>E44/A27</f>
        <v>10.26450643</v>
      </c>
      <c r="F46" s="225">
        <f>F44/A27</f>
        <v>9.240936172</v>
      </c>
      <c r="H46" s="230"/>
      <c r="I46" s="230"/>
      <c r="J46" s="230">
        <f>E43/A27</f>
        <v>9.639506434</v>
      </c>
      <c r="K46" s="244">
        <f>F43/A27</f>
        <v>8.615936172</v>
      </c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>
      <c r="A47" s="228"/>
      <c r="B47" s="225"/>
      <c r="C47" s="225"/>
      <c r="D47" s="261" t="s">
        <v>227</v>
      </c>
      <c r="E47" s="259">
        <f>E46*100/40</f>
        <v>25.66126608</v>
      </c>
      <c r="F47" s="259">
        <f>$F$46*100/40</f>
        <v>23.10234043</v>
      </c>
      <c r="G47" s="230">
        <f>($E$47-$F$47)/$E$47</f>
        <v>0.09971938427</v>
      </c>
      <c r="H47" s="225"/>
      <c r="I47" s="225"/>
      <c r="J47" s="225"/>
      <c r="K47" s="228">
        <f>(J46-K46)/J46</f>
        <v>0.1061849243</v>
      </c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>
      <c r="A48" s="228"/>
      <c r="B48" s="225"/>
      <c r="C48" s="225"/>
      <c r="D48" s="231" t="s">
        <v>232</v>
      </c>
      <c r="E48" s="232">
        <f>ROUNDDOWN($E$47,0)</f>
        <v>25</v>
      </c>
      <c r="F48" s="232">
        <f>ROUNDDOWN(F47,0)</f>
        <v>23</v>
      </c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>
      <c r="A49" s="228"/>
      <c r="B49" s="225"/>
      <c r="C49" s="225"/>
      <c r="D49" s="225"/>
      <c r="E49" s="225"/>
      <c r="F49" s="227"/>
      <c r="G49" s="227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>
      <c r="A50" s="228"/>
      <c r="B50" s="225"/>
      <c r="C50" s="225"/>
      <c r="D50" s="225"/>
      <c r="E50" s="225"/>
      <c r="F50" s="227"/>
      <c r="G50" s="227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>
      <c r="A51" s="229" t="s">
        <v>35</v>
      </c>
      <c r="B51" s="230" t="str">
        <f t="array" ref="B51">XLOOKUP($A51,'Maestro de productos 2024'!$A$3:$A$163,'Maestro de productos 2024'!$B$3:$B$163,0)</f>
        <v>ID-3826</v>
      </c>
      <c r="C51" s="225"/>
      <c r="D51" s="225"/>
      <c r="E51" s="225"/>
      <c r="F51" s="227"/>
      <c r="G51" s="227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>
      <c r="A52" s="265">
        <v>18.0</v>
      </c>
      <c r="B52" s="230" t="s">
        <v>234</v>
      </c>
      <c r="C52" s="225"/>
      <c r="D52" s="225"/>
      <c r="E52" s="225"/>
      <c r="F52" s="227"/>
      <c r="G52" s="227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>
      <c r="A53" s="265" t="s">
        <v>230</v>
      </c>
      <c r="B53" s="230" t="s">
        <v>215</v>
      </c>
      <c r="C53" s="225"/>
      <c r="D53" s="225"/>
      <c r="E53" s="225"/>
      <c r="F53" s="227"/>
      <c r="G53" s="227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>
      <c r="A54" s="265" t="s">
        <v>216</v>
      </c>
      <c r="B54" s="230" t="s">
        <v>235</v>
      </c>
      <c r="C54" s="225"/>
      <c r="D54" s="225"/>
      <c r="E54" s="225"/>
      <c r="F54" s="227"/>
      <c r="G54" s="227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>
      <c r="A55" s="223" t="s">
        <v>218</v>
      </c>
      <c r="B55" s="240" t="s">
        <v>115</v>
      </c>
      <c r="C55" s="240" t="s">
        <v>219</v>
      </c>
      <c r="D55" s="240" t="s">
        <v>116</v>
      </c>
      <c r="E55" s="240" t="s">
        <v>220</v>
      </c>
      <c r="F55" s="241" t="s">
        <v>221</v>
      </c>
      <c r="G55" s="241" t="s">
        <v>222</v>
      </c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</row>
    <row r="56">
      <c r="A56" s="244" t="s">
        <v>149</v>
      </c>
      <c r="B56" s="243">
        <f>VLOOKUP(A56,Lista!$A$3:$E$45,2,FALSE())</f>
        <v>1</v>
      </c>
      <c r="C56" s="230">
        <v>0.2</v>
      </c>
      <c r="D56" s="225">
        <f>VLOOKUP(A56,Lista!$A$3:$E$45,3,FALSE())</f>
        <v>261.1111111</v>
      </c>
      <c r="E56" s="225">
        <f t="shared" ref="E56:F56" si="29">($C$56*$D$56)/$B$56</f>
        <v>52.22222222</v>
      </c>
      <c r="F56" s="225">
        <f t="shared" si="29"/>
        <v>52.22222222</v>
      </c>
      <c r="G56" s="230">
        <f t="shared" ref="G56:G66" si="31">(E56-F56)/E56</f>
        <v>0</v>
      </c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</row>
    <row r="57">
      <c r="A57" s="244" t="s">
        <v>118</v>
      </c>
      <c r="B57" s="243">
        <f>VLOOKUP(A57,Lista!$A$3:$E$45,2,FALSE())</f>
        <v>1</v>
      </c>
      <c r="C57" s="230">
        <v>0.2</v>
      </c>
      <c r="D57" s="225">
        <f>VLOOKUP(A57,Lista!$A$3:$E$45,3,FALSE())</f>
        <v>38</v>
      </c>
      <c r="E57" s="225">
        <f t="shared" ref="E57:F57" si="30">($C$57*$D$57)/$B$57</f>
        <v>7.6</v>
      </c>
      <c r="F57" s="225">
        <f t="shared" si="30"/>
        <v>7.6</v>
      </c>
      <c r="G57" s="230">
        <f t="shared" si="31"/>
        <v>0</v>
      </c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</row>
    <row r="58">
      <c r="A58" s="244" t="s">
        <v>140</v>
      </c>
      <c r="B58" s="243">
        <f>VLOOKUP(A58,Lista!$A$3:$E$45,2,FALSE())</f>
        <v>1</v>
      </c>
      <c r="C58" s="230">
        <v>0.113</v>
      </c>
      <c r="D58" s="225">
        <f>VLOOKUP(A58,Lista!$A$3:$E$45,3,FALSE())</f>
        <v>23</v>
      </c>
      <c r="E58" s="225">
        <f t="shared" ref="E58:F58" si="32">($C$58*$D$58)/$B$58</f>
        <v>2.599</v>
      </c>
      <c r="F58" s="225">
        <f t="shared" si="32"/>
        <v>2.599</v>
      </c>
      <c r="G58" s="230">
        <f t="shared" si="31"/>
        <v>0</v>
      </c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</row>
    <row r="59">
      <c r="A59" s="244" t="s">
        <v>132</v>
      </c>
      <c r="B59" s="243">
        <f>VLOOKUP(A59,Lista!$A$3:$E$45,2,FALSE())</f>
        <v>0.25</v>
      </c>
      <c r="C59" s="230">
        <v>0.038</v>
      </c>
      <c r="D59" s="225">
        <f>VLOOKUP(A59,Lista!$A$3:$E$45,3,FALSE())</f>
        <v>90</v>
      </c>
      <c r="E59" s="225">
        <f t="shared" ref="E59:F59" si="33">($C$59*$D$59)/$B$59</f>
        <v>13.68</v>
      </c>
      <c r="F59" s="225">
        <f t="shared" si="33"/>
        <v>13.68</v>
      </c>
      <c r="G59" s="230">
        <f t="shared" si="31"/>
        <v>0</v>
      </c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</row>
    <row r="60">
      <c r="A60" s="244" t="s">
        <v>159</v>
      </c>
      <c r="B60" s="243">
        <f>VLOOKUP(A60,Lista!$A$3:$E$45,2,FALSE())</f>
        <v>0.25</v>
      </c>
      <c r="C60" s="230">
        <v>0.008</v>
      </c>
      <c r="D60" s="225">
        <f>VLOOKUP(A60,Lista!$A$3:$E$45,3,FALSE())</f>
        <v>24.5</v>
      </c>
      <c r="E60" s="225">
        <f t="shared" ref="E60:F60" si="34">($C$60*$D$60)/$B$60</f>
        <v>0.784</v>
      </c>
      <c r="F60" s="225">
        <f t="shared" si="34"/>
        <v>0.784</v>
      </c>
      <c r="G60" s="230">
        <f t="shared" si="31"/>
        <v>0</v>
      </c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</row>
    <row r="61">
      <c r="A61" s="244" t="s">
        <v>141</v>
      </c>
      <c r="B61" s="243">
        <f>VLOOKUP(A61,Lista!$A$3:$E$45,2,FALSE())</f>
        <v>30</v>
      </c>
      <c r="C61" s="230">
        <v>3.0</v>
      </c>
      <c r="D61" s="225">
        <f>VLOOKUP(A61,Lista!$A$3:$E$45,3,FALSE())</f>
        <v>91</v>
      </c>
      <c r="E61" s="225">
        <f t="shared" ref="E61:F61" si="35">($C$61*$D$61)/$B$61</f>
        <v>9.1</v>
      </c>
      <c r="F61" s="225">
        <f t="shared" si="35"/>
        <v>9.1</v>
      </c>
      <c r="G61" s="230">
        <f t="shared" si="31"/>
        <v>0</v>
      </c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</row>
    <row r="62">
      <c r="A62" s="244" t="s">
        <v>128</v>
      </c>
      <c r="B62" s="243">
        <f>VLOOKUP(A62,Lista!$A$3:$E$45,2,FALSE())</f>
        <v>0.5</v>
      </c>
      <c r="C62" s="230">
        <v>0.075</v>
      </c>
      <c r="D62" s="225">
        <f>VLOOKUP(A62,Lista!$A$3:$E$45,3,FALSE())</f>
        <v>79</v>
      </c>
      <c r="E62" s="225">
        <f t="shared" ref="E62:F62" si="36">($C$62*$D$62)/$B$62</f>
        <v>11.85</v>
      </c>
      <c r="F62" s="225">
        <f t="shared" si="36"/>
        <v>11.85</v>
      </c>
      <c r="G62" s="230">
        <f t="shared" si="31"/>
        <v>0</v>
      </c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</row>
    <row r="63">
      <c r="A63" s="244" t="s">
        <v>130</v>
      </c>
      <c r="B63" s="243">
        <f>VLOOKUP(A63,Lista!$A$3:$E$45,2,FALSE())</f>
        <v>0.5</v>
      </c>
      <c r="C63" s="230">
        <v>0.075</v>
      </c>
      <c r="D63" s="225">
        <f>VLOOKUP(A63,Lista!$A$3:$E$45,3,FALSE())</f>
        <v>122</v>
      </c>
      <c r="E63" s="225">
        <f t="shared" ref="E63:F63" si="37">($C$63*$D$63)/$B$63</f>
        <v>18.3</v>
      </c>
      <c r="F63" s="225">
        <f t="shared" si="37"/>
        <v>18.3</v>
      </c>
      <c r="G63" s="230">
        <f t="shared" si="31"/>
        <v>0</v>
      </c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</row>
    <row r="64">
      <c r="A64" s="244" t="s">
        <v>151</v>
      </c>
      <c r="B64" s="243">
        <f>VLOOKUP(A64,Lista!$A$3:$E$45,2,FALSE())</f>
        <v>1</v>
      </c>
      <c r="C64" s="230">
        <v>0.056</v>
      </c>
      <c r="D64" s="225">
        <f>VLOOKUP(A64,Lista!$A$3:$E$45,3,FALSE())</f>
        <v>274</v>
      </c>
      <c r="E64" s="225">
        <f t="shared" ref="E64:F64" si="38">($C$64*$D$64)/$B$64</f>
        <v>15.344</v>
      </c>
      <c r="F64" s="225">
        <f t="shared" si="38"/>
        <v>15.344</v>
      </c>
      <c r="G64" s="230">
        <f t="shared" si="31"/>
        <v>0</v>
      </c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</row>
    <row r="65">
      <c r="A65" s="244" t="s">
        <v>119</v>
      </c>
      <c r="B65" s="243">
        <f>VLOOKUP(A65,Lista!$A$3:$E$45,2,FALSE())</f>
        <v>0.5</v>
      </c>
      <c r="C65" s="230">
        <v>0.015</v>
      </c>
      <c r="D65" s="225">
        <f>VLOOKUP(A65,Lista!$A$3:$E$45,3,FALSE())</f>
        <v>25.9</v>
      </c>
      <c r="E65" s="225">
        <f t="shared" ref="E65:F65" si="39">($C$65*$D$65)/$B$65</f>
        <v>0.777</v>
      </c>
      <c r="F65" s="225">
        <f t="shared" si="39"/>
        <v>0.777</v>
      </c>
      <c r="G65" s="230">
        <f t="shared" si="31"/>
        <v>0</v>
      </c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</row>
    <row r="66">
      <c r="A66" s="244" t="s">
        <v>124</v>
      </c>
      <c r="B66" s="243">
        <f>VLOOKUP(A66,Lista!$A$3:$E$45,2,FALSE())</f>
        <v>500</v>
      </c>
      <c r="C66" s="230">
        <v>18.0</v>
      </c>
      <c r="D66" s="225">
        <f>VLOOKUP(A66,Lista!$A$3:$E$45,3,FALSE())</f>
        <v>85</v>
      </c>
      <c r="E66" s="225">
        <f t="shared" ref="E66:F66" si="40">($C$66*$D$66)/$B$66</f>
        <v>3.06</v>
      </c>
      <c r="F66" s="225">
        <f t="shared" si="40"/>
        <v>3.06</v>
      </c>
      <c r="G66" s="230">
        <f t="shared" si="31"/>
        <v>0</v>
      </c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</row>
    <row r="67">
      <c r="A67" s="228"/>
      <c r="B67" s="225"/>
      <c r="C67" s="225"/>
      <c r="D67" s="258" t="s">
        <v>223</v>
      </c>
      <c r="E67" s="225">
        <f t="shared" ref="E67:F67" si="41">SUM(E56:E66)</f>
        <v>135.3162222</v>
      </c>
      <c r="F67" s="225">
        <f t="shared" si="41"/>
        <v>135.3162222</v>
      </c>
      <c r="G67" s="230">
        <f>($E$67-$F$67)/$E$67</f>
        <v>0</v>
      </c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>
      <c r="A68" s="228"/>
      <c r="B68" s="225"/>
      <c r="C68" s="225"/>
      <c r="D68" s="258" t="s">
        <v>224</v>
      </c>
      <c r="E68" s="259">
        <f t="shared" ref="E68:F68" si="42">E67+10</f>
        <v>145.3162222</v>
      </c>
      <c r="F68" s="259">
        <f t="shared" si="42"/>
        <v>145.3162222</v>
      </c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>
      <c r="A69" s="228"/>
      <c r="B69" s="225"/>
      <c r="C69" s="225"/>
      <c r="D69" s="260" t="s">
        <v>225</v>
      </c>
      <c r="E69" s="225">
        <f t="shared" ref="E69:F69" si="43">E68*100/40</f>
        <v>363.2905556</v>
      </c>
      <c r="F69" s="225">
        <f t="shared" si="43"/>
        <v>363.2905556</v>
      </c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>
      <c r="A70" s="228"/>
      <c r="B70" s="225"/>
      <c r="C70" s="225"/>
      <c r="D70" s="258" t="s">
        <v>226</v>
      </c>
      <c r="E70" s="225">
        <f>E68/A52</f>
        <v>8.073123457</v>
      </c>
      <c r="F70" s="225">
        <f>F68/A52</f>
        <v>8.073123457</v>
      </c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>
      <c r="A71" s="228"/>
      <c r="B71" s="225"/>
      <c r="C71" s="225"/>
      <c r="D71" s="261" t="s">
        <v>227</v>
      </c>
      <c r="E71" s="259">
        <f>E70*100/40</f>
        <v>20.18280864</v>
      </c>
      <c r="F71" s="259">
        <f>$F$70*100/40</f>
        <v>20.18280864</v>
      </c>
      <c r="G71" s="230">
        <f>($E$71-$F$71)/$E$71</f>
        <v>0</v>
      </c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>
      <c r="A72" s="228"/>
      <c r="B72" s="225"/>
      <c r="C72" s="225"/>
      <c r="D72" s="231" t="s">
        <v>232</v>
      </c>
      <c r="E72" s="232">
        <f>ROUNDDOWN($E$71,0)</f>
        <v>20</v>
      </c>
      <c r="F72" s="232">
        <f>ROUNDDOWN(F71,0)</f>
        <v>20</v>
      </c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>
      <c r="A73" s="228"/>
      <c r="B73" s="225"/>
      <c r="C73" s="225"/>
      <c r="D73" s="225"/>
      <c r="E73" s="225"/>
      <c r="F73" s="227"/>
      <c r="G73" s="227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>
      <c r="A74" s="228"/>
      <c r="B74" s="225"/>
      <c r="C74" s="225"/>
      <c r="D74" s="225"/>
      <c r="E74" s="225"/>
      <c r="F74" s="227"/>
      <c r="G74" s="227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>
      <c r="A75" s="229" t="s">
        <v>36</v>
      </c>
      <c r="B75" s="230" t="str">
        <f t="array" ref="B75">XLOOKUP($A75,'Maestro de productos 2024'!$A$3:$A$163,'Maestro de productos 2024'!$B$3:$B$163,0)</f>
        <v>ID-3827</v>
      </c>
      <c r="C75" s="225"/>
      <c r="D75" s="225"/>
      <c r="E75" s="225"/>
      <c r="F75" s="227"/>
      <c r="G75" s="227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>
      <c r="A76" s="265">
        <v>35.0</v>
      </c>
      <c r="B76" s="230" t="s">
        <v>236</v>
      </c>
      <c r="C76" s="225"/>
      <c r="D76" s="225"/>
      <c r="E76" s="225"/>
      <c r="F76" s="227"/>
      <c r="G76" s="227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>
      <c r="A77" s="265" t="s">
        <v>230</v>
      </c>
      <c r="B77" s="230" t="s">
        <v>215</v>
      </c>
      <c r="C77" s="225"/>
      <c r="D77" s="225"/>
      <c r="E77" s="225"/>
      <c r="F77" s="227"/>
      <c r="G77" s="227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>
      <c r="A78" s="265" t="s">
        <v>216</v>
      </c>
      <c r="B78" s="230" t="s">
        <v>237</v>
      </c>
      <c r="C78" s="225"/>
      <c r="D78" s="225"/>
      <c r="E78" s="225"/>
      <c r="F78" s="227"/>
      <c r="G78" s="227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>
      <c r="A79" s="223" t="s">
        <v>218</v>
      </c>
      <c r="B79" s="240" t="s">
        <v>115</v>
      </c>
      <c r="C79" s="240" t="s">
        <v>219</v>
      </c>
      <c r="D79" s="240" t="s">
        <v>116</v>
      </c>
      <c r="E79" s="240" t="s">
        <v>220</v>
      </c>
      <c r="F79" s="241" t="s">
        <v>221</v>
      </c>
      <c r="G79" s="241" t="s">
        <v>222</v>
      </c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</row>
    <row r="80">
      <c r="A80" s="244" t="s">
        <v>140</v>
      </c>
      <c r="B80" s="243">
        <f>VLOOKUP(A80,Lista!$A$3:$E$45,2,FALSE())</f>
        <v>1</v>
      </c>
      <c r="C80" s="230">
        <v>0.27</v>
      </c>
      <c r="D80" s="225">
        <f>VLOOKUP(A80,Lista!$A$3:$E$45,3,FALSE())</f>
        <v>23</v>
      </c>
      <c r="E80" s="225">
        <f t="shared" ref="E80:F80" si="44">($C$80*$D$80)/$B$80</f>
        <v>6.21</v>
      </c>
      <c r="F80" s="225">
        <f t="shared" si="44"/>
        <v>6.21</v>
      </c>
      <c r="G80" s="230">
        <f t="shared" ref="G80:G87" si="46">(E80-F80)/E80</f>
        <v>0</v>
      </c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</row>
    <row r="81">
      <c r="A81" s="244" t="s">
        <v>137</v>
      </c>
      <c r="B81" s="243">
        <f>VLOOKUP(A81,Lista!$A$3:$E$45,2,FALSE())</f>
        <v>1</v>
      </c>
      <c r="C81" s="230">
        <v>0.07</v>
      </c>
      <c r="D81" s="225">
        <f>VLOOKUP(A81,Lista!$A$3:$E$45,3,FALSE())</f>
        <v>153.125</v>
      </c>
      <c r="E81" s="225">
        <f t="shared" ref="E81:F81" si="45">($C$81*$D$81)/$B$81</f>
        <v>10.71875</v>
      </c>
      <c r="F81" s="225">
        <f t="shared" si="45"/>
        <v>10.71875</v>
      </c>
      <c r="G81" s="230">
        <f t="shared" si="46"/>
        <v>0</v>
      </c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</row>
    <row r="82">
      <c r="A82" s="244" t="s">
        <v>119</v>
      </c>
      <c r="B82" s="243">
        <f>VLOOKUP(A82,Lista!$A$3:$E$45,2,FALSE())</f>
        <v>0.5</v>
      </c>
      <c r="C82" s="230">
        <v>0.13</v>
      </c>
      <c r="D82" s="225">
        <f>VLOOKUP(A82,Lista!$A$3:$E$45,3,FALSE())</f>
        <v>25.9</v>
      </c>
      <c r="E82" s="225">
        <f t="shared" ref="E82:F82" si="47">($C$82*$D$82)/$B$82</f>
        <v>6.734</v>
      </c>
      <c r="F82" s="225">
        <f t="shared" si="47"/>
        <v>6.734</v>
      </c>
      <c r="G82" s="230">
        <f t="shared" si="46"/>
        <v>0</v>
      </c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</row>
    <row r="83">
      <c r="A83" s="244" t="s">
        <v>144</v>
      </c>
      <c r="B83" s="243">
        <f>VLOOKUP(A83,Lista!$A$3:$E$45,2,FALSE())</f>
        <v>1</v>
      </c>
      <c r="C83" s="230">
        <v>0.03</v>
      </c>
      <c r="D83" s="225">
        <f>VLOOKUP(A83,Lista!$A$3:$E$45,3,FALSE())</f>
        <v>181.5217391</v>
      </c>
      <c r="E83" s="225">
        <f t="shared" ref="E83:F83" si="48">($C$83*$D$83)/$B$83</f>
        <v>5.445652174</v>
      </c>
      <c r="F83" s="225">
        <f t="shared" si="48"/>
        <v>5.445652174</v>
      </c>
      <c r="G83" s="230">
        <f t="shared" si="46"/>
        <v>0</v>
      </c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</row>
    <row r="84">
      <c r="A84" s="244" t="s">
        <v>157</v>
      </c>
      <c r="B84" s="243">
        <f>VLOOKUP(A84,Lista!$A$3:$E$45,2,FALSE())</f>
        <v>0.65</v>
      </c>
      <c r="C84" s="230">
        <v>0.001</v>
      </c>
      <c r="D84" s="225">
        <f>VLOOKUP(A84,Lista!$A$3:$E$45,3,FALSE())</f>
        <v>14.8</v>
      </c>
      <c r="E84" s="225">
        <f t="shared" ref="E84:F84" si="49">($C$84*$D$84)/$B$84</f>
        <v>0.02276923077</v>
      </c>
      <c r="F84" s="225">
        <f t="shared" si="49"/>
        <v>0.02276923077</v>
      </c>
      <c r="G84" s="230">
        <f t="shared" si="46"/>
        <v>0</v>
      </c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</row>
    <row r="85">
      <c r="A85" s="244" t="s">
        <v>149</v>
      </c>
      <c r="B85" s="243">
        <f>VLOOKUP(A85,Lista!$A$3:$E$45,2,FALSE())</f>
        <v>1</v>
      </c>
      <c r="C85" s="230">
        <v>0.25</v>
      </c>
      <c r="D85" s="225">
        <f>VLOOKUP(A85,Lista!$A$3:$E$45,3,FALSE())</f>
        <v>261.1111111</v>
      </c>
      <c r="E85" s="225">
        <f t="shared" ref="E85:F85" si="50">($C$85*$D$85)/$B$85</f>
        <v>65.27777778</v>
      </c>
      <c r="F85" s="225">
        <f t="shared" si="50"/>
        <v>65.27777778</v>
      </c>
      <c r="G85" s="230">
        <f t="shared" si="46"/>
        <v>0</v>
      </c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</row>
    <row r="86">
      <c r="A86" s="244" t="s">
        <v>141</v>
      </c>
      <c r="B86" s="243">
        <f>VLOOKUP(A86,Lista!$A$3:$E$45,2,FALSE())</f>
        <v>30</v>
      </c>
      <c r="C86" s="230">
        <v>1.0</v>
      </c>
      <c r="D86" s="225">
        <f>VLOOKUP(A86,Lista!$A$3:$E$45,3,FALSE())</f>
        <v>91</v>
      </c>
      <c r="E86" s="225">
        <f t="shared" ref="E86:F86" si="51">($C$86*$D$86)/$B$86</f>
        <v>3.033333333</v>
      </c>
      <c r="F86" s="225">
        <f t="shared" si="51"/>
        <v>3.033333333</v>
      </c>
      <c r="G86" s="230">
        <f t="shared" si="46"/>
        <v>0</v>
      </c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</row>
    <row r="87">
      <c r="A87" s="244" t="s">
        <v>159</v>
      </c>
      <c r="B87" s="243">
        <f>VLOOKUP(A87,Lista!$A$3:$E$45,2,FALSE())</f>
        <v>0.25</v>
      </c>
      <c r="C87" s="230">
        <v>0.015</v>
      </c>
      <c r="D87" s="225">
        <f>VLOOKUP(A87,Lista!$A$3:$E$45,3,FALSE())</f>
        <v>24.5</v>
      </c>
      <c r="E87" s="225">
        <f t="shared" ref="E87:F87" si="52">($C$87*$D$87)/$B$87</f>
        <v>1.47</v>
      </c>
      <c r="F87" s="225">
        <f t="shared" si="52"/>
        <v>1.47</v>
      </c>
      <c r="G87" s="230">
        <f t="shared" si="46"/>
        <v>0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</row>
    <row r="88">
      <c r="A88" s="228"/>
      <c r="B88" s="225"/>
      <c r="C88" s="225"/>
      <c r="D88" s="258" t="s">
        <v>223</v>
      </c>
      <c r="E88" s="225">
        <f t="shared" ref="E88:F88" si="53">SUM(E80:E87)</f>
        <v>98.91228252</v>
      </c>
      <c r="F88" s="225">
        <f t="shared" si="53"/>
        <v>98.91228252</v>
      </c>
      <c r="G88" s="230">
        <f>($E$88-$F$88)/$E$88</f>
        <v>0</v>
      </c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>
      <c r="A89" s="228"/>
      <c r="B89" s="225"/>
      <c r="C89" s="225"/>
      <c r="D89" s="258" t="s">
        <v>224</v>
      </c>
      <c r="E89" s="259">
        <f t="shared" ref="E89:F89" si="54">E88+10</f>
        <v>108.9122825</v>
      </c>
      <c r="F89" s="259">
        <f t="shared" si="54"/>
        <v>108.9122825</v>
      </c>
      <c r="G89" s="230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>
      <c r="A90" s="228"/>
      <c r="B90" s="225"/>
      <c r="C90" s="225"/>
      <c r="D90" s="260" t="s">
        <v>225</v>
      </c>
      <c r="E90" s="225">
        <f t="shared" ref="E90:F90" si="55">E89*100/40</f>
        <v>272.2807063</v>
      </c>
      <c r="F90" s="225">
        <f t="shared" si="55"/>
        <v>272.2807063</v>
      </c>
      <c r="G90" s="230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>
      <c r="A91" s="228"/>
      <c r="B91" s="225"/>
      <c r="C91" s="225"/>
      <c r="D91" s="258" t="s">
        <v>226</v>
      </c>
      <c r="E91" s="225">
        <f>E89/A76</f>
        <v>3.1117795</v>
      </c>
      <c r="F91" s="225">
        <f>F89/A76</f>
        <v>3.1117795</v>
      </c>
      <c r="G91" s="230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>
      <c r="A92" s="228"/>
      <c r="B92" s="225"/>
      <c r="C92" s="225"/>
      <c r="D92" s="261" t="s">
        <v>227</v>
      </c>
      <c r="E92" s="259">
        <f>E91*100/40</f>
        <v>7.779448751</v>
      </c>
      <c r="F92" s="259">
        <f>$F$91*100/40</f>
        <v>7.779448751</v>
      </c>
      <c r="G92" s="230">
        <f>($E$92-$F$92)/$E$92</f>
        <v>0</v>
      </c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>
      <c r="A93" s="228"/>
      <c r="B93" s="225"/>
      <c r="C93" s="225"/>
      <c r="D93" s="231" t="s">
        <v>232</v>
      </c>
      <c r="E93" s="232">
        <f>ROUNDDOWN($E$92,0)</f>
        <v>7</v>
      </c>
      <c r="F93" s="232">
        <f>ROUNDDOWN(F92,0)</f>
        <v>7</v>
      </c>
      <c r="G93" s="230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>
      <c r="A94" s="228"/>
      <c r="B94" s="225"/>
      <c r="C94" s="225"/>
      <c r="D94" s="225"/>
      <c r="E94" s="225"/>
      <c r="F94" s="227"/>
      <c r="G94" s="230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>
      <c r="A95" s="228"/>
      <c r="B95" s="225"/>
      <c r="C95" s="225"/>
      <c r="D95" s="225"/>
      <c r="E95" s="225"/>
      <c r="F95" s="227"/>
      <c r="G95" s="230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>
      <c r="A96" s="229" t="s">
        <v>38</v>
      </c>
      <c r="B96" s="230" t="str">
        <f t="array" ref="B96">XLOOKUP($A96,'Maestro de productos 2024'!$A$3:$A$163,'Maestro de productos 2024'!$B$3:$B$163,0)</f>
        <v>ID-3828</v>
      </c>
      <c r="C96" s="225"/>
      <c r="D96" s="225"/>
      <c r="E96" s="225"/>
      <c r="F96" s="227"/>
      <c r="G96" s="230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>
      <c r="A97" s="265">
        <v>12.0</v>
      </c>
      <c r="B97" s="230" t="s">
        <v>236</v>
      </c>
      <c r="C97" s="225"/>
      <c r="D97" s="225"/>
      <c r="E97" s="225"/>
      <c r="F97" s="227"/>
      <c r="G97" s="230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>
      <c r="A98" s="265" t="s">
        <v>230</v>
      </c>
      <c r="B98" s="230" t="s">
        <v>238</v>
      </c>
      <c r="C98" s="225"/>
      <c r="D98" s="225"/>
      <c r="E98" s="225"/>
      <c r="F98" s="227"/>
      <c r="G98" s="230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>
      <c r="A99" s="265" t="s">
        <v>216</v>
      </c>
      <c r="B99" s="230" t="s">
        <v>237</v>
      </c>
      <c r="C99" s="225"/>
      <c r="D99" s="225"/>
      <c r="E99" s="225"/>
      <c r="F99" s="227"/>
      <c r="G99" s="230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>
      <c r="A100" s="223" t="s">
        <v>218</v>
      </c>
      <c r="B100" s="240" t="s">
        <v>115</v>
      </c>
      <c r="C100" s="240" t="s">
        <v>219</v>
      </c>
      <c r="D100" s="240" t="s">
        <v>116</v>
      </c>
      <c r="E100" s="240" t="s">
        <v>220</v>
      </c>
      <c r="F100" s="241" t="s">
        <v>221</v>
      </c>
      <c r="G100" s="240" t="s">
        <v>222</v>
      </c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</row>
    <row r="101">
      <c r="A101" s="244" t="s">
        <v>140</v>
      </c>
      <c r="B101" s="243">
        <f>VLOOKUP(A101,Lista!$A$3:$E$45,2,FALSE())</f>
        <v>1</v>
      </c>
      <c r="C101" s="230">
        <v>0.24</v>
      </c>
      <c r="D101" s="225">
        <f>VLOOKUP(A101,Lista!$A$3:$E$45,3,FALSE())</f>
        <v>23</v>
      </c>
      <c r="E101" s="225">
        <f t="shared" ref="E101:F101" si="56">($C$101*$D$101)/$B$101</f>
        <v>5.52</v>
      </c>
      <c r="F101" s="225">
        <f t="shared" si="56"/>
        <v>5.52</v>
      </c>
      <c r="G101" s="230">
        <f t="shared" ref="G101:G110" si="58">(E101-F101)/E101</f>
        <v>0</v>
      </c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</row>
    <row r="102">
      <c r="A102" s="244" t="s">
        <v>154</v>
      </c>
      <c r="B102" s="243">
        <f>VLOOKUP(A102,Lista!$A$3:$E$45,2,FALSE())</f>
        <v>1</v>
      </c>
      <c r="C102" s="230">
        <v>0.015</v>
      </c>
      <c r="D102" s="225">
        <f>VLOOKUP(A102,Lista!$A$3:$E$45,3,FALSE())</f>
        <v>24</v>
      </c>
      <c r="E102" s="225">
        <f t="shared" ref="E102:F102" si="57">($C$102*$D$102)/$B$102</f>
        <v>0.36</v>
      </c>
      <c r="F102" s="225">
        <f t="shared" si="57"/>
        <v>0.36</v>
      </c>
      <c r="G102" s="230">
        <f t="shared" si="58"/>
        <v>0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</row>
    <row r="103">
      <c r="A103" s="244" t="s">
        <v>141</v>
      </c>
      <c r="B103" s="243">
        <f>VLOOKUP(A103,Lista!$A$3:$E$45,2,FALSE())</f>
        <v>30</v>
      </c>
      <c r="C103" s="230">
        <v>3.0</v>
      </c>
      <c r="D103" s="225">
        <f>VLOOKUP(A103,Lista!$A$3:$E$45,3,FALSE())</f>
        <v>91</v>
      </c>
      <c r="E103" s="225">
        <f t="shared" ref="E103:F103" si="59">($C$103*$D$103)/$B$103</f>
        <v>9.1</v>
      </c>
      <c r="F103" s="225">
        <f t="shared" si="59"/>
        <v>9.1</v>
      </c>
      <c r="G103" s="230">
        <f t="shared" si="58"/>
        <v>0</v>
      </c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</row>
    <row r="104">
      <c r="A104" s="244" t="s">
        <v>118</v>
      </c>
      <c r="B104" s="243">
        <f>VLOOKUP(A104,Lista!$A$3:$E$45,2,FALSE())</f>
        <v>1</v>
      </c>
      <c r="C104" s="230">
        <v>0.15</v>
      </c>
      <c r="D104" s="225">
        <f>VLOOKUP(A104,Lista!$A$3:$E$45,3,FALSE())</f>
        <v>38</v>
      </c>
      <c r="E104" s="225">
        <f t="shared" ref="E104:F104" si="60">($C$104*$D$104)/$B$104</f>
        <v>5.7</v>
      </c>
      <c r="F104" s="225">
        <f t="shared" si="60"/>
        <v>5.7</v>
      </c>
      <c r="G104" s="230">
        <f t="shared" si="58"/>
        <v>0</v>
      </c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</row>
    <row r="105">
      <c r="A105" s="244" t="s">
        <v>157</v>
      </c>
      <c r="B105" s="243">
        <f>VLOOKUP(A105,Lista!$A$3:$E$45,2,FALSE())</f>
        <v>0.65</v>
      </c>
      <c r="C105" s="230">
        <v>0.001</v>
      </c>
      <c r="D105" s="225">
        <f>VLOOKUP(A105,Lista!$A$3:$E$45,3,FALSE())</f>
        <v>14.8</v>
      </c>
      <c r="E105" s="225">
        <f t="shared" ref="E105:F105" si="61">($C$105*$D$105)/$B$105</f>
        <v>0.02276923077</v>
      </c>
      <c r="F105" s="225">
        <f t="shared" si="61"/>
        <v>0.02276923077</v>
      </c>
      <c r="G105" s="230">
        <f t="shared" si="58"/>
        <v>0</v>
      </c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</row>
    <row r="106">
      <c r="A106" s="244" t="s">
        <v>159</v>
      </c>
      <c r="B106" s="243">
        <f>VLOOKUP(A106,Lista!$A$3:$E$45,2,FALSE())</f>
        <v>0.25</v>
      </c>
      <c r="C106" s="230">
        <v>0.005</v>
      </c>
      <c r="D106" s="225">
        <f>VLOOKUP(A106,Lista!$A$3:$E$45,3,FALSE())</f>
        <v>24.5</v>
      </c>
      <c r="E106" s="225">
        <f t="shared" ref="E106:F106" si="62">($C$106*$D$106)/$B$106</f>
        <v>0.49</v>
      </c>
      <c r="F106" s="225">
        <f t="shared" si="62"/>
        <v>0.49</v>
      </c>
      <c r="G106" s="230">
        <f t="shared" si="58"/>
        <v>0</v>
      </c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</row>
    <row r="107">
      <c r="A107" s="244" t="s">
        <v>160</v>
      </c>
      <c r="B107" s="243">
        <f>VLOOKUP(A107,Lista!$A$3:$E$45,2,FALSE())</f>
        <v>1</v>
      </c>
      <c r="C107" s="230">
        <f>(0.13+0.005)</f>
        <v>0.135</v>
      </c>
      <c r="D107" s="225">
        <f>VLOOKUP(A107,Lista!$A$3:$E$45,3,FALSE())</f>
        <v>57.22222222</v>
      </c>
      <c r="E107" s="225">
        <f>($C$107*$D$107)/$B$107</f>
        <v>7.725</v>
      </c>
      <c r="F107" s="225">
        <f>(0.13*$D$107)/$B$107</f>
        <v>7.438888889</v>
      </c>
      <c r="G107" s="230">
        <f t="shared" si="58"/>
        <v>0.03703703704</v>
      </c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</row>
    <row r="108">
      <c r="A108" s="244" t="s">
        <v>149</v>
      </c>
      <c r="B108" s="243">
        <f>VLOOKUP(A108,Lista!$A$3:$E$45,2,FALSE())</f>
        <v>1</v>
      </c>
      <c r="C108" s="230">
        <v>0.13</v>
      </c>
      <c r="D108" s="225">
        <f>VLOOKUP(A108,Lista!$A$3:$E$45,3,FALSE())</f>
        <v>261.1111111</v>
      </c>
      <c r="E108" s="225">
        <f t="shared" ref="E108:F108" si="63">($C$108*$D$108)/$B$108</f>
        <v>33.94444444</v>
      </c>
      <c r="F108" s="225">
        <f t="shared" si="63"/>
        <v>33.94444444</v>
      </c>
      <c r="G108" s="230">
        <f t="shared" si="58"/>
        <v>0</v>
      </c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</row>
    <row r="109">
      <c r="A109" s="244" t="s">
        <v>128</v>
      </c>
      <c r="B109" s="243">
        <f>VLOOKUP(A109,Lista!$A$3:$E$45,2,FALSE())</f>
        <v>0.5</v>
      </c>
      <c r="C109" s="230">
        <v>0.15</v>
      </c>
      <c r="D109" s="225">
        <f>VLOOKUP(A109,Lista!$A$3:$E$45,3,FALSE())</f>
        <v>79</v>
      </c>
      <c r="E109" s="225">
        <f t="shared" ref="E109:F109" si="64">($C$109*$D$109)/$B$109</f>
        <v>23.7</v>
      </c>
      <c r="F109" s="225">
        <f t="shared" si="64"/>
        <v>23.7</v>
      </c>
      <c r="G109" s="230">
        <f t="shared" si="58"/>
        <v>0</v>
      </c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</row>
    <row r="110">
      <c r="A110" s="244" t="s">
        <v>126</v>
      </c>
      <c r="B110" s="243">
        <f>VLOOKUP(A110,Lista!$A$3:$E$45,2,FALSE())</f>
        <v>400</v>
      </c>
      <c r="C110" s="230">
        <v>12.0</v>
      </c>
      <c r="D110" s="225">
        <f>VLOOKUP(A110,Lista!$A$3:$E$45,3,FALSE())</f>
        <v>125</v>
      </c>
      <c r="E110" s="225">
        <f t="shared" ref="E110:F110" si="65">($C$110*$D$110)/$B$110</f>
        <v>3.75</v>
      </c>
      <c r="F110" s="225">
        <f t="shared" si="65"/>
        <v>3.75</v>
      </c>
      <c r="G110" s="230">
        <f t="shared" si="58"/>
        <v>0</v>
      </c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</row>
    <row r="111">
      <c r="A111" s="228"/>
      <c r="B111" s="225"/>
      <c r="C111" s="225"/>
      <c r="D111" s="258" t="s">
        <v>223</v>
      </c>
      <c r="E111" s="225">
        <f t="shared" ref="E111:F111" si="66">SUM(E101:E110)</f>
        <v>90.31221368</v>
      </c>
      <c r="F111" s="225">
        <f t="shared" si="66"/>
        <v>90.02610256</v>
      </c>
      <c r="G111" s="230">
        <f>($E$111-$F$111)/$E$111</f>
        <v>0.003168022347</v>
      </c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>
      <c r="A112" s="228"/>
      <c r="B112" s="225"/>
      <c r="C112" s="225"/>
      <c r="D112" s="258" t="s">
        <v>224</v>
      </c>
      <c r="E112" s="259">
        <f t="shared" ref="E112:F112" si="67">E111+10</f>
        <v>100.3122137</v>
      </c>
      <c r="F112" s="259">
        <f t="shared" si="67"/>
        <v>100.0261026</v>
      </c>
      <c r="G112" s="230"/>
      <c r="H112" s="228"/>
      <c r="I112" s="228"/>
      <c r="J112" s="228">
        <f>E111/A97</f>
        <v>7.526017806</v>
      </c>
      <c r="K112" s="228">
        <f>F111/A97</f>
        <v>7.502175214</v>
      </c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>
      <c r="A113" s="228"/>
      <c r="B113" s="225"/>
      <c r="C113" s="225"/>
      <c r="D113" s="260" t="s">
        <v>225</v>
      </c>
      <c r="E113" s="225">
        <f t="shared" ref="E113:F113" si="68">E112*100/40</f>
        <v>250.7805342</v>
      </c>
      <c r="F113" s="225">
        <f t="shared" si="68"/>
        <v>250.0652564</v>
      </c>
      <c r="G113" s="230"/>
      <c r="H113" s="228"/>
      <c r="I113" s="228"/>
      <c r="J113" s="228">
        <f>(J112-K112)/J112</f>
        <v>0.003168022347</v>
      </c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>
      <c r="A114" s="228"/>
      <c r="B114" s="225"/>
      <c r="C114" s="225"/>
      <c r="D114" s="258" t="s">
        <v>226</v>
      </c>
      <c r="E114" s="225">
        <f>E112/A97</f>
        <v>8.35935114</v>
      </c>
      <c r="F114" s="225">
        <f>F112/A97</f>
        <v>8.335508547</v>
      </c>
      <c r="G114" s="230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>
      <c r="A115" s="228"/>
      <c r="B115" s="225"/>
      <c r="C115" s="225"/>
      <c r="D115" s="261" t="s">
        <v>227</v>
      </c>
      <c r="E115" s="259">
        <f>E114*100/40</f>
        <v>20.89837785</v>
      </c>
      <c r="F115" s="259">
        <f>$F$114*100/40</f>
        <v>20.83877137</v>
      </c>
      <c r="G115" s="230">
        <f>($E$115-$F$115)/$E$114</f>
        <v>0.007130515334</v>
      </c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>
      <c r="A116" s="228"/>
      <c r="B116" s="225"/>
      <c r="C116" s="225"/>
      <c r="D116" s="231" t="s">
        <v>232</v>
      </c>
      <c r="E116" s="232">
        <f>ROUNDUP($E$115,0)</f>
        <v>21</v>
      </c>
      <c r="F116" s="232">
        <f>ROUNDUP(F115,0)</f>
        <v>21</v>
      </c>
      <c r="G116" s="230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>
      <c r="A117" s="228"/>
      <c r="B117" s="225"/>
      <c r="C117" s="225"/>
      <c r="D117" s="225"/>
      <c r="E117" s="225"/>
      <c r="F117" s="227"/>
      <c r="G117" s="230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>
      <c r="A118" s="228"/>
      <c r="B118" s="225"/>
      <c r="C118" s="225"/>
      <c r="D118" s="225"/>
      <c r="E118" s="225"/>
      <c r="F118" s="227"/>
      <c r="G118" s="230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>
      <c r="A119" s="229" t="s">
        <v>97</v>
      </c>
      <c r="B119" s="230" t="str">
        <f t="array" ref="B119">XLOOKUP($A119,'Maestro de productos 2024'!$A$3:$A$163,'Maestro de productos 2024'!$B$3:$B$163,0)</f>
        <v>ID-3829</v>
      </c>
      <c r="C119" s="225"/>
      <c r="D119" s="225"/>
      <c r="E119" s="225"/>
      <c r="F119" s="227"/>
      <c r="G119" s="230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>
      <c r="A120" s="265">
        <v>50.0</v>
      </c>
      <c r="B120" s="230" t="s">
        <v>236</v>
      </c>
      <c r="C120" s="225"/>
      <c r="D120" s="225"/>
      <c r="E120" s="225"/>
      <c r="F120" s="227"/>
      <c r="G120" s="230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>
      <c r="A121" s="265" t="s">
        <v>230</v>
      </c>
      <c r="B121" s="230" t="s">
        <v>239</v>
      </c>
      <c r="C121" s="225"/>
      <c r="D121" s="225"/>
      <c r="E121" s="225"/>
      <c r="F121" s="227"/>
      <c r="G121" s="230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>
      <c r="A122" s="265" t="s">
        <v>216</v>
      </c>
      <c r="B122" s="230" t="s">
        <v>237</v>
      </c>
      <c r="C122" s="225"/>
      <c r="D122" s="225"/>
      <c r="E122" s="225"/>
      <c r="F122" s="227"/>
      <c r="G122" s="230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>
      <c r="A123" s="223" t="s">
        <v>218</v>
      </c>
      <c r="B123" s="240" t="s">
        <v>115</v>
      </c>
      <c r="C123" s="240" t="s">
        <v>219</v>
      </c>
      <c r="D123" s="240" t="s">
        <v>116</v>
      </c>
      <c r="E123" s="240" t="s">
        <v>220</v>
      </c>
      <c r="F123" s="241" t="s">
        <v>221</v>
      </c>
      <c r="G123" s="240" t="s">
        <v>222</v>
      </c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</row>
    <row r="124">
      <c r="A124" s="244" t="s">
        <v>151</v>
      </c>
      <c r="B124" s="243">
        <f>VLOOKUP(A124,Lista!$A$3:$E$45,2,FALSE())</f>
        <v>1</v>
      </c>
      <c r="C124" s="230">
        <v>0.25</v>
      </c>
      <c r="D124" s="225">
        <f>VLOOKUP(A124,Lista!$A$3:$E$45,3,FALSE())</f>
        <v>274</v>
      </c>
      <c r="E124" s="225">
        <f t="shared" ref="E124:F124" si="69">($C$124*$D$124)/$B$124</f>
        <v>68.5</v>
      </c>
      <c r="F124" s="225">
        <f t="shared" si="69"/>
        <v>68.5</v>
      </c>
      <c r="G124" s="230">
        <f t="shared" ref="G124:G131" si="71">(E124-F124)/E124</f>
        <v>0</v>
      </c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</row>
    <row r="125">
      <c r="A125" s="244" t="s">
        <v>149</v>
      </c>
      <c r="B125" s="243">
        <f>VLOOKUP(A125,Lista!$A$3:$E$45,2,FALSE())</f>
        <v>1</v>
      </c>
      <c r="C125" s="230">
        <v>0.27</v>
      </c>
      <c r="D125" s="225">
        <f>VLOOKUP(A125,Lista!$A$3:$E$45,3,FALSE())</f>
        <v>261.1111111</v>
      </c>
      <c r="E125" s="225">
        <f t="shared" ref="E125:F125" si="70">($C$125*$D$125)/$B$125</f>
        <v>70.5</v>
      </c>
      <c r="F125" s="225">
        <f t="shared" si="70"/>
        <v>70.5</v>
      </c>
      <c r="G125" s="230">
        <f t="shared" si="71"/>
        <v>0</v>
      </c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</row>
    <row r="126">
      <c r="A126" s="244" t="s">
        <v>119</v>
      </c>
      <c r="B126" s="243">
        <f>VLOOKUP(A126,Lista!$A$3:$E$45,2,FALSE())</f>
        <v>0.5</v>
      </c>
      <c r="C126" s="230">
        <v>0.15</v>
      </c>
      <c r="D126" s="225">
        <f>VLOOKUP(A126,Lista!$A$3:$E$45,3,FALSE())</f>
        <v>25.9</v>
      </c>
      <c r="E126" s="225">
        <f t="shared" ref="E126:F126" si="72">($C$126*$D$126)/$B$126</f>
        <v>7.77</v>
      </c>
      <c r="F126" s="225">
        <f t="shared" si="72"/>
        <v>7.77</v>
      </c>
      <c r="G126" s="230">
        <f t="shared" si="71"/>
        <v>0</v>
      </c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</row>
    <row r="127">
      <c r="A127" s="244" t="s">
        <v>157</v>
      </c>
      <c r="B127" s="243">
        <f>VLOOKUP(A127,Lista!$A$3:$E$45,2,FALSE())</f>
        <v>0.65</v>
      </c>
      <c r="C127" s="230">
        <v>0.005</v>
      </c>
      <c r="D127" s="225">
        <f>VLOOKUP(A127,Lista!$A$3:$E$45,3,FALSE())</f>
        <v>14.8</v>
      </c>
      <c r="E127" s="225">
        <f t="shared" ref="E127:F127" si="73">($C$127*$D$127)/$B$127</f>
        <v>0.1138461538</v>
      </c>
      <c r="F127" s="225">
        <f t="shared" si="73"/>
        <v>0.1138461538</v>
      </c>
      <c r="G127" s="230">
        <f t="shared" si="71"/>
        <v>0</v>
      </c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</row>
    <row r="128">
      <c r="A128" s="244" t="s">
        <v>141</v>
      </c>
      <c r="B128" s="243">
        <f>VLOOKUP(A128,Lista!$A$3:$E$45,2,FALSE())</f>
        <v>30</v>
      </c>
      <c r="C128" s="230">
        <v>1.0</v>
      </c>
      <c r="D128" s="225">
        <f>VLOOKUP(A128,Lista!$A$3:$E$45,3,FALSE())</f>
        <v>91</v>
      </c>
      <c r="E128" s="225">
        <f t="shared" ref="E128:F128" si="74">($C$128*$D$128)/$B$128</f>
        <v>3.033333333</v>
      </c>
      <c r="F128" s="225">
        <f t="shared" si="74"/>
        <v>3.033333333</v>
      </c>
      <c r="G128" s="230">
        <f t="shared" si="71"/>
        <v>0</v>
      </c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</row>
    <row r="129">
      <c r="A129" s="244" t="s">
        <v>159</v>
      </c>
      <c r="B129" s="243">
        <f>VLOOKUP(A129,Lista!$A$3:$E$45,2,FALSE())</f>
        <v>0.25</v>
      </c>
      <c r="C129" s="230">
        <v>0.015</v>
      </c>
      <c r="D129" s="225">
        <f>VLOOKUP(A129,Lista!$A$3:$E$45,3,FALSE())</f>
        <v>24.5</v>
      </c>
      <c r="E129" s="225">
        <f t="shared" ref="E129:F129" si="75">($C$129*$D$129)/$B$129</f>
        <v>1.47</v>
      </c>
      <c r="F129" s="225">
        <f t="shared" si="75"/>
        <v>1.47</v>
      </c>
      <c r="G129" s="230">
        <f t="shared" si="71"/>
        <v>0</v>
      </c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</row>
    <row r="130">
      <c r="A130" s="244" t="s">
        <v>140</v>
      </c>
      <c r="B130" s="243">
        <f>VLOOKUP(A130,Lista!$A$3:$E$45,2,FALSE())</f>
        <v>1</v>
      </c>
      <c r="C130" s="230">
        <v>0.5</v>
      </c>
      <c r="D130" s="225">
        <f>VLOOKUP(A130,Lista!$A$3:$E$45,3,FALSE())</f>
        <v>23</v>
      </c>
      <c r="E130" s="225">
        <f t="shared" ref="E130:F130" si="76">($C$130*$D$130)/$B$130</f>
        <v>11.5</v>
      </c>
      <c r="F130" s="225">
        <f t="shared" si="76"/>
        <v>11.5</v>
      </c>
      <c r="G130" s="230">
        <f t="shared" si="71"/>
        <v>0</v>
      </c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</row>
    <row r="131">
      <c r="A131" s="244" t="s">
        <v>137</v>
      </c>
      <c r="B131" s="243">
        <f>VLOOKUP(A131,Lista!$A$3:$E$45,2,FALSE())</f>
        <v>1</v>
      </c>
      <c r="C131" s="230">
        <v>0.05</v>
      </c>
      <c r="D131" s="225">
        <f>VLOOKUP(A131,Lista!$A$3:$E$45,3,FALSE())</f>
        <v>153.125</v>
      </c>
      <c r="E131" s="225">
        <f t="shared" ref="E131:F131" si="77">($C$131*$D$131)/$B$131</f>
        <v>7.65625</v>
      </c>
      <c r="F131" s="225">
        <f t="shared" si="77"/>
        <v>7.65625</v>
      </c>
      <c r="G131" s="230">
        <f t="shared" si="71"/>
        <v>0</v>
      </c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</row>
    <row r="132">
      <c r="A132" s="228"/>
      <c r="B132" s="225"/>
      <c r="C132" s="225"/>
      <c r="D132" s="258" t="s">
        <v>223</v>
      </c>
      <c r="E132" s="225">
        <f t="shared" ref="E132:F132" si="78">SUM(E124:E131)</f>
        <v>170.5434295</v>
      </c>
      <c r="F132" s="225">
        <f t="shared" si="78"/>
        <v>170.5434295</v>
      </c>
      <c r="G132" s="230">
        <f>($E$132-$F$132)/$E$132</f>
        <v>0</v>
      </c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>
      <c r="A133" s="228"/>
      <c r="B133" s="225"/>
      <c r="C133" s="225"/>
      <c r="D133" s="258" t="s">
        <v>224</v>
      </c>
      <c r="E133" s="259">
        <f t="shared" ref="E133:F133" si="79">E132+10</f>
        <v>180.5434295</v>
      </c>
      <c r="F133" s="259">
        <f t="shared" si="79"/>
        <v>180.5434295</v>
      </c>
      <c r="G133" s="230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>
      <c r="A134" s="228"/>
      <c r="B134" s="225"/>
      <c r="C134" s="225"/>
      <c r="D134" s="260" t="s">
        <v>225</v>
      </c>
      <c r="E134" s="225">
        <f t="shared" ref="E134:F134" si="80">E133*100/40</f>
        <v>451.3585737</v>
      </c>
      <c r="F134" s="225">
        <f t="shared" si="80"/>
        <v>451.3585737</v>
      </c>
      <c r="G134" s="230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>
      <c r="A135" s="228"/>
      <c r="B135" s="225"/>
      <c r="C135" s="225"/>
      <c r="D135" s="258" t="s">
        <v>226</v>
      </c>
      <c r="E135" s="225">
        <f>E133/A120</f>
        <v>3.61086859</v>
      </c>
      <c r="F135" s="225">
        <f>F133/A120</f>
        <v>3.61086859</v>
      </c>
      <c r="G135" s="230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>
      <c r="A136" s="228"/>
      <c r="B136" s="225"/>
      <c r="C136" s="225"/>
      <c r="D136" s="261" t="s">
        <v>227</v>
      </c>
      <c r="E136" s="259">
        <f>E135*100/40</f>
        <v>9.027171474</v>
      </c>
      <c r="F136" s="259">
        <f>$F$135*100/40</f>
        <v>9.027171474</v>
      </c>
      <c r="G136" s="230">
        <f>($E$136-$F$136)/$E$136</f>
        <v>0</v>
      </c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>
      <c r="A137" s="228"/>
      <c r="B137" s="225"/>
      <c r="C137" s="225"/>
      <c r="D137" s="231" t="s">
        <v>232</v>
      </c>
      <c r="E137" s="232">
        <f>ROUNDDOWN($E$136,0)</f>
        <v>9</v>
      </c>
      <c r="F137" s="232">
        <f>ROUNDDOWN(F136,0)</f>
        <v>9</v>
      </c>
      <c r="G137" s="230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>
      <c r="A138" s="228"/>
      <c r="B138" s="225"/>
      <c r="C138" s="225"/>
      <c r="D138" s="225"/>
      <c r="E138" s="225"/>
      <c r="F138" s="227"/>
      <c r="G138" s="230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>
      <c r="A139" s="228"/>
      <c r="B139" s="225"/>
      <c r="C139" s="225"/>
      <c r="D139" s="225"/>
      <c r="E139" s="225"/>
      <c r="F139" s="227"/>
      <c r="G139" s="230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>
      <c r="A140" s="229" t="s">
        <v>108</v>
      </c>
      <c r="B140" s="230" t="str">
        <f t="array" ref="B140">XLOOKUP($A140,'Maestro de productos 2024'!$A$3:$A$163,'Maestro de productos 2024'!$B$3:$B$163,0)</f>
        <v>ID-3830</v>
      </c>
      <c r="C140" s="225"/>
      <c r="D140" s="225"/>
      <c r="E140" s="225"/>
      <c r="F140" s="227"/>
      <c r="G140" s="230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>
      <c r="A141" s="265">
        <v>18.0</v>
      </c>
      <c r="B141" s="230" t="s">
        <v>240</v>
      </c>
      <c r="C141" s="225"/>
      <c r="D141" s="225"/>
      <c r="E141" s="225"/>
      <c r="F141" s="227"/>
      <c r="G141" s="230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>
      <c r="A142" s="265" t="s">
        <v>230</v>
      </c>
      <c r="B142" s="230" t="s">
        <v>241</v>
      </c>
      <c r="C142" s="225"/>
      <c r="D142" s="225"/>
      <c r="E142" s="225"/>
      <c r="F142" s="227"/>
      <c r="G142" s="230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>
      <c r="A143" s="265" t="s">
        <v>216</v>
      </c>
      <c r="B143" s="230" t="s">
        <v>237</v>
      </c>
      <c r="C143" s="225"/>
      <c r="D143" s="225"/>
      <c r="E143" s="225"/>
      <c r="F143" s="227"/>
      <c r="G143" s="230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>
      <c r="A144" s="223" t="s">
        <v>218</v>
      </c>
      <c r="B144" s="240" t="s">
        <v>115</v>
      </c>
      <c r="C144" s="240" t="s">
        <v>219</v>
      </c>
      <c r="D144" s="240" t="s">
        <v>116</v>
      </c>
      <c r="E144" s="240" t="s">
        <v>220</v>
      </c>
      <c r="F144" s="241" t="s">
        <v>221</v>
      </c>
      <c r="G144" s="240" t="s">
        <v>222</v>
      </c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</row>
    <row r="145">
      <c r="A145" s="244" t="s">
        <v>155</v>
      </c>
      <c r="B145" s="243">
        <f>VLOOKUP(A145,Lista!$A$3:$E$45,2,FALSE())</f>
        <v>1</v>
      </c>
      <c r="C145" s="230">
        <v>0.19</v>
      </c>
      <c r="D145" s="225">
        <f>VLOOKUP(A145,Lista!$A$3:$E$45,3,FALSE())</f>
        <v>120</v>
      </c>
      <c r="E145" s="225">
        <f t="shared" ref="E145:F145" si="81">($C$145*$D$145)/$B$145</f>
        <v>22.8</v>
      </c>
      <c r="F145" s="225">
        <f t="shared" si="81"/>
        <v>22.8</v>
      </c>
      <c r="G145" s="230">
        <f t="shared" ref="G145:G154" si="83">(E145-F145)/E145</f>
        <v>0</v>
      </c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</row>
    <row r="146">
      <c r="A146" s="244" t="s">
        <v>145</v>
      </c>
      <c r="B146" s="243">
        <f>VLOOKUP(A146,Lista!$A$3:$E$45,2,FALSE())</f>
        <v>0.36</v>
      </c>
      <c r="C146" s="230">
        <v>0.36</v>
      </c>
      <c r="D146" s="225">
        <f>VLOOKUP(A146,Lista!$A$3:$E$45,3,FALSE())</f>
        <v>23.5</v>
      </c>
      <c r="E146" s="225">
        <f t="shared" ref="E146:F146" si="82">($C$146*$D$146)/$B$146</f>
        <v>23.5</v>
      </c>
      <c r="F146" s="225">
        <f t="shared" si="82"/>
        <v>23.5</v>
      </c>
      <c r="G146" s="230">
        <f t="shared" si="83"/>
        <v>0</v>
      </c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</row>
    <row r="147">
      <c r="A147" s="244" t="s">
        <v>143</v>
      </c>
      <c r="B147" s="243">
        <f>VLOOKUP(A147,Lista!$A$3:$E$45,2,FALSE())</f>
        <v>0.375</v>
      </c>
      <c r="C147" s="230">
        <v>0.375</v>
      </c>
      <c r="D147" s="225">
        <f>VLOOKUP(A147,Lista!$A$3:$E$45,3,FALSE())</f>
        <v>31</v>
      </c>
      <c r="E147" s="225">
        <f t="shared" ref="E147:F147" si="84">($C$147*$D$147)/$B$147</f>
        <v>31</v>
      </c>
      <c r="F147" s="225">
        <f t="shared" si="84"/>
        <v>31</v>
      </c>
      <c r="G147" s="230">
        <f t="shared" si="83"/>
        <v>0</v>
      </c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</row>
    <row r="148">
      <c r="A148" s="244" t="s">
        <v>141</v>
      </c>
      <c r="B148" s="243">
        <f>VLOOKUP(A148,Lista!$A$3:$E$45,2,FALSE())</f>
        <v>30</v>
      </c>
      <c r="C148" s="230">
        <v>6.0</v>
      </c>
      <c r="D148" s="225">
        <f>VLOOKUP(A148,Lista!$A$3:$E$45,3,FALSE())</f>
        <v>91</v>
      </c>
      <c r="E148" s="225">
        <f t="shared" ref="E148:F148" si="85">($C$148*$D$148)/$B$148</f>
        <v>18.2</v>
      </c>
      <c r="F148" s="225">
        <f t="shared" si="85"/>
        <v>18.2</v>
      </c>
      <c r="G148" s="230">
        <f t="shared" si="83"/>
        <v>0</v>
      </c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</row>
    <row r="149">
      <c r="A149" s="244" t="s">
        <v>142</v>
      </c>
      <c r="B149" s="243">
        <f>VLOOKUP(A149,Lista!$A$3:$E$45,2,FALSE())</f>
        <v>1</v>
      </c>
      <c r="C149" s="230">
        <v>0.4</v>
      </c>
      <c r="D149" s="225">
        <f>VLOOKUP(A149,Lista!$A$3:$E$45,3,FALSE())</f>
        <v>28</v>
      </c>
      <c r="E149" s="225">
        <f t="shared" ref="E149:F149" si="86">($C$149*$D$149)/$B$149</f>
        <v>11.2</v>
      </c>
      <c r="F149" s="225">
        <f t="shared" si="86"/>
        <v>11.2</v>
      </c>
      <c r="G149" s="230">
        <f t="shared" si="83"/>
        <v>0</v>
      </c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</row>
    <row r="150">
      <c r="A150" s="244" t="s">
        <v>159</v>
      </c>
      <c r="B150" s="243">
        <f>VLOOKUP(A150,Lista!$A$3:$E$45,2,FALSE())</f>
        <v>0.25</v>
      </c>
      <c r="C150" s="230">
        <v>0.015</v>
      </c>
      <c r="D150" s="225">
        <f>VLOOKUP(A150,Lista!$A$3:$E$45,3,FALSE())</f>
        <v>24.5</v>
      </c>
      <c r="E150" s="225">
        <f t="shared" ref="E150:F150" si="87">($C$150*$D$150)/$B$150</f>
        <v>1.47</v>
      </c>
      <c r="F150" s="225">
        <f t="shared" si="87"/>
        <v>1.47</v>
      </c>
      <c r="G150" s="230">
        <f t="shared" si="83"/>
        <v>0</v>
      </c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</row>
    <row r="151">
      <c r="A151" s="244" t="s">
        <v>137</v>
      </c>
      <c r="B151" s="243">
        <f>VLOOKUP(A151,Lista!$A$3:$E$45,2,FALSE())</f>
        <v>1</v>
      </c>
      <c r="C151" s="230">
        <v>0.03</v>
      </c>
      <c r="D151" s="225">
        <f>VLOOKUP(A151,Lista!$A$3:$E$45,3,FALSE())</f>
        <v>153.125</v>
      </c>
      <c r="E151" s="225">
        <f t="shared" ref="E151:F151" si="88">($C$151*$D$151)/$B$151</f>
        <v>4.59375</v>
      </c>
      <c r="F151" s="225">
        <f t="shared" si="88"/>
        <v>4.59375</v>
      </c>
      <c r="G151" s="230">
        <f t="shared" si="83"/>
        <v>0</v>
      </c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</row>
    <row r="152">
      <c r="A152" s="244" t="s">
        <v>118</v>
      </c>
      <c r="B152" s="243">
        <f>VLOOKUP(A152,Lista!$A$3:$E$45,2,FALSE())</f>
        <v>1</v>
      </c>
      <c r="C152" s="230">
        <v>0.15</v>
      </c>
      <c r="D152" s="225">
        <f>VLOOKUP(A152,Lista!$A$3:$E$45,3,FALSE())</f>
        <v>38</v>
      </c>
      <c r="E152" s="225">
        <f t="shared" ref="E152:F152" si="89">($C$152*$D$152)/$B$152</f>
        <v>5.7</v>
      </c>
      <c r="F152" s="225">
        <f t="shared" si="89"/>
        <v>5.7</v>
      </c>
      <c r="G152" s="230">
        <f t="shared" si="83"/>
        <v>0</v>
      </c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</row>
    <row r="153">
      <c r="A153" s="244" t="s">
        <v>158</v>
      </c>
      <c r="B153" s="243">
        <f>VLOOKUP(A153,Lista!$A$3:$E$45,2,FALSE())</f>
        <v>20</v>
      </c>
      <c r="C153" s="230">
        <v>18.0</v>
      </c>
      <c r="D153" s="225">
        <f>VLOOKUP(A153,Lista!$A$3:$E$45,3,FALSE())</f>
        <v>36</v>
      </c>
      <c r="E153" s="225">
        <f t="shared" ref="E153:F153" si="90">($C$153*$D$153)/$B$153</f>
        <v>32.4</v>
      </c>
      <c r="F153" s="225">
        <f t="shared" si="90"/>
        <v>32.4</v>
      </c>
      <c r="G153" s="230">
        <f t="shared" si="83"/>
        <v>0</v>
      </c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</row>
    <row r="154">
      <c r="A154" s="244" t="s">
        <v>156</v>
      </c>
      <c r="B154" s="243">
        <f>VLOOKUP(A154,Lista!$A$3:$E$45,2,FALSE())</f>
        <v>1</v>
      </c>
      <c r="C154" s="230">
        <v>18.0</v>
      </c>
      <c r="D154" s="225">
        <f>VLOOKUP(A154,Lista!$A$3:$E$45,3,FALSE())</f>
        <v>3</v>
      </c>
      <c r="E154" s="225">
        <f t="shared" ref="E154:F154" si="91">($C$154*$D$154)/$B$154</f>
        <v>54</v>
      </c>
      <c r="F154" s="225">
        <f t="shared" si="91"/>
        <v>54</v>
      </c>
      <c r="G154" s="230">
        <f t="shared" si="83"/>
        <v>0</v>
      </c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</row>
    <row r="155">
      <c r="A155" s="228"/>
      <c r="B155" s="225"/>
      <c r="C155" s="225"/>
      <c r="D155" s="258" t="s">
        <v>223</v>
      </c>
      <c r="E155" s="225">
        <f t="shared" ref="E155:F155" si="92">SUM(E145:E154)</f>
        <v>204.86375</v>
      </c>
      <c r="F155" s="225">
        <f t="shared" si="92"/>
        <v>204.86375</v>
      </c>
      <c r="G155" s="230">
        <f>($E$155-$F$155)/$E$155</f>
        <v>0</v>
      </c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>
      <c r="A156" s="228"/>
      <c r="B156" s="225"/>
      <c r="C156" s="225"/>
      <c r="D156" s="258" t="s">
        <v>224</v>
      </c>
      <c r="E156" s="259">
        <f t="shared" ref="E156:F156" si="93">E155+10</f>
        <v>214.86375</v>
      </c>
      <c r="F156" s="259">
        <f t="shared" si="93"/>
        <v>214.86375</v>
      </c>
      <c r="G156" s="230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>
      <c r="A157" s="228"/>
      <c r="B157" s="225"/>
      <c r="C157" s="225"/>
      <c r="D157" s="260" t="s">
        <v>225</v>
      </c>
      <c r="E157" s="225">
        <f t="shared" ref="E157:F157" si="94">E156*100/40</f>
        <v>537.159375</v>
      </c>
      <c r="F157" s="225">
        <f t="shared" si="94"/>
        <v>537.159375</v>
      </c>
      <c r="G157" s="230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>
      <c r="A158" s="228"/>
      <c r="B158" s="230"/>
      <c r="C158" s="225"/>
      <c r="D158" s="258" t="s">
        <v>226</v>
      </c>
      <c r="E158" s="225">
        <f>E156/A141</f>
        <v>11.936875</v>
      </c>
      <c r="F158" s="225">
        <f>F156/A141</f>
        <v>11.936875</v>
      </c>
      <c r="G158" s="230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>
      <c r="A159" s="228"/>
      <c r="B159" s="225"/>
      <c r="C159" s="225"/>
      <c r="D159" s="261" t="s">
        <v>227</v>
      </c>
      <c r="E159" s="259">
        <f>E158*100/40</f>
        <v>29.8421875</v>
      </c>
      <c r="F159" s="259">
        <f>$F$158*100/40</f>
        <v>29.8421875</v>
      </c>
      <c r="G159" s="230">
        <f>($E$159-$F$159)/$E$159</f>
        <v>0</v>
      </c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>
      <c r="A160" s="228"/>
      <c r="B160" s="225"/>
      <c r="C160" s="225"/>
      <c r="D160" s="231" t="s">
        <v>232</v>
      </c>
      <c r="E160" s="232">
        <f>ROUNDDOWN($E$159,0)</f>
        <v>29</v>
      </c>
      <c r="F160" s="232">
        <f>ROUNDDOWN(F159,0)</f>
        <v>29</v>
      </c>
      <c r="G160" s="230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>
      <c r="A161" s="228"/>
      <c r="B161" s="225"/>
      <c r="C161" s="225"/>
      <c r="D161" s="225"/>
      <c r="E161" s="225"/>
      <c r="F161" s="227"/>
      <c r="G161" s="230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>
      <c r="A162" s="228"/>
      <c r="B162" s="225"/>
      <c r="C162" s="225"/>
      <c r="D162" s="225"/>
      <c r="E162" s="225"/>
      <c r="F162" s="227"/>
      <c r="G162" s="230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>
      <c r="A163" s="229" t="s">
        <v>109</v>
      </c>
      <c r="B163" s="230" t="str">
        <f t="array" ref="B163">XLOOKUP($A163,'Maestro de productos 2024'!$A$3:$A$163,'Maestro de productos 2024'!$B$3:$B$163,0)</f>
        <v>ID-3831</v>
      </c>
      <c r="C163" s="225"/>
      <c r="D163" s="225"/>
      <c r="E163" s="225"/>
      <c r="F163" s="227"/>
      <c r="G163" s="230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>
      <c r="A164" s="265">
        <v>14.0</v>
      </c>
      <c r="B164" s="230" t="s">
        <v>229</v>
      </c>
      <c r="C164" s="225"/>
      <c r="D164" s="225"/>
      <c r="E164" s="225"/>
      <c r="F164" s="227"/>
      <c r="G164" s="230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>
      <c r="A165" s="265" t="s">
        <v>230</v>
      </c>
      <c r="B165" s="230" t="s">
        <v>242</v>
      </c>
      <c r="C165" s="225"/>
      <c r="D165" s="225"/>
      <c r="E165" s="225"/>
      <c r="F165" s="227"/>
      <c r="G165" s="230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>
      <c r="A166" s="265" t="s">
        <v>216</v>
      </c>
      <c r="B166" s="230" t="s">
        <v>237</v>
      </c>
      <c r="C166" s="225"/>
      <c r="D166" s="225"/>
      <c r="E166" s="225"/>
      <c r="F166" s="227"/>
      <c r="G166" s="230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>
      <c r="A167" s="223" t="s">
        <v>218</v>
      </c>
      <c r="B167" s="240" t="s">
        <v>115</v>
      </c>
      <c r="C167" s="240" t="s">
        <v>219</v>
      </c>
      <c r="D167" s="240" t="s">
        <v>116</v>
      </c>
      <c r="E167" s="240" t="s">
        <v>220</v>
      </c>
      <c r="F167" s="241" t="s">
        <v>221</v>
      </c>
      <c r="G167" s="240" t="s">
        <v>222</v>
      </c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</row>
    <row r="168">
      <c r="A168" s="244" t="s">
        <v>140</v>
      </c>
      <c r="B168" s="243">
        <f>VLOOKUP(A168,Lista!$A$3:$E$45,2,FALSE())</f>
        <v>1</v>
      </c>
      <c r="C168" s="230">
        <v>0.22</v>
      </c>
      <c r="D168" s="225">
        <f>VLOOKUP(A168,Lista!$A$3:$E$45,3,FALSE())</f>
        <v>23</v>
      </c>
      <c r="E168" s="225">
        <f t="shared" ref="E168:F168" si="95">($C$168*$D$168)/$B$168</f>
        <v>5.06</v>
      </c>
      <c r="F168" s="225">
        <f t="shared" si="95"/>
        <v>5.06</v>
      </c>
      <c r="G168" s="230">
        <f t="shared" ref="G168:G179" si="97">(E168-F168)/E168</f>
        <v>0</v>
      </c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</row>
    <row r="169">
      <c r="A169" s="244" t="s">
        <v>132</v>
      </c>
      <c r="B169" s="243">
        <f>VLOOKUP(A169,Lista!$A$3:$E$45,2,FALSE())</f>
        <v>0.25</v>
      </c>
      <c r="C169" s="230">
        <v>0.045</v>
      </c>
      <c r="D169" s="225">
        <f>VLOOKUP(A169,Lista!$A$3:$E$45,3,FALSE())</f>
        <v>90</v>
      </c>
      <c r="E169" s="225">
        <f t="shared" ref="E169:F169" si="96">($C$169*$D$169)/$B$169</f>
        <v>16.2</v>
      </c>
      <c r="F169" s="225">
        <f t="shared" si="96"/>
        <v>16.2</v>
      </c>
      <c r="G169" s="230">
        <f t="shared" si="97"/>
        <v>0</v>
      </c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</row>
    <row r="170">
      <c r="A170" s="244" t="s">
        <v>154</v>
      </c>
      <c r="B170" s="243">
        <f>VLOOKUP(A170,Lista!$A$3:$E$45,2,FALSE())</f>
        <v>1</v>
      </c>
      <c r="C170" s="230">
        <v>0.005</v>
      </c>
      <c r="D170" s="225">
        <f>VLOOKUP(A170,Lista!$A$3:$E$45,3,FALSE())</f>
        <v>24</v>
      </c>
      <c r="E170" s="225">
        <f t="shared" ref="E170:F170" si="98">($C$170*$D$170)/$B$170</f>
        <v>0.12</v>
      </c>
      <c r="F170" s="225">
        <f t="shared" si="98"/>
        <v>0.12</v>
      </c>
      <c r="G170" s="230">
        <f t="shared" si="97"/>
        <v>0</v>
      </c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</row>
    <row r="171">
      <c r="A171" s="244" t="s">
        <v>157</v>
      </c>
      <c r="B171" s="243">
        <f>VLOOKUP(A171,Lista!$A$3:$E$45,2,FALSE())</f>
        <v>0.65</v>
      </c>
      <c r="C171" s="230">
        <v>0.003</v>
      </c>
      <c r="D171" s="225">
        <f>VLOOKUP(A171,Lista!$A$3:$E$45,3,FALSE())</f>
        <v>14.8</v>
      </c>
      <c r="E171" s="225">
        <f t="shared" ref="E171:F171" si="99">($C$171*$D$171)/$B$171</f>
        <v>0.06830769231</v>
      </c>
      <c r="F171" s="225">
        <f t="shared" si="99"/>
        <v>0.06830769231</v>
      </c>
      <c r="G171" s="230">
        <f t="shared" si="97"/>
        <v>0</v>
      </c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</row>
    <row r="172">
      <c r="A172" s="244" t="s">
        <v>118</v>
      </c>
      <c r="B172" s="243">
        <f>VLOOKUP(A172,Lista!$A$3:$E$45,2,FALSE())</f>
        <v>1</v>
      </c>
      <c r="C172" s="230">
        <v>0.25</v>
      </c>
      <c r="D172" s="225">
        <f>VLOOKUP(A172,Lista!$A$3:$E$45,3,FALSE())</f>
        <v>38</v>
      </c>
      <c r="E172" s="225">
        <f t="shared" ref="E172:F172" si="100">($C$172*$D$172)/$B$172</f>
        <v>9.5</v>
      </c>
      <c r="F172" s="225">
        <f t="shared" si="100"/>
        <v>9.5</v>
      </c>
      <c r="G172" s="230">
        <f t="shared" si="97"/>
        <v>0</v>
      </c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</row>
    <row r="173">
      <c r="A173" s="244" t="s">
        <v>149</v>
      </c>
      <c r="B173" s="243">
        <f>VLOOKUP(A173,Lista!$A$3:$E$45,2,FALSE())</f>
        <v>1</v>
      </c>
      <c r="C173" s="230">
        <v>0.1</v>
      </c>
      <c r="D173" s="225">
        <f>VLOOKUP(A173,Lista!$A$3:$E$45,3,FALSE())</f>
        <v>261.1111111</v>
      </c>
      <c r="E173" s="225">
        <f t="shared" ref="E173:F173" si="101">($C$173*$D$173)/$B$173</f>
        <v>26.11111111</v>
      </c>
      <c r="F173" s="225">
        <f t="shared" si="101"/>
        <v>26.11111111</v>
      </c>
      <c r="G173" s="230">
        <f t="shared" si="97"/>
        <v>0</v>
      </c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</row>
    <row r="174">
      <c r="A174" s="244" t="s">
        <v>159</v>
      </c>
      <c r="B174" s="243">
        <f>VLOOKUP(A174,Lista!$A$3:$E$45,2,FALSE())</f>
        <v>0.25</v>
      </c>
      <c r="C174" s="230">
        <v>0.015</v>
      </c>
      <c r="D174" s="225">
        <f>VLOOKUP(A174,Lista!$A$3:$E$45,3,FALSE())</f>
        <v>24.5</v>
      </c>
      <c r="E174" s="225">
        <f t="shared" ref="E174:F174" si="102">($C$174*$D$174)/$B$174</f>
        <v>1.47</v>
      </c>
      <c r="F174" s="225">
        <f t="shared" si="102"/>
        <v>1.47</v>
      </c>
      <c r="G174" s="230">
        <f t="shared" si="97"/>
        <v>0</v>
      </c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</row>
    <row r="175">
      <c r="A175" s="244" t="s">
        <v>141</v>
      </c>
      <c r="B175" s="243">
        <f>VLOOKUP(A175,Lista!$A$3:$E$45,2,FALSE())</f>
        <v>30</v>
      </c>
      <c r="C175" s="230">
        <v>2.0</v>
      </c>
      <c r="D175" s="225">
        <f>VLOOKUP(A175,Lista!$A$3:$E$45,3,FALSE())</f>
        <v>91</v>
      </c>
      <c r="E175" s="225">
        <f t="shared" ref="E175:F175" si="103">($C$175*$D$175)/$B$175</f>
        <v>6.066666667</v>
      </c>
      <c r="F175" s="225">
        <f t="shared" si="103"/>
        <v>6.066666667</v>
      </c>
      <c r="G175" s="230">
        <f t="shared" si="97"/>
        <v>0</v>
      </c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</row>
    <row r="176">
      <c r="A176" s="244" t="s">
        <v>142</v>
      </c>
      <c r="B176" s="243">
        <f>VLOOKUP(A176,Lista!$A$3:$E$45,2,FALSE())</f>
        <v>1</v>
      </c>
      <c r="C176" s="230">
        <v>0.06</v>
      </c>
      <c r="D176" s="225">
        <f>VLOOKUP(A176,Lista!$A$3:$E$45,3,FALSE())</f>
        <v>28</v>
      </c>
      <c r="E176" s="225">
        <f t="shared" ref="E176:F176" si="104">($C$176*$D$176)/$B$176</f>
        <v>1.68</v>
      </c>
      <c r="F176" s="225">
        <f t="shared" si="104"/>
        <v>1.68</v>
      </c>
      <c r="G176" s="230">
        <f t="shared" si="97"/>
        <v>0</v>
      </c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</row>
    <row r="177">
      <c r="A177" s="244" t="s">
        <v>160</v>
      </c>
      <c r="B177" s="243">
        <f>VLOOKUP(A177,Lista!$A$3:$E$45,2,FALSE())</f>
        <v>1</v>
      </c>
      <c r="C177" s="230">
        <f>(0.2+0.005)</f>
        <v>0.205</v>
      </c>
      <c r="D177" s="225">
        <f>VLOOKUP(A177,Lista!$A$3:$E$45,3,FALSE())</f>
        <v>57.22222222</v>
      </c>
      <c r="E177" s="225">
        <f>($C$177*$D$177)/$B$177</f>
        <v>11.73055556</v>
      </c>
      <c r="F177" s="225">
        <f>(0.2*$D$177)/$B$177</f>
        <v>11.44444444</v>
      </c>
      <c r="G177" s="230">
        <f t="shared" si="97"/>
        <v>0.0243902439</v>
      </c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</row>
    <row r="178">
      <c r="A178" s="244" t="s">
        <v>128</v>
      </c>
      <c r="B178" s="243">
        <f>VLOOKUP(A178,Lista!$A$3:$E$45,2,FALSE())</f>
        <v>0.5</v>
      </c>
      <c r="C178" s="230">
        <v>0.1</v>
      </c>
      <c r="D178" s="225">
        <f>VLOOKUP(A178,Lista!$A$3:$E$45,3,FALSE())</f>
        <v>79</v>
      </c>
      <c r="E178" s="225">
        <f t="shared" ref="E178:F178" si="105">($C$178*$D$178)/$B$178</f>
        <v>15.8</v>
      </c>
      <c r="F178" s="225">
        <f t="shared" si="105"/>
        <v>15.8</v>
      </c>
      <c r="G178" s="230">
        <f t="shared" si="97"/>
        <v>0</v>
      </c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</row>
    <row r="179">
      <c r="A179" s="244" t="s">
        <v>125</v>
      </c>
      <c r="B179" s="243">
        <f>VLOOKUP(A179,Lista!$A$3:$E$45,2,FALSE())</f>
        <v>400</v>
      </c>
      <c r="C179" s="230">
        <v>14.0</v>
      </c>
      <c r="D179" s="225">
        <f>VLOOKUP(A179,Lista!$A$3:$E$45,3,FALSE())</f>
        <v>95</v>
      </c>
      <c r="E179" s="225">
        <f t="shared" ref="E179:F179" si="106">($C$179*$D$179)/$B$179</f>
        <v>3.325</v>
      </c>
      <c r="F179" s="225">
        <f t="shared" si="106"/>
        <v>3.325</v>
      </c>
      <c r="G179" s="230">
        <f t="shared" si="97"/>
        <v>0</v>
      </c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</row>
    <row r="180">
      <c r="A180" s="228"/>
      <c r="B180" s="225"/>
      <c r="C180" s="225"/>
      <c r="D180" s="258" t="s">
        <v>223</v>
      </c>
      <c r="E180" s="225">
        <f t="shared" ref="E180:F180" si="107">SUM(E168:E179)</f>
        <v>97.13164103</v>
      </c>
      <c r="F180" s="225">
        <f t="shared" si="107"/>
        <v>96.84552991</v>
      </c>
      <c r="G180" s="230">
        <f>($E$180-$F$180)/$E$180</f>
        <v>0.002945601537</v>
      </c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>
      <c r="A181" s="228"/>
      <c r="B181" s="225"/>
      <c r="C181" s="225"/>
      <c r="D181" s="258" t="s">
        <v>224</v>
      </c>
      <c r="E181" s="259">
        <f t="shared" ref="E181:F181" si="108">E180+10+E179</f>
        <v>110.456641</v>
      </c>
      <c r="F181" s="259">
        <f t="shared" si="108"/>
        <v>110.1705299</v>
      </c>
      <c r="G181" s="230"/>
      <c r="H181" s="228"/>
      <c r="I181" s="228"/>
      <c r="J181" s="228">
        <f>E180/A164</f>
        <v>6.937974359</v>
      </c>
      <c r="K181" s="228">
        <f>F180/A164</f>
        <v>6.917537851</v>
      </c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>
      <c r="A182" s="228"/>
      <c r="B182" s="225"/>
      <c r="C182" s="225"/>
      <c r="D182" s="260" t="s">
        <v>225</v>
      </c>
      <c r="E182" s="225">
        <f t="shared" ref="E182:F182" si="109">E181*100/40</f>
        <v>276.1416026</v>
      </c>
      <c r="F182" s="225">
        <f t="shared" si="109"/>
        <v>275.4263248</v>
      </c>
      <c r="G182" s="230"/>
      <c r="H182" s="228"/>
      <c r="I182" s="228"/>
      <c r="J182" s="228"/>
      <c r="K182" s="228">
        <f>(J181-K181)/J181</f>
        <v>0.002945601537</v>
      </c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>
      <c r="A183" s="228"/>
      <c r="B183" s="225"/>
      <c r="C183" s="225"/>
      <c r="D183" s="258" t="s">
        <v>226</v>
      </c>
      <c r="E183" s="225">
        <f>E181/A164</f>
        <v>7.889760073</v>
      </c>
      <c r="F183" s="225">
        <f>F181/A164</f>
        <v>7.869323565</v>
      </c>
      <c r="G183" s="230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>
      <c r="A184" s="228"/>
      <c r="B184" s="225"/>
      <c r="C184" s="225"/>
      <c r="D184" s="261" t="s">
        <v>227</v>
      </c>
      <c r="E184" s="259">
        <f>E183*100/40</f>
        <v>19.72440018</v>
      </c>
      <c r="F184" s="259">
        <f>$F$183*100/40</f>
        <v>19.67330891</v>
      </c>
      <c r="G184" s="277">
        <f>($E$184-$F$184)/$E$184</f>
        <v>0.002590257213</v>
      </c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>
      <c r="A185" s="228"/>
      <c r="B185" s="225"/>
      <c r="C185" s="225"/>
      <c r="D185" s="231" t="s">
        <v>232</v>
      </c>
      <c r="E185" s="347">
        <v>20.0</v>
      </c>
      <c r="F185" s="347">
        <v>20.0</v>
      </c>
      <c r="G185" s="230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>
      <c r="A186" s="228"/>
      <c r="B186" s="225"/>
      <c r="C186" s="225"/>
      <c r="D186" s="225"/>
      <c r="E186" s="225"/>
      <c r="F186" s="227"/>
      <c r="G186" s="230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>
      <c r="A187" s="244" t="s">
        <v>243</v>
      </c>
      <c r="B187" s="225"/>
      <c r="C187" s="225"/>
      <c r="D187" s="225"/>
      <c r="E187" s="225"/>
      <c r="F187" s="227"/>
      <c r="G187" s="230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>
      <c r="A188" s="284" t="s">
        <v>0</v>
      </c>
      <c r="B188" s="284" t="s">
        <v>244</v>
      </c>
      <c r="C188" s="284" t="s">
        <v>245</v>
      </c>
      <c r="D188" s="284" t="s">
        <v>2</v>
      </c>
      <c r="E188" s="284" t="s">
        <v>3</v>
      </c>
      <c r="F188" s="284" t="s">
        <v>246</v>
      </c>
      <c r="G188" s="284" t="s">
        <v>247</v>
      </c>
      <c r="H188" s="284" t="s">
        <v>248</v>
      </c>
      <c r="I188" s="284" t="s">
        <v>258</v>
      </c>
      <c r="J188" s="284" t="s">
        <v>7</v>
      </c>
      <c r="K188" s="223" t="s">
        <v>4</v>
      </c>
      <c r="L188" s="284" t="s">
        <v>31</v>
      </c>
      <c r="M188" s="223" t="s">
        <v>8</v>
      </c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</row>
    <row r="189">
      <c r="A189" s="285" t="s">
        <v>66</v>
      </c>
      <c r="B189" s="285" t="s">
        <v>34</v>
      </c>
      <c r="C189" s="285">
        <f>'Maestro de productos 2025'!$A$4</f>
        <v>32</v>
      </c>
      <c r="D189" s="285">
        <f>'Maestro de productos 2025'!$E$23</f>
        <v>10</v>
      </c>
      <c r="E189" s="285">
        <f>'Maestro de productos 2025'!$E$21</f>
        <v>4.07174399</v>
      </c>
      <c r="F189" s="285">
        <f>F21</f>
        <v>4.07174399</v>
      </c>
      <c r="G189" s="285">
        <v>579.0</v>
      </c>
      <c r="H189" s="285">
        <f>SUMIF('Base de datos transacciones'!$A$80:$A$162,$A189,'Base de datos transacciones'!$I$80:$I$162)</f>
        <v>29</v>
      </c>
      <c r="I189" s="285">
        <f t="shared" ref="I189:I196" si="110">H189*E189</f>
        <v>118.0805757</v>
      </c>
      <c r="J189" s="285">
        <f t="shared" ref="J189:J196" si="111">G189*D189</f>
        <v>5790</v>
      </c>
      <c r="K189" s="285">
        <f t="shared" ref="K189:K196" si="112">(D189-E189)</f>
        <v>5.92825601</v>
      </c>
      <c r="L189" s="285">
        <v>0.3036182485579444</v>
      </c>
      <c r="M189" s="285">
        <v>3432.460229567307</v>
      </c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</row>
    <row r="190">
      <c r="A190" s="285" t="s">
        <v>68</v>
      </c>
      <c r="B190" s="285" t="s">
        <v>37</v>
      </c>
      <c r="C190" s="285">
        <f>'Maestro de productos 2025'!$A$27</f>
        <v>16</v>
      </c>
      <c r="D190" s="285">
        <f>'Maestro de productos 2025'!$E$48</f>
        <v>25</v>
      </c>
      <c r="E190" s="285">
        <f>'Maestro de productos 2025'!$E$46</f>
        <v>10.26450643</v>
      </c>
      <c r="F190" s="285">
        <f>F46</f>
        <v>9.240936172</v>
      </c>
      <c r="G190" s="285">
        <v>139.0</v>
      </c>
      <c r="H190" s="285">
        <f>SUMIF('Base de datos transacciones'!$A$80:$A$162,$A190,'Base de datos transacciones'!$I$80:$I$162)</f>
        <v>5</v>
      </c>
      <c r="I190" s="285">
        <f t="shared" si="110"/>
        <v>51.32253217</v>
      </c>
      <c r="J190" s="285">
        <f t="shared" si="111"/>
        <v>3475</v>
      </c>
      <c r="K190" s="285">
        <f t="shared" si="112"/>
        <v>14.73549357</v>
      </c>
      <c r="L190" s="285">
        <v>0.07288935500786575</v>
      </c>
      <c r="M190" s="285">
        <v>2048.2336056985296</v>
      </c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</row>
    <row r="191">
      <c r="A191" s="285" t="s">
        <v>70</v>
      </c>
      <c r="B191" s="285" t="s">
        <v>35</v>
      </c>
      <c r="C191" s="285">
        <f>'Maestro de productos 2025'!$A$52</f>
        <v>18</v>
      </c>
      <c r="D191" s="285">
        <f>'Maestro de productos 2025'!$E$72</f>
        <v>20</v>
      </c>
      <c r="E191" s="285">
        <f>'Maestro de productos 2025'!$E$70</f>
        <v>8.073123457</v>
      </c>
      <c r="F191" s="285">
        <f>F70</f>
        <v>8.073123457</v>
      </c>
      <c r="G191" s="285">
        <v>161.0</v>
      </c>
      <c r="H191" s="285">
        <f>SUMIF('Base de datos transacciones'!$A$80:$A$162,$A191,'Base de datos transacciones'!$I$80:$I$162)</f>
        <v>1</v>
      </c>
      <c r="I191" s="285">
        <f t="shared" si="110"/>
        <v>8.073123457</v>
      </c>
      <c r="J191" s="285">
        <f t="shared" si="111"/>
        <v>3220</v>
      </c>
      <c r="K191" s="285">
        <f t="shared" si="112"/>
        <v>11.92687654</v>
      </c>
      <c r="L191" s="285">
        <v>0.08442579968536969</v>
      </c>
      <c r="M191" s="285">
        <v>1920.2271234567904</v>
      </c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</row>
    <row r="192">
      <c r="A192" s="285" t="s">
        <v>72</v>
      </c>
      <c r="B192" s="285" t="s">
        <v>36</v>
      </c>
      <c r="C192" s="285">
        <f>'Maestro de productos 2025'!$A$76</f>
        <v>35</v>
      </c>
      <c r="D192" s="285">
        <f>'Maestro de productos 2025'!$E$93</f>
        <v>7</v>
      </c>
      <c r="E192" s="285">
        <f>'Maestro de productos 2025'!$E$91</f>
        <v>3.1117795</v>
      </c>
      <c r="F192" s="285">
        <f>F91</f>
        <v>3.1117795</v>
      </c>
      <c r="G192" s="285">
        <v>425.0</v>
      </c>
      <c r="H192" s="285">
        <f>SUMIF('Base de datos transacciones'!$A$80:$A$162,$A192,'Base de datos transacciones'!$I$80:$I$162)</f>
        <v>30</v>
      </c>
      <c r="I192" s="285">
        <f t="shared" si="110"/>
        <v>93.35338501</v>
      </c>
      <c r="J192" s="285">
        <f t="shared" si="111"/>
        <v>2975</v>
      </c>
      <c r="K192" s="285">
        <f t="shared" si="112"/>
        <v>3.8882205</v>
      </c>
      <c r="L192" s="285">
        <v>0.2228631358154169</v>
      </c>
      <c r="M192" s="285">
        <v>1652.493712308223</v>
      </c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</row>
    <row r="193">
      <c r="A193" s="285" t="s">
        <v>74</v>
      </c>
      <c r="B193" s="285" t="s">
        <v>38</v>
      </c>
      <c r="C193" s="285">
        <f>'Maestro de productos 2025'!$A$97</f>
        <v>12</v>
      </c>
      <c r="D193" s="285">
        <f>'Maestro de productos 2025'!$E$116</f>
        <v>21</v>
      </c>
      <c r="E193" s="285">
        <f>'Maestro de productos 2025'!$E$114</f>
        <v>8.35935114</v>
      </c>
      <c r="F193" s="285">
        <f>F114</f>
        <v>8.335508547</v>
      </c>
      <c r="G193" s="285">
        <v>372.0</v>
      </c>
      <c r="H193" s="285">
        <f>SUMIF('Base de datos transacciones'!$A$80:$A$162,$A193,'Base de datos transacciones'!$I$80:$I$162)</f>
        <v>0</v>
      </c>
      <c r="I193" s="285">
        <f t="shared" si="110"/>
        <v>0</v>
      </c>
      <c r="J193" s="285">
        <f t="shared" si="111"/>
        <v>7812</v>
      </c>
      <c r="K193" s="285">
        <f t="shared" si="112"/>
        <v>12.64064886</v>
      </c>
      <c r="L193" s="285">
        <v>0.19507079181961196</v>
      </c>
      <c r="M193" s="285">
        <v>4702.321376068377</v>
      </c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</row>
    <row r="194">
      <c r="A194" s="285" t="s">
        <v>76</v>
      </c>
      <c r="B194" s="285" t="s">
        <v>97</v>
      </c>
      <c r="C194" s="285">
        <f>'Maestro de productos 2025'!$A$120</f>
        <v>50</v>
      </c>
      <c r="D194" s="285">
        <f>'Maestro de productos 2025'!$E$137</f>
        <v>9</v>
      </c>
      <c r="E194" s="285">
        <f>'Maestro de productos 2025'!$E$135</f>
        <v>3.61086859</v>
      </c>
      <c r="F194" s="285">
        <f>F135</f>
        <v>3.61086859</v>
      </c>
      <c r="G194" s="285">
        <v>80.0</v>
      </c>
      <c r="H194" s="285">
        <f>SUMIF('Base de datos transacciones'!$A$80:$A$162,$A194,'Base de datos transacciones'!$I$80:$I$162)</f>
        <v>20</v>
      </c>
      <c r="I194" s="285">
        <f t="shared" si="110"/>
        <v>72.21737179</v>
      </c>
      <c r="J194" s="285">
        <f t="shared" si="111"/>
        <v>720</v>
      </c>
      <c r="K194" s="285">
        <f t="shared" si="112"/>
        <v>5.38913141</v>
      </c>
      <c r="L194" s="285">
        <v>0.04195070791819612</v>
      </c>
      <c r="M194" s="285">
        <v>431.1305128205129</v>
      </c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</row>
    <row r="195">
      <c r="A195" s="285" t="s">
        <v>78</v>
      </c>
      <c r="B195" s="285" t="s">
        <v>108</v>
      </c>
      <c r="C195" s="285">
        <f>'Maestro de productos 2025'!$A$141</f>
        <v>18</v>
      </c>
      <c r="D195" s="285">
        <f>'Maestro de productos 2025'!$E$160</f>
        <v>29</v>
      </c>
      <c r="E195" s="285">
        <f>'Maestro de productos 2025'!$E$158</f>
        <v>11.936875</v>
      </c>
      <c r="F195" s="285">
        <f>F158</f>
        <v>11.936875</v>
      </c>
      <c r="G195" s="285">
        <v>18.0</v>
      </c>
      <c r="H195" s="285">
        <f>SUMIF('Base de datos transacciones'!$A$80:$A$162,$A195,'Base de datos transacciones'!$I$80:$I$162)</f>
        <v>0</v>
      </c>
      <c r="I195" s="285">
        <f t="shared" si="110"/>
        <v>0</v>
      </c>
      <c r="J195" s="285">
        <f t="shared" si="111"/>
        <v>522</v>
      </c>
      <c r="K195" s="285">
        <f t="shared" si="112"/>
        <v>17.063125</v>
      </c>
      <c r="L195" s="285">
        <v>0.009438909281594127</v>
      </c>
      <c r="M195" s="285">
        <v>307.13625</v>
      </c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</row>
    <row r="196">
      <c r="A196" s="285" t="s">
        <v>79</v>
      </c>
      <c r="B196" s="285" t="s">
        <v>109</v>
      </c>
      <c r="C196" s="285">
        <f>'Maestro de productos 2025'!$A$164</f>
        <v>14</v>
      </c>
      <c r="D196" s="285">
        <f>'Maestro de productos 2025'!$E$185</f>
        <v>20</v>
      </c>
      <c r="E196" s="285">
        <f>'Maestro de productos 2025'!$E$183</f>
        <v>7.889760073</v>
      </c>
      <c r="F196" s="285">
        <f>F183</f>
        <v>7.869323565</v>
      </c>
      <c r="G196" s="285">
        <v>133.0</v>
      </c>
      <c r="H196" s="285">
        <f>SUMIF('Base de datos transacciones'!$A$80:$A$162,$A196,'Base de datos transacciones'!$I$80:$I$162)</f>
        <v>7</v>
      </c>
      <c r="I196" s="285">
        <f t="shared" si="110"/>
        <v>55.22832051</v>
      </c>
      <c r="J196" s="285">
        <f t="shared" si="111"/>
        <v>2660</v>
      </c>
      <c r="K196" s="285">
        <f t="shared" si="112"/>
        <v>12.11023993</v>
      </c>
      <c r="L196" s="285">
        <v>0.06974305191400104</v>
      </c>
      <c r="M196" s="285">
        <v>1610.6619102564102</v>
      </c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>
      <c r="A197" s="228"/>
      <c r="B197" s="225"/>
      <c r="C197" s="225"/>
      <c r="D197" s="225"/>
      <c r="E197" s="225"/>
      <c r="F197" s="225"/>
      <c r="G197" s="285">
        <f>SUM(G189:G196)</f>
        <v>1907</v>
      </c>
      <c r="H197" s="228"/>
      <c r="I197" s="14"/>
      <c r="J197" s="285"/>
      <c r="K197" s="228"/>
      <c r="L197" s="360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>
      <c r="A198" s="228"/>
      <c r="B198" s="225"/>
      <c r="C198" s="225"/>
      <c r="D198" s="284"/>
      <c r="E198" s="284"/>
      <c r="F198" s="225">
        <f>AVERAGE(G189:G196)</f>
        <v>238.375</v>
      </c>
      <c r="G198" s="285">
        <f>(AVERAGE(G189:G196)*0.5)</f>
        <v>119.1875</v>
      </c>
      <c r="H198" s="228"/>
      <c r="I198" s="228"/>
      <c r="J198" s="285"/>
      <c r="K198" s="228"/>
      <c r="L198" s="228"/>
      <c r="M198" s="223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>
      <c r="A199" s="228"/>
      <c r="B199" s="225"/>
      <c r="C199" s="14"/>
      <c r="D199" s="225"/>
      <c r="E199" s="225"/>
      <c r="F199" s="263"/>
      <c r="G199" s="275"/>
      <c r="H199" s="228"/>
      <c r="I199" s="228"/>
      <c r="J199" s="228"/>
      <c r="K199" s="228"/>
      <c r="L199" s="228"/>
      <c r="M199" s="274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>
      <c r="A200" s="228"/>
      <c r="B200" s="225"/>
      <c r="C200" s="225"/>
      <c r="D200" s="49"/>
      <c r="E200" s="361"/>
      <c r="F200" s="324"/>
      <c r="G200" s="275"/>
      <c r="H200" s="228"/>
      <c r="I200" s="228"/>
      <c r="J200" s="228"/>
      <c r="K200" s="228"/>
      <c r="L200" s="228"/>
      <c r="M200" s="274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>
      <c r="A201" s="228"/>
      <c r="B201" s="225"/>
      <c r="C201" s="225"/>
      <c r="E201" s="274"/>
      <c r="F201" s="324"/>
      <c r="G201" s="275"/>
      <c r="H201" s="228"/>
      <c r="I201" s="228"/>
      <c r="J201" s="228"/>
      <c r="K201" s="228"/>
      <c r="L201" s="228"/>
      <c r="M201" s="274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>
      <c r="A202" s="228"/>
      <c r="B202" s="225"/>
      <c r="C202" s="225"/>
      <c r="E202" s="274"/>
      <c r="F202" s="262"/>
      <c r="G202" s="275"/>
      <c r="H202" s="228"/>
      <c r="I202" s="228"/>
      <c r="J202" s="228"/>
      <c r="K202" s="228"/>
      <c r="L202" s="228"/>
      <c r="M202" s="274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>
      <c r="A203" s="228"/>
      <c r="B203" s="225"/>
      <c r="C203" s="225"/>
      <c r="E203" s="225"/>
      <c r="F203" s="262"/>
      <c r="G203" s="275"/>
      <c r="H203" s="228"/>
      <c r="I203" s="228"/>
      <c r="J203" s="228"/>
      <c r="K203" s="228"/>
      <c r="L203" s="228"/>
      <c r="M203" s="274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>
      <c r="A204" s="228"/>
      <c r="B204" s="225"/>
      <c r="C204" s="225"/>
      <c r="E204" s="274"/>
      <c r="F204" s="225"/>
      <c r="G204" s="230"/>
      <c r="H204" s="228"/>
      <c r="I204" s="228"/>
      <c r="J204" s="228"/>
      <c r="K204" s="228"/>
      <c r="L204" s="228"/>
      <c r="M204" s="274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>
      <c r="A205" s="228"/>
      <c r="B205" s="225"/>
      <c r="C205" s="225"/>
      <c r="E205" s="225"/>
      <c r="F205" s="262"/>
      <c r="G205" s="275"/>
      <c r="H205" s="228"/>
      <c r="I205" s="228"/>
      <c r="J205" s="228"/>
      <c r="K205" s="228"/>
      <c r="L205" s="228"/>
      <c r="M205" s="274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>
      <c r="A206" s="228"/>
      <c r="B206" s="225"/>
      <c r="C206" s="225"/>
      <c r="E206" s="274"/>
      <c r="F206" s="262"/>
      <c r="G206" s="275"/>
      <c r="H206" s="228"/>
      <c r="I206" s="228"/>
      <c r="J206" s="228"/>
      <c r="K206" s="228"/>
      <c r="L206" s="228"/>
      <c r="M206" s="274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>
      <c r="A207" s="228"/>
      <c r="B207" s="225"/>
      <c r="C207" s="225"/>
      <c r="E207" s="228"/>
      <c r="F207" s="225"/>
      <c r="G207" s="230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>
      <c r="A208" s="228"/>
      <c r="B208" s="225"/>
      <c r="C208" s="225"/>
      <c r="D208" s="225"/>
      <c r="E208" s="274"/>
      <c r="F208" s="227"/>
      <c r="G208" s="230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>
      <c r="A209" s="228"/>
      <c r="B209" s="225"/>
      <c r="C209" s="225"/>
      <c r="D209" s="225"/>
      <c r="E209" s="225"/>
      <c r="F209" s="227"/>
      <c r="G209" s="230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>
      <c r="A210" s="228"/>
      <c r="B210" s="225"/>
      <c r="C210" s="225"/>
      <c r="D210" s="225"/>
      <c r="E210" s="225"/>
      <c r="F210" s="227"/>
      <c r="G210" s="230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>
      <c r="A211" s="228"/>
      <c r="B211" s="225"/>
      <c r="C211" s="225"/>
      <c r="D211" s="225"/>
      <c r="E211" s="225"/>
      <c r="F211" s="227"/>
      <c r="G211" s="227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>
      <c r="A212" s="228"/>
      <c r="B212" s="225"/>
      <c r="C212" s="225"/>
      <c r="D212" s="225"/>
      <c r="E212" s="225"/>
      <c r="F212" s="227"/>
      <c r="G212" s="227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>
      <c r="A213" s="228"/>
      <c r="B213" s="225"/>
      <c r="C213" s="225"/>
      <c r="D213" s="225"/>
      <c r="E213" s="225"/>
      <c r="F213" s="227"/>
      <c r="G213" s="227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>
      <c r="A214" s="228"/>
      <c r="B214" s="225"/>
      <c r="C214" s="225"/>
      <c r="D214" s="225"/>
      <c r="E214" s="225"/>
      <c r="F214" s="227"/>
      <c r="G214" s="227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>
      <c r="A215" s="228"/>
      <c r="B215" s="225"/>
      <c r="C215" s="225"/>
      <c r="D215" s="225"/>
      <c r="E215" s="225"/>
      <c r="F215" s="227"/>
      <c r="G215" s="227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>
      <c r="A216" s="228"/>
      <c r="B216" s="225"/>
      <c r="C216" s="225"/>
      <c r="D216" s="225"/>
      <c r="E216" s="225"/>
      <c r="F216" s="227"/>
      <c r="G216" s="227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</row>
    <row r="217">
      <c r="A217" s="228"/>
      <c r="B217" s="225"/>
      <c r="C217" s="225"/>
      <c r="D217" s="225"/>
      <c r="E217" s="225"/>
      <c r="F217" s="227"/>
      <c r="G217" s="227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</row>
    <row r="218">
      <c r="A218" s="228"/>
      <c r="B218" s="225"/>
      <c r="C218" s="225"/>
      <c r="D218" s="225"/>
      <c r="E218" s="225"/>
      <c r="F218" s="227"/>
      <c r="G218" s="227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</row>
    <row r="219">
      <c r="A219" s="228"/>
      <c r="B219" s="225"/>
      <c r="C219" s="225"/>
      <c r="D219" s="225"/>
      <c r="E219" s="225"/>
      <c r="F219" s="227"/>
      <c r="G219" s="227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</row>
    <row r="220">
      <c r="A220" s="228"/>
      <c r="B220" s="225"/>
      <c r="C220" s="225"/>
      <c r="D220" s="225"/>
      <c r="E220" s="225"/>
      <c r="F220" s="227"/>
      <c r="G220" s="227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</row>
    <row r="221">
      <c r="A221" s="228"/>
      <c r="B221" s="225"/>
      <c r="C221" s="225"/>
      <c r="D221" s="225"/>
      <c r="E221" s="225"/>
      <c r="F221" s="227"/>
      <c r="G221" s="227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</row>
    <row r="222">
      <c r="A222" s="228"/>
      <c r="B222" s="225"/>
      <c r="C222" s="225"/>
      <c r="D222" s="225"/>
      <c r="E222" s="225"/>
      <c r="F222" s="227"/>
      <c r="G222" s="227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</row>
    <row r="223">
      <c r="A223" s="228"/>
      <c r="B223" s="225"/>
      <c r="C223" s="225"/>
      <c r="D223" s="225"/>
      <c r="E223" s="225"/>
      <c r="F223" s="227"/>
      <c r="G223" s="227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</row>
    <row r="224">
      <c r="A224" s="228"/>
      <c r="B224" s="225"/>
      <c r="C224" s="225"/>
      <c r="D224" s="225"/>
      <c r="E224" s="225"/>
      <c r="F224" s="227"/>
      <c r="G224" s="227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</row>
    <row r="225">
      <c r="A225" s="228"/>
      <c r="B225" s="225"/>
      <c r="C225" s="225"/>
      <c r="D225" s="225"/>
      <c r="E225" s="225"/>
      <c r="F225" s="227"/>
      <c r="G225" s="227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</row>
    <row r="226">
      <c r="A226" s="228"/>
      <c r="B226" s="225"/>
      <c r="C226" s="225"/>
      <c r="D226" s="225"/>
      <c r="E226" s="225"/>
      <c r="F226" s="227"/>
      <c r="G226" s="227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</row>
    <row r="227">
      <c r="A227" s="228"/>
      <c r="B227" s="225"/>
      <c r="C227" s="225"/>
      <c r="D227" s="225"/>
      <c r="E227" s="225"/>
      <c r="F227" s="227"/>
      <c r="G227" s="227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</row>
    <row r="228">
      <c r="A228" s="228"/>
      <c r="B228" s="225"/>
      <c r="C228" s="225"/>
      <c r="D228" s="225"/>
      <c r="E228" s="225"/>
      <c r="F228" s="227"/>
      <c r="G228" s="227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</row>
    <row r="229">
      <c r="A229" s="228"/>
      <c r="B229" s="225"/>
      <c r="C229" s="225"/>
      <c r="D229" s="225"/>
      <c r="E229" s="225"/>
      <c r="F229" s="227"/>
      <c r="G229" s="227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</row>
    <row r="230">
      <c r="A230" s="228"/>
      <c r="B230" s="225"/>
      <c r="C230" s="225"/>
      <c r="D230" s="225"/>
      <c r="E230" s="225"/>
      <c r="F230" s="227"/>
      <c r="G230" s="227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</row>
    <row r="231">
      <c r="A231" s="228"/>
      <c r="B231" s="225"/>
      <c r="C231" s="225"/>
      <c r="D231" s="225"/>
      <c r="E231" s="225"/>
      <c r="F231" s="227"/>
      <c r="G231" s="227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</row>
    <row r="232">
      <c r="A232" s="228"/>
      <c r="B232" s="225"/>
      <c r="C232" s="225"/>
      <c r="D232" s="225"/>
      <c r="E232" s="225"/>
      <c r="F232" s="227"/>
      <c r="G232" s="227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</row>
    <row r="233">
      <c r="A233" s="228"/>
      <c r="B233" s="225"/>
      <c r="C233" s="225"/>
      <c r="D233" s="225"/>
      <c r="E233" s="225"/>
      <c r="F233" s="227"/>
      <c r="G233" s="227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</row>
    <row r="234">
      <c r="A234" s="228"/>
      <c r="B234" s="225"/>
      <c r="C234" s="225"/>
      <c r="D234" s="225"/>
      <c r="E234" s="225"/>
      <c r="F234" s="227"/>
      <c r="G234" s="227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</row>
    <row r="235">
      <c r="A235" s="228"/>
      <c r="B235" s="225"/>
      <c r="C235" s="225"/>
      <c r="D235" s="225"/>
      <c r="E235" s="225"/>
      <c r="F235" s="227"/>
      <c r="G235" s="227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</row>
    <row r="236">
      <c r="A236" s="228"/>
      <c r="B236" s="225"/>
      <c r="C236" s="225"/>
      <c r="D236" s="225"/>
      <c r="E236" s="225"/>
      <c r="F236" s="227"/>
      <c r="G236" s="227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</row>
    <row r="237">
      <c r="A237" s="228"/>
      <c r="B237" s="225"/>
      <c r="C237" s="225"/>
      <c r="D237" s="225"/>
      <c r="E237" s="225"/>
      <c r="F237" s="227"/>
      <c r="G237" s="227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</row>
    <row r="238">
      <c r="A238" s="228"/>
      <c r="B238" s="225"/>
      <c r="C238" s="225"/>
      <c r="D238" s="225"/>
      <c r="E238" s="225"/>
      <c r="F238" s="227"/>
      <c r="G238" s="227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</row>
    <row r="239">
      <c r="A239" s="228"/>
      <c r="B239" s="225"/>
      <c r="C239" s="225"/>
      <c r="D239" s="225"/>
      <c r="E239" s="225"/>
      <c r="F239" s="227"/>
      <c r="G239" s="227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</row>
    <row r="240">
      <c r="A240" s="228"/>
      <c r="B240" s="225"/>
      <c r="C240" s="225"/>
      <c r="D240" s="225"/>
      <c r="E240" s="225"/>
      <c r="F240" s="227"/>
      <c r="G240" s="227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</row>
    <row r="241">
      <c r="A241" s="228"/>
      <c r="B241" s="225"/>
      <c r="C241" s="225"/>
      <c r="D241" s="225"/>
      <c r="E241" s="225"/>
      <c r="F241" s="227"/>
      <c r="G241" s="227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</row>
    <row r="242">
      <c r="A242" s="228"/>
      <c r="B242" s="225"/>
      <c r="C242" s="225"/>
      <c r="D242" s="225"/>
      <c r="E242" s="225"/>
      <c r="F242" s="227"/>
      <c r="G242" s="227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</row>
    <row r="243">
      <c r="A243" s="228"/>
      <c r="B243" s="225"/>
      <c r="C243" s="225"/>
      <c r="D243" s="225"/>
      <c r="E243" s="225"/>
      <c r="F243" s="227"/>
      <c r="G243" s="227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</row>
    <row r="244">
      <c r="A244" s="228"/>
      <c r="B244" s="225"/>
      <c r="C244" s="225"/>
      <c r="D244" s="225"/>
      <c r="E244" s="225"/>
      <c r="F244" s="227"/>
      <c r="G244" s="227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</row>
    <row r="245">
      <c r="A245" s="228"/>
      <c r="B245" s="225"/>
      <c r="C245" s="225"/>
      <c r="D245" s="225"/>
      <c r="E245" s="225"/>
      <c r="F245" s="227"/>
      <c r="G245" s="227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</row>
    <row r="246">
      <c r="A246" s="228"/>
      <c r="B246" s="225"/>
      <c r="C246" s="225"/>
      <c r="D246" s="225"/>
      <c r="E246" s="225"/>
      <c r="F246" s="227"/>
      <c r="G246" s="227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</row>
    <row r="247">
      <c r="A247" s="228"/>
      <c r="B247" s="225"/>
      <c r="C247" s="225"/>
      <c r="D247" s="225"/>
      <c r="E247" s="225"/>
      <c r="F247" s="227"/>
      <c r="G247" s="227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</row>
    <row r="248">
      <c r="A248" s="228"/>
      <c r="B248" s="225"/>
      <c r="C248" s="225"/>
      <c r="D248" s="225"/>
      <c r="E248" s="225"/>
      <c r="F248" s="227"/>
      <c r="G248" s="227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</row>
    <row r="249">
      <c r="A249" s="228"/>
      <c r="B249" s="225"/>
      <c r="C249" s="225"/>
      <c r="D249" s="225"/>
      <c r="E249" s="225"/>
      <c r="F249" s="227"/>
      <c r="G249" s="227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</row>
    <row r="250">
      <c r="A250" s="228"/>
      <c r="B250" s="225"/>
      <c r="C250" s="225"/>
      <c r="D250" s="225"/>
      <c r="E250" s="225"/>
      <c r="F250" s="227"/>
      <c r="G250" s="227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</row>
    <row r="251">
      <c r="A251" s="228"/>
      <c r="B251" s="225"/>
      <c r="C251" s="225"/>
      <c r="D251" s="225"/>
      <c r="E251" s="225"/>
      <c r="F251" s="227"/>
      <c r="G251" s="227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</row>
    <row r="252">
      <c r="A252" s="228"/>
      <c r="B252" s="225"/>
      <c r="C252" s="225"/>
      <c r="D252" s="225"/>
      <c r="E252" s="225"/>
      <c r="F252" s="227"/>
      <c r="G252" s="227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</row>
    <row r="253">
      <c r="A253" s="228"/>
      <c r="B253" s="225"/>
      <c r="C253" s="225"/>
      <c r="D253" s="225"/>
      <c r="E253" s="225"/>
      <c r="F253" s="227"/>
      <c r="G253" s="227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</row>
    <row r="254">
      <c r="A254" s="228"/>
      <c r="B254" s="225"/>
      <c r="C254" s="225"/>
      <c r="D254" s="225"/>
      <c r="E254" s="225"/>
      <c r="F254" s="227"/>
      <c r="G254" s="227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</row>
    <row r="255">
      <c r="A255" s="228"/>
      <c r="B255" s="225"/>
      <c r="C255" s="225"/>
      <c r="D255" s="225"/>
      <c r="E255" s="225"/>
      <c r="F255" s="227"/>
      <c r="G255" s="227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</row>
    <row r="256">
      <c r="A256" s="228"/>
      <c r="B256" s="225"/>
      <c r="C256" s="225"/>
      <c r="D256" s="225"/>
      <c r="E256" s="225"/>
      <c r="F256" s="227"/>
      <c r="G256" s="227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</row>
    <row r="257">
      <c r="A257" s="228"/>
      <c r="B257" s="225"/>
      <c r="C257" s="225"/>
      <c r="D257" s="225"/>
      <c r="E257" s="225"/>
      <c r="F257" s="227"/>
      <c r="G257" s="227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</row>
    <row r="258">
      <c r="A258" s="228"/>
      <c r="B258" s="225"/>
      <c r="C258" s="225"/>
      <c r="D258" s="225"/>
      <c r="E258" s="225"/>
      <c r="F258" s="227"/>
      <c r="G258" s="227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</row>
    <row r="259">
      <c r="A259" s="228"/>
      <c r="B259" s="225"/>
      <c r="C259" s="225"/>
      <c r="D259" s="225"/>
      <c r="E259" s="225"/>
      <c r="F259" s="227"/>
      <c r="G259" s="227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</row>
    <row r="260">
      <c r="A260" s="228"/>
      <c r="B260" s="225"/>
      <c r="C260" s="225"/>
      <c r="D260" s="225"/>
      <c r="E260" s="225"/>
      <c r="F260" s="227"/>
      <c r="G260" s="227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</row>
    <row r="261">
      <c r="A261" s="228"/>
      <c r="B261" s="225"/>
      <c r="C261" s="225"/>
      <c r="D261" s="225"/>
      <c r="E261" s="225"/>
      <c r="F261" s="227"/>
      <c r="G261" s="227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</row>
    <row r="262">
      <c r="A262" s="228"/>
      <c r="B262" s="225"/>
      <c r="C262" s="225"/>
      <c r="D262" s="225"/>
      <c r="E262" s="225"/>
      <c r="F262" s="227"/>
      <c r="G262" s="227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</row>
    <row r="263">
      <c r="A263" s="228"/>
      <c r="B263" s="225"/>
      <c r="C263" s="225"/>
      <c r="D263" s="225"/>
      <c r="E263" s="225"/>
      <c r="F263" s="227"/>
      <c r="G263" s="227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</row>
    <row r="264">
      <c r="A264" s="228"/>
      <c r="B264" s="225"/>
      <c r="C264" s="225"/>
      <c r="D264" s="225"/>
      <c r="E264" s="225"/>
      <c r="F264" s="227"/>
      <c r="G264" s="227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</row>
    <row r="265">
      <c r="A265" s="228"/>
      <c r="B265" s="225"/>
      <c r="C265" s="225"/>
      <c r="D265" s="225"/>
      <c r="E265" s="225"/>
      <c r="F265" s="227"/>
      <c r="G265" s="227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</row>
    <row r="266">
      <c r="A266" s="228"/>
      <c r="B266" s="225"/>
      <c r="C266" s="225"/>
      <c r="D266" s="225"/>
      <c r="E266" s="225"/>
      <c r="F266" s="227"/>
      <c r="G266" s="227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</row>
    <row r="267">
      <c r="A267" s="228"/>
      <c r="B267" s="225"/>
      <c r="C267" s="225"/>
      <c r="D267" s="225"/>
      <c r="E267" s="225"/>
      <c r="F267" s="227"/>
      <c r="G267" s="227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</row>
    <row r="268">
      <c r="A268" s="228"/>
      <c r="B268" s="225"/>
      <c r="C268" s="225"/>
      <c r="D268" s="225"/>
      <c r="E268" s="225"/>
      <c r="F268" s="227"/>
      <c r="G268" s="227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</row>
    <row r="269">
      <c r="A269" s="228"/>
      <c r="B269" s="225"/>
      <c r="C269" s="225"/>
      <c r="D269" s="225"/>
      <c r="E269" s="225"/>
      <c r="F269" s="227"/>
      <c r="G269" s="227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</row>
    <row r="270">
      <c r="A270" s="228"/>
      <c r="B270" s="225"/>
      <c r="C270" s="225"/>
      <c r="D270" s="225"/>
      <c r="E270" s="225"/>
      <c r="F270" s="227"/>
      <c r="G270" s="227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</row>
    <row r="271">
      <c r="A271" s="228"/>
      <c r="B271" s="225"/>
      <c r="C271" s="225"/>
      <c r="D271" s="225"/>
      <c r="E271" s="225"/>
      <c r="F271" s="227"/>
      <c r="G271" s="227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</row>
    <row r="272">
      <c r="A272" s="228"/>
      <c r="B272" s="225"/>
      <c r="C272" s="225"/>
      <c r="D272" s="225"/>
      <c r="E272" s="225"/>
      <c r="F272" s="227"/>
      <c r="G272" s="227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</row>
    <row r="273">
      <c r="A273" s="228"/>
      <c r="B273" s="225"/>
      <c r="C273" s="225"/>
      <c r="D273" s="225"/>
      <c r="E273" s="225"/>
      <c r="F273" s="227"/>
      <c r="G273" s="227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</row>
    <row r="274">
      <c r="A274" s="228"/>
      <c r="B274" s="225"/>
      <c r="C274" s="225"/>
      <c r="D274" s="225"/>
      <c r="E274" s="225"/>
      <c r="F274" s="227"/>
      <c r="G274" s="227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</row>
    <row r="275">
      <c r="A275" s="228"/>
      <c r="B275" s="225"/>
      <c r="C275" s="225"/>
      <c r="D275" s="225"/>
      <c r="E275" s="225"/>
      <c r="F275" s="227"/>
      <c r="G275" s="227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</row>
    <row r="276">
      <c r="A276" s="228"/>
      <c r="B276" s="225"/>
      <c r="C276" s="225"/>
      <c r="D276" s="225"/>
      <c r="E276" s="225"/>
      <c r="F276" s="227"/>
      <c r="G276" s="227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</row>
    <row r="277">
      <c r="A277" s="228"/>
      <c r="B277" s="225"/>
      <c r="C277" s="225"/>
      <c r="D277" s="225"/>
      <c r="E277" s="225"/>
      <c r="F277" s="227"/>
      <c r="G277" s="227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</row>
    <row r="278">
      <c r="A278" s="228"/>
      <c r="B278" s="225"/>
      <c r="C278" s="225"/>
      <c r="D278" s="225"/>
      <c r="E278" s="225"/>
      <c r="F278" s="227"/>
      <c r="G278" s="227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</row>
    <row r="279">
      <c r="A279" s="228"/>
      <c r="B279" s="225"/>
      <c r="C279" s="225"/>
      <c r="D279" s="225"/>
      <c r="E279" s="225"/>
      <c r="F279" s="227"/>
      <c r="G279" s="227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</row>
    <row r="280">
      <c r="A280" s="228"/>
      <c r="B280" s="225"/>
      <c r="C280" s="225"/>
      <c r="D280" s="225"/>
      <c r="E280" s="225"/>
      <c r="F280" s="227"/>
      <c r="G280" s="227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</row>
    <row r="281">
      <c r="A281" s="228"/>
      <c r="B281" s="225"/>
      <c r="C281" s="225"/>
      <c r="D281" s="225"/>
      <c r="E281" s="225"/>
      <c r="F281" s="227"/>
      <c r="G281" s="227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</row>
    <row r="282">
      <c r="A282" s="228"/>
      <c r="B282" s="225"/>
      <c r="C282" s="225"/>
      <c r="D282" s="225"/>
      <c r="E282" s="225"/>
      <c r="F282" s="227"/>
      <c r="G282" s="227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</row>
    <row r="283">
      <c r="A283" s="228"/>
      <c r="B283" s="225"/>
      <c r="C283" s="225"/>
      <c r="D283" s="225"/>
      <c r="E283" s="225"/>
      <c r="F283" s="227"/>
      <c r="G283" s="227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</row>
    <row r="284">
      <c r="A284" s="228"/>
      <c r="B284" s="225"/>
      <c r="C284" s="225"/>
      <c r="D284" s="225"/>
      <c r="E284" s="225"/>
      <c r="F284" s="227"/>
      <c r="G284" s="227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</row>
    <row r="285">
      <c r="A285" s="228"/>
      <c r="B285" s="225"/>
      <c r="C285" s="225"/>
      <c r="D285" s="225"/>
      <c r="E285" s="225"/>
      <c r="F285" s="227"/>
      <c r="G285" s="227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</row>
    <row r="286">
      <c r="A286" s="228"/>
      <c r="B286" s="225"/>
      <c r="C286" s="225"/>
      <c r="D286" s="225"/>
      <c r="E286" s="225"/>
      <c r="F286" s="227"/>
      <c r="G286" s="227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</row>
    <row r="287">
      <c r="A287" s="228"/>
      <c r="B287" s="225"/>
      <c r="C287" s="225"/>
      <c r="D287" s="225"/>
      <c r="E287" s="225"/>
      <c r="F287" s="227"/>
      <c r="G287" s="227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</row>
    <row r="288">
      <c r="A288" s="228"/>
      <c r="B288" s="225"/>
      <c r="C288" s="225"/>
      <c r="D288" s="225"/>
      <c r="E288" s="225"/>
      <c r="F288" s="227"/>
      <c r="G288" s="227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</row>
    <row r="289">
      <c r="A289" s="228"/>
      <c r="B289" s="225"/>
      <c r="C289" s="225"/>
      <c r="D289" s="225"/>
      <c r="E289" s="225"/>
      <c r="F289" s="227"/>
      <c r="G289" s="227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</row>
    <row r="290">
      <c r="A290" s="228"/>
      <c r="B290" s="225"/>
      <c r="C290" s="225"/>
      <c r="D290" s="225"/>
      <c r="E290" s="225"/>
      <c r="F290" s="227"/>
      <c r="G290" s="227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</row>
    <row r="291">
      <c r="A291" s="228"/>
      <c r="B291" s="225"/>
      <c r="C291" s="225"/>
      <c r="D291" s="225"/>
      <c r="E291" s="225"/>
      <c r="F291" s="227"/>
      <c r="G291" s="227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</row>
    <row r="292">
      <c r="A292" s="228"/>
      <c r="B292" s="225"/>
      <c r="C292" s="225"/>
      <c r="D292" s="225"/>
      <c r="E292" s="225"/>
      <c r="F292" s="227"/>
      <c r="G292" s="227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</row>
    <row r="293">
      <c r="A293" s="228"/>
      <c r="B293" s="225"/>
      <c r="C293" s="225"/>
      <c r="D293" s="225"/>
      <c r="E293" s="225"/>
      <c r="F293" s="227"/>
      <c r="G293" s="227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</row>
    <row r="294">
      <c r="A294" s="228"/>
      <c r="B294" s="225"/>
      <c r="C294" s="225"/>
      <c r="D294" s="225"/>
      <c r="E294" s="225"/>
      <c r="F294" s="227"/>
      <c r="G294" s="227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</row>
    <row r="295">
      <c r="A295" s="228"/>
      <c r="B295" s="225"/>
      <c r="C295" s="225"/>
      <c r="D295" s="225"/>
      <c r="E295" s="225"/>
      <c r="F295" s="227"/>
      <c r="G295" s="227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</row>
    <row r="296">
      <c r="A296" s="228"/>
      <c r="B296" s="225"/>
      <c r="C296" s="225"/>
      <c r="D296" s="225"/>
      <c r="E296" s="225"/>
      <c r="F296" s="227"/>
      <c r="G296" s="227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</row>
    <row r="297">
      <c r="A297" s="228"/>
      <c r="B297" s="225"/>
      <c r="C297" s="225"/>
      <c r="D297" s="225"/>
      <c r="E297" s="225"/>
      <c r="F297" s="227"/>
      <c r="G297" s="227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</row>
    <row r="298">
      <c r="A298" s="228"/>
      <c r="B298" s="225"/>
      <c r="C298" s="225"/>
      <c r="D298" s="225"/>
      <c r="E298" s="225"/>
      <c r="F298" s="227"/>
      <c r="G298" s="227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</row>
    <row r="299">
      <c r="A299" s="228"/>
      <c r="B299" s="225"/>
      <c r="C299" s="225"/>
      <c r="D299" s="225"/>
      <c r="E299" s="225"/>
      <c r="F299" s="227"/>
      <c r="G299" s="227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</row>
    <row r="300">
      <c r="A300" s="228"/>
      <c r="B300" s="225"/>
      <c r="C300" s="225"/>
      <c r="D300" s="225"/>
      <c r="E300" s="225"/>
      <c r="F300" s="227"/>
      <c r="G300" s="227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</row>
    <row r="301">
      <c r="A301" s="228"/>
      <c r="B301" s="225"/>
      <c r="C301" s="225"/>
      <c r="D301" s="225"/>
      <c r="E301" s="225"/>
      <c r="F301" s="227"/>
      <c r="G301" s="227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</row>
    <row r="302">
      <c r="A302" s="228"/>
      <c r="B302" s="225"/>
      <c r="C302" s="225"/>
      <c r="D302" s="225"/>
      <c r="E302" s="225"/>
      <c r="F302" s="227"/>
      <c r="G302" s="227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</row>
    <row r="303">
      <c r="A303" s="228"/>
      <c r="B303" s="225"/>
      <c r="C303" s="225"/>
      <c r="D303" s="225"/>
      <c r="E303" s="225"/>
      <c r="F303" s="227"/>
      <c r="G303" s="227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</row>
    <row r="304">
      <c r="A304" s="228"/>
      <c r="B304" s="225"/>
      <c r="C304" s="225"/>
      <c r="D304" s="225"/>
      <c r="E304" s="225"/>
      <c r="F304" s="227"/>
      <c r="G304" s="227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</row>
    <row r="305">
      <c r="A305" s="228"/>
      <c r="B305" s="225"/>
      <c r="C305" s="225"/>
      <c r="D305" s="225"/>
      <c r="E305" s="225"/>
      <c r="F305" s="227"/>
      <c r="G305" s="227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</row>
    <row r="306">
      <c r="A306" s="228"/>
      <c r="B306" s="225"/>
      <c r="C306" s="225"/>
      <c r="D306" s="225"/>
      <c r="E306" s="225"/>
      <c r="F306" s="227"/>
      <c r="G306" s="227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</row>
    <row r="307">
      <c r="A307" s="228"/>
      <c r="B307" s="225"/>
      <c r="C307" s="225"/>
      <c r="D307" s="225"/>
      <c r="E307" s="225"/>
      <c r="F307" s="227"/>
      <c r="G307" s="227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</row>
    <row r="308">
      <c r="A308" s="228"/>
      <c r="B308" s="225"/>
      <c r="C308" s="225"/>
      <c r="D308" s="225"/>
      <c r="E308" s="225"/>
      <c r="F308" s="227"/>
      <c r="G308" s="227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</row>
    <row r="309">
      <c r="A309" s="228"/>
      <c r="B309" s="225"/>
      <c r="C309" s="225"/>
      <c r="D309" s="225"/>
      <c r="E309" s="225"/>
      <c r="F309" s="227"/>
      <c r="G309" s="227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</row>
    <row r="310">
      <c r="A310" s="228"/>
      <c r="B310" s="225"/>
      <c r="C310" s="225"/>
      <c r="D310" s="225"/>
      <c r="E310" s="225"/>
      <c r="F310" s="227"/>
      <c r="G310" s="227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</row>
    <row r="311">
      <c r="A311" s="228"/>
      <c r="B311" s="225"/>
      <c r="C311" s="225"/>
      <c r="D311" s="225"/>
      <c r="E311" s="225"/>
      <c r="F311" s="227"/>
      <c r="G311" s="227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</row>
    <row r="312">
      <c r="A312" s="228"/>
      <c r="B312" s="225"/>
      <c r="C312" s="225"/>
      <c r="D312" s="225"/>
      <c r="E312" s="225"/>
      <c r="F312" s="227"/>
      <c r="G312" s="227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</row>
    <row r="313">
      <c r="A313" s="228"/>
      <c r="B313" s="225"/>
      <c r="C313" s="225"/>
      <c r="D313" s="225"/>
      <c r="E313" s="225"/>
      <c r="F313" s="227"/>
      <c r="G313" s="227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</row>
    <row r="314">
      <c r="A314" s="228"/>
      <c r="B314" s="225"/>
      <c r="C314" s="225"/>
      <c r="D314" s="225"/>
      <c r="E314" s="225"/>
      <c r="F314" s="227"/>
      <c r="G314" s="227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</row>
    <row r="315">
      <c r="A315" s="228"/>
      <c r="B315" s="225"/>
      <c r="C315" s="225"/>
      <c r="D315" s="225"/>
      <c r="E315" s="225"/>
      <c r="F315" s="227"/>
      <c r="G315" s="227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</row>
    <row r="316">
      <c r="A316" s="228"/>
      <c r="B316" s="225"/>
      <c r="C316" s="225"/>
      <c r="D316" s="225"/>
      <c r="E316" s="225"/>
      <c r="F316" s="227"/>
      <c r="G316" s="227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</row>
    <row r="317">
      <c r="A317" s="228"/>
      <c r="B317" s="225"/>
      <c r="C317" s="225"/>
      <c r="D317" s="225"/>
      <c r="E317" s="225"/>
      <c r="F317" s="227"/>
      <c r="G317" s="227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</row>
    <row r="318">
      <c r="A318" s="228"/>
      <c r="B318" s="225"/>
      <c r="C318" s="225"/>
      <c r="D318" s="225"/>
      <c r="E318" s="225"/>
      <c r="F318" s="227"/>
      <c r="G318" s="227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</row>
    <row r="319">
      <c r="A319" s="228"/>
      <c r="B319" s="225"/>
      <c r="C319" s="225"/>
      <c r="D319" s="225"/>
      <c r="E319" s="225"/>
      <c r="F319" s="227"/>
      <c r="G319" s="227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</row>
    <row r="320">
      <c r="A320" s="228"/>
      <c r="B320" s="225"/>
      <c r="C320" s="225"/>
      <c r="D320" s="225"/>
      <c r="E320" s="225"/>
      <c r="F320" s="227"/>
      <c r="G320" s="227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</row>
    <row r="321">
      <c r="A321" s="228"/>
      <c r="B321" s="225"/>
      <c r="C321" s="225"/>
      <c r="D321" s="225"/>
      <c r="E321" s="225"/>
      <c r="F321" s="227"/>
      <c r="G321" s="227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</row>
    <row r="322">
      <c r="A322" s="228"/>
      <c r="B322" s="225"/>
      <c r="C322" s="225"/>
      <c r="D322" s="225"/>
      <c r="E322" s="225"/>
      <c r="F322" s="227"/>
      <c r="G322" s="227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</row>
    <row r="323">
      <c r="A323" s="228"/>
      <c r="B323" s="225"/>
      <c r="C323" s="225"/>
      <c r="D323" s="225"/>
      <c r="E323" s="225"/>
      <c r="F323" s="227"/>
      <c r="G323" s="227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</row>
    <row r="324">
      <c r="A324" s="228"/>
      <c r="B324" s="225"/>
      <c r="C324" s="225"/>
      <c r="D324" s="225"/>
      <c r="E324" s="225"/>
      <c r="F324" s="227"/>
      <c r="G324" s="227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</row>
    <row r="325">
      <c r="A325" s="228"/>
      <c r="B325" s="225"/>
      <c r="C325" s="225"/>
      <c r="D325" s="225"/>
      <c r="E325" s="225"/>
      <c r="F325" s="227"/>
      <c r="G325" s="227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</row>
    <row r="326">
      <c r="A326" s="228"/>
      <c r="B326" s="225"/>
      <c r="C326" s="225"/>
      <c r="D326" s="225"/>
      <c r="E326" s="225"/>
      <c r="F326" s="227"/>
      <c r="G326" s="227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</row>
    <row r="327">
      <c r="A327" s="228"/>
      <c r="B327" s="225"/>
      <c r="C327" s="225"/>
      <c r="D327" s="225"/>
      <c r="E327" s="225"/>
      <c r="F327" s="227"/>
      <c r="G327" s="227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</row>
    <row r="328">
      <c r="A328" s="228"/>
      <c r="B328" s="225"/>
      <c r="C328" s="225"/>
      <c r="D328" s="225"/>
      <c r="E328" s="225"/>
      <c r="F328" s="227"/>
      <c r="G328" s="227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</row>
    <row r="329">
      <c r="A329" s="228"/>
      <c r="B329" s="225"/>
      <c r="C329" s="225"/>
      <c r="D329" s="225"/>
      <c r="E329" s="225"/>
      <c r="F329" s="227"/>
      <c r="G329" s="227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</row>
    <row r="330">
      <c r="A330" s="228"/>
      <c r="B330" s="225"/>
      <c r="C330" s="225"/>
      <c r="D330" s="225"/>
      <c r="E330" s="225"/>
      <c r="F330" s="227"/>
      <c r="G330" s="227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</row>
    <row r="331">
      <c r="A331" s="228"/>
      <c r="B331" s="225"/>
      <c r="C331" s="225"/>
      <c r="D331" s="225"/>
      <c r="E331" s="225"/>
      <c r="F331" s="227"/>
      <c r="G331" s="227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</row>
    <row r="332">
      <c r="A332" s="228"/>
      <c r="B332" s="225"/>
      <c r="C332" s="225"/>
      <c r="D332" s="225"/>
      <c r="E332" s="225"/>
      <c r="F332" s="227"/>
      <c r="G332" s="227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</row>
    <row r="333">
      <c r="A333" s="228"/>
      <c r="B333" s="225"/>
      <c r="C333" s="225"/>
      <c r="D333" s="225"/>
      <c r="E333" s="225"/>
      <c r="F333" s="227"/>
      <c r="G333" s="227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</row>
    <row r="334">
      <c r="A334" s="228"/>
      <c r="B334" s="225"/>
      <c r="C334" s="225"/>
      <c r="D334" s="225"/>
      <c r="E334" s="225"/>
      <c r="F334" s="227"/>
      <c r="G334" s="227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</row>
    <row r="335">
      <c r="A335" s="228"/>
      <c r="B335" s="225"/>
      <c r="C335" s="225"/>
      <c r="D335" s="225"/>
      <c r="E335" s="225"/>
      <c r="F335" s="227"/>
      <c r="G335" s="227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</row>
    <row r="336">
      <c r="A336" s="228"/>
      <c r="B336" s="225"/>
      <c r="C336" s="225"/>
      <c r="D336" s="225"/>
      <c r="E336" s="225"/>
      <c r="F336" s="227"/>
      <c r="G336" s="227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</row>
    <row r="337">
      <c r="A337" s="228"/>
      <c r="B337" s="225"/>
      <c r="C337" s="225"/>
      <c r="D337" s="225"/>
      <c r="E337" s="225"/>
      <c r="F337" s="227"/>
      <c r="G337" s="227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</row>
    <row r="338">
      <c r="A338" s="228"/>
      <c r="B338" s="225"/>
      <c r="C338" s="225"/>
      <c r="D338" s="225"/>
      <c r="E338" s="225"/>
      <c r="F338" s="227"/>
      <c r="G338" s="227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</row>
    <row r="339">
      <c r="A339" s="228"/>
      <c r="B339" s="225"/>
      <c r="C339" s="225"/>
      <c r="D339" s="225"/>
      <c r="E339" s="225"/>
      <c r="F339" s="227"/>
      <c r="G339" s="227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</row>
    <row r="340">
      <c r="A340" s="228"/>
      <c r="B340" s="225"/>
      <c r="C340" s="225"/>
      <c r="D340" s="225"/>
      <c r="E340" s="225"/>
      <c r="F340" s="227"/>
      <c r="G340" s="227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</row>
    <row r="341">
      <c r="A341" s="228"/>
      <c r="B341" s="225"/>
      <c r="C341" s="225"/>
      <c r="D341" s="225"/>
      <c r="E341" s="225"/>
      <c r="F341" s="227"/>
      <c r="G341" s="227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</row>
    <row r="342">
      <c r="A342" s="228"/>
      <c r="B342" s="225"/>
      <c r="C342" s="225"/>
      <c r="D342" s="225"/>
      <c r="E342" s="225"/>
      <c r="F342" s="227"/>
      <c r="G342" s="227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</row>
    <row r="343">
      <c r="A343" s="228"/>
      <c r="B343" s="225"/>
      <c r="C343" s="225"/>
      <c r="D343" s="225"/>
      <c r="E343" s="225"/>
      <c r="F343" s="227"/>
      <c r="G343" s="227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</row>
    <row r="344">
      <c r="A344" s="228"/>
      <c r="B344" s="225"/>
      <c r="C344" s="225"/>
      <c r="D344" s="225"/>
      <c r="E344" s="225"/>
      <c r="F344" s="227"/>
      <c r="G344" s="227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</row>
    <row r="345">
      <c r="A345" s="228"/>
      <c r="B345" s="225"/>
      <c r="C345" s="225"/>
      <c r="D345" s="225"/>
      <c r="E345" s="225"/>
      <c r="F345" s="227"/>
      <c r="G345" s="227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</row>
    <row r="346">
      <c r="A346" s="228"/>
      <c r="B346" s="225"/>
      <c r="C346" s="225"/>
      <c r="D346" s="225"/>
      <c r="E346" s="225"/>
      <c r="F346" s="227"/>
      <c r="G346" s="227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</row>
    <row r="347">
      <c r="A347" s="228"/>
      <c r="B347" s="225"/>
      <c r="C347" s="225"/>
      <c r="D347" s="225"/>
      <c r="E347" s="225"/>
      <c r="F347" s="227"/>
      <c r="G347" s="227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</row>
    <row r="348">
      <c r="A348" s="228"/>
      <c r="B348" s="225"/>
      <c r="C348" s="225"/>
      <c r="D348" s="225"/>
      <c r="E348" s="225"/>
      <c r="F348" s="227"/>
      <c r="G348" s="227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</row>
    <row r="349">
      <c r="A349" s="228"/>
      <c r="B349" s="225"/>
      <c r="C349" s="225"/>
      <c r="D349" s="225"/>
      <c r="E349" s="225"/>
      <c r="F349" s="227"/>
      <c r="G349" s="227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</row>
    <row r="350">
      <c r="A350" s="228"/>
      <c r="B350" s="225"/>
      <c r="C350" s="225"/>
      <c r="D350" s="225"/>
      <c r="E350" s="225"/>
      <c r="F350" s="227"/>
      <c r="G350" s="227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</row>
    <row r="351">
      <c r="A351" s="228"/>
      <c r="B351" s="225"/>
      <c r="C351" s="225"/>
      <c r="D351" s="225"/>
      <c r="E351" s="225"/>
      <c r="F351" s="227"/>
      <c r="G351" s="227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</row>
    <row r="352">
      <c r="A352" s="228"/>
      <c r="B352" s="225"/>
      <c r="C352" s="225"/>
      <c r="D352" s="225"/>
      <c r="E352" s="225"/>
      <c r="F352" s="227"/>
      <c r="G352" s="227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</row>
    <row r="353">
      <c r="A353" s="228"/>
      <c r="B353" s="225"/>
      <c r="C353" s="225"/>
      <c r="D353" s="225"/>
      <c r="E353" s="225"/>
      <c r="F353" s="227"/>
      <c r="G353" s="227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</row>
    <row r="354">
      <c r="A354" s="228"/>
      <c r="B354" s="225"/>
      <c r="C354" s="225"/>
      <c r="D354" s="225"/>
      <c r="E354" s="225"/>
      <c r="F354" s="227"/>
      <c r="G354" s="227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</row>
    <row r="355">
      <c r="A355" s="228"/>
      <c r="B355" s="225"/>
      <c r="C355" s="225"/>
      <c r="D355" s="225"/>
      <c r="E355" s="225"/>
      <c r="F355" s="227"/>
      <c r="G355" s="227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</row>
    <row r="356">
      <c r="A356" s="228"/>
      <c r="B356" s="225"/>
      <c r="C356" s="225"/>
      <c r="D356" s="225"/>
      <c r="E356" s="225"/>
      <c r="F356" s="227"/>
      <c r="G356" s="227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</row>
    <row r="357">
      <c r="A357" s="228"/>
      <c r="B357" s="225"/>
      <c r="C357" s="225"/>
      <c r="D357" s="225"/>
      <c r="E357" s="225"/>
      <c r="F357" s="227"/>
      <c r="G357" s="227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</row>
    <row r="358">
      <c r="A358" s="228"/>
      <c r="B358" s="225"/>
      <c r="C358" s="225"/>
      <c r="D358" s="225"/>
      <c r="E358" s="225"/>
      <c r="F358" s="227"/>
      <c r="G358" s="227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</row>
    <row r="359">
      <c r="A359" s="228"/>
      <c r="B359" s="225"/>
      <c r="C359" s="225"/>
      <c r="D359" s="225"/>
      <c r="E359" s="225"/>
      <c r="F359" s="227"/>
      <c r="G359" s="227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</row>
    <row r="360">
      <c r="A360" s="228"/>
      <c r="B360" s="225"/>
      <c r="C360" s="225"/>
      <c r="D360" s="225"/>
      <c r="E360" s="225"/>
      <c r="F360" s="227"/>
      <c r="G360" s="227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</row>
    <row r="361">
      <c r="A361" s="228"/>
      <c r="B361" s="225"/>
      <c r="C361" s="225"/>
      <c r="D361" s="225"/>
      <c r="E361" s="225"/>
      <c r="F361" s="227"/>
      <c r="G361" s="227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</row>
    <row r="362">
      <c r="A362" s="228"/>
      <c r="B362" s="225"/>
      <c r="C362" s="225"/>
      <c r="D362" s="225"/>
      <c r="E362" s="225"/>
      <c r="F362" s="227"/>
      <c r="G362" s="227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</row>
    <row r="363">
      <c r="A363" s="228"/>
      <c r="B363" s="225"/>
      <c r="C363" s="225"/>
      <c r="D363" s="225"/>
      <c r="E363" s="225"/>
      <c r="F363" s="227"/>
      <c r="G363" s="227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</row>
    <row r="364">
      <c r="A364" s="228"/>
      <c r="B364" s="225"/>
      <c r="C364" s="225"/>
      <c r="D364" s="225"/>
      <c r="E364" s="225"/>
      <c r="F364" s="227"/>
      <c r="G364" s="227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</row>
    <row r="365">
      <c r="A365" s="228"/>
      <c r="B365" s="225"/>
      <c r="C365" s="225"/>
      <c r="D365" s="225"/>
      <c r="E365" s="225"/>
      <c r="F365" s="227"/>
      <c r="G365" s="227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</row>
    <row r="366">
      <c r="A366" s="228"/>
      <c r="B366" s="225"/>
      <c r="C366" s="225"/>
      <c r="D366" s="225"/>
      <c r="E366" s="225"/>
      <c r="F366" s="227"/>
      <c r="G366" s="227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</row>
    <row r="367">
      <c r="A367" s="228"/>
      <c r="B367" s="225"/>
      <c r="C367" s="225"/>
      <c r="D367" s="225"/>
      <c r="E367" s="225"/>
      <c r="F367" s="227"/>
      <c r="G367" s="227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</row>
    <row r="368">
      <c r="A368" s="228"/>
      <c r="B368" s="225"/>
      <c r="C368" s="225"/>
      <c r="D368" s="225"/>
      <c r="E368" s="225"/>
      <c r="F368" s="227"/>
      <c r="G368" s="227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</row>
    <row r="369">
      <c r="A369" s="228"/>
      <c r="B369" s="225"/>
      <c r="C369" s="225"/>
      <c r="D369" s="225"/>
      <c r="E369" s="225"/>
      <c r="F369" s="227"/>
      <c r="G369" s="227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</row>
    <row r="370">
      <c r="A370" s="228"/>
      <c r="B370" s="225"/>
      <c r="C370" s="225"/>
      <c r="D370" s="225"/>
      <c r="E370" s="225"/>
      <c r="F370" s="227"/>
      <c r="G370" s="227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</row>
    <row r="371">
      <c r="A371" s="228"/>
      <c r="B371" s="225"/>
      <c r="C371" s="225"/>
      <c r="D371" s="225"/>
      <c r="E371" s="225"/>
      <c r="F371" s="227"/>
      <c r="G371" s="227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</row>
    <row r="372">
      <c r="A372" s="228"/>
      <c r="B372" s="225"/>
      <c r="C372" s="225"/>
      <c r="D372" s="225"/>
      <c r="E372" s="225"/>
      <c r="F372" s="227"/>
      <c r="G372" s="227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</row>
    <row r="373">
      <c r="A373" s="228"/>
      <c r="B373" s="225"/>
      <c r="C373" s="225"/>
      <c r="D373" s="225"/>
      <c r="E373" s="225"/>
      <c r="F373" s="227"/>
      <c r="G373" s="227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</row>
    <row r="374">
      <c r="A374" s="228"/>
      <c r="B374" s="225"/>
      <c r="C374" s="225"/>
      <c r="D374" s="225"/>
      <c r="E374" s="225"/>
      <c r="F374" s="227"/>
      <c r="G374" s="227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</row>
    <row r="375">
      <c r="A375" s="228"/>
      <c r="B375" s="225"/>
      <c r="C375" s="225"/>
      <c r="D375" s="225"/>
      <c r="E375" s="225"/>
      <c r="F375" s="227"/>
      <c r="G375" s="227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</row>
    <row r="376">
      <c r="A376" s="228"/>
      <c r="B376" s="225"/>
      <c r="C376" s="225"/>
      <c r="D376" s="225"/>
      <c r="E376" s="225"/>
      <c r="F376" s="227"/>
      <c r="G376" s="227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</row>
    <row r="377">
      <c r="A377" s="228"/>
      <c r="B377" s="225"/>
      <c r="C377" s="225"/>
      <c r="D377" s="225"/>
      <c r="E377" s="225"/>
      <c r="F377" s="227"/>
      <c r="G377" s="227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</row>
    <row r="378">
      <c r="A378" s="228"/>
      <c r="B378" s="225"/>
      <c r="C378" s="225"/>
      <c r="D378" s="225"/>
      <c r="E378" s="225"/>
      <c r="F378" s="227"/>
      <c r="G378" s="227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</row>
    <row r="379">
      <c r="A379" s="228"/>
      <c r="B379" s="225"/>
      <c r="C379" s="225"/>
      <c r="D379" s="225"/>
      <c r="E379" s="225"/>
      <c r="F379" s="227"/>
      <c r="G379" s="227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</row>
    <row r="380">
      <c r="A380" s="228"/>
      <c r="B380" s="225"/>
      <c r="C380" s="225"/>
      <c r="D380" s="225"/>
      <c r="E380" s="225"/>
      <c r="F380" s="227"/>
      <c r="G380" s="227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</row>
    <row r="381">
      <c r="A381" s="228"/>
      <c r="B381" s="225"/>
      <c r="C381" s="225"/>
      <c r="D381" s="225"/>
      <c r="E381" s="225"/>
      <c r="F381" s="227"/>
      <c r="G381" s="227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</row>
    <row r="382">
      <c r="A382" s="228"/>
      <c r="B382" s="225"/>
      <c r="C382" s="225"/>
      <c r="D382" s="225"/>
      <c r="E382" s="225"/>
      <c r="F382" s="227"/>
      <c r="G382" s="227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</row>
    <row r="383">
      <c r="A383" s="228"/>
      <c r="B383" s="225"/>
      <c r="C383" s="225"/>
      <c r="D383" s="225"/>
      <c r="E383" s="225"/>
      <c r="F383" s="227"/>
      <c r="G383" s="227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</row>
    <row r="384">
      <c r="A384" s="228"/>
      <c r="B384" s="225"/>
      <c r="C384" s="225"/>
      <c r="D384" s="225"/>
      <c r="E384" s="225"/>
      <c r="F384" s="227"/>
      <c r="G384" s="227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</row>
    <row r="385">
      <c r="A385" s="228"/>
      <c r="B385" s="225"/>
      <c r="C385" s="225"/>
      <c r="D385" s="225"/>
      <c r="E385" s="225"/>
      <c r="F385" s="227"/>
      <c r="G385" s="227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</row>
    <row r="386">
      <c r="A386" s="228"/>
      <c r="B386" s="225"/>
      <c r="C386" s="225"/>
      <c r="D386" s="225"/>
      <c r="E386" s="225"/>
      <c r="F386" s="227"/>
      <c r="G386" s="227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</row>
    <row r="387">
      <c r="A387" s="228"/>
      <c r="B387" s="225"/>
      <c r="C387" s="225"/>
      <c r="D387" s="225"/>
      <c r="E387" s="225"/>
      <c r="F387" s="227"/>
      <c r="G387" s="227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</row>
    <row r="388">
      <c r="A388" s="228"/>
      <c r="B388" s="225"/>
      <c r="C388" s="225"/>
      <c r="D388" s="225"/>
      <c r="E388" s="225"/>
      <c r="F388" s="227"/>
      <c r="G388" s="227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</row>
    <row r="389">
      <c r="A389" s="228"/>
      <c r="B389" s="225"/>
      <c r="C389" s="225"/>
      <c r="D389" s="225"/>
      <c r="E389" s="225"/>
      <c r="F389" s="227"/>
      <c r="G389" s="227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</row>
    <row r="390">
      <c r="A390" s="228"/>
      <c r="B390" s="225"/>
      <c r="C390" s="225"/>
      <c r="D390" s="225"/>
      <c r="E390" s="225"/>
      <c r="F390" s="227"/>
      <c r="G390" s="227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</row>
    <row r="391">
      <c r="A391" s="228"/>
      <c r="B391" s="225"/>
      <c r="C391" s="225"/>
      <c r="D391" s="225"/>
      <c r="E391" s="225"/>
      <c r="F391" s="227"/>
      <c r="G391" s="227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</row>
    <row r="392">
      <c r="A392" s="228"/>
      <c r="B392" s="225"/>
      <c r="C392" s="225"/>
      <c r="D392" s="225"/>
      <c r="E392" s="225"/>
      <c r="F392" s="227"/>
      <c r="G392" s="227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</row>
    <row r="393">
      <c r="A393" s="228"/>
      <c r="B393" s="225"/>
      <c r="C393" s="225"/>
      <c r="D393" s="225"/>
      <c r="E393" s="225"/>
      <c r="F393" s="227"/>
      <c r="G393" s="227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</row>
    <row r="394">
      <c r="A394" s="228"/>
      <c r="B394" s="225"/>
      <c r="C394" s="225"/>
      <c r="D394" s="225"/>
      <c r="E394" s="225"/>
      <c r="F394" s="227"/>
      <c r="G394" s="227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</row>
    <row r="395">
      <c r="A395" s="228"/>
      <c r="B395" s="225"/>
      <c r="C395" s="225"/>
      <c r="D395" s="225"/>
      <c r="E395" s="225"/>
      <c r="F395" s="227"/>
      <c r="G395" s="227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</row>
    <row r="396">
      <c r="A396" s="228"/>
      <c r="B396" s="225"/>
      <c r="C396" s="225"/>
      <c r="D396" s="225"/>
      <c r="E396" s="225"/>
      <c r="F396" s="227"/>
      <c r="G396" s="227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</row>
    <row r="397">
      <c r="A397" s="228"/>
      <c r="B397" s="225"/>
      <c r="C397" s="225"/>
      <c r="D397" s="225"/>
      <c r="E397" s="225"/>
      <c r="F397" s="227"/>
      <c r="G397" s="227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</row>
    <row r="398">
      <c r="A398" s="228"/>
      <c r="B398" s="225"/>
      <c r="C398" s="225"/>
      <c r="D398" s="225"/>
      <c r="E398" s="225"/>
      <c r="F398" s="227"/>
      <c r="G398" s="227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</row>
    <row r="399">
      <c r="A399" s="228"/>
      <c r="B399" s="225"/>
      <c r="C399" s="225"/>
      <c r="D399" s="225"/>
      <c r="E399" s="225"/>
      <c r="F399" s="227"/>
      <c r="G399" s="227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</row>
    <row r="400">
      <c r="A400" s="228"/>
      <c r="B400" s="225"/>
      <c r="C400" s="225"/>
      <c r="D400" s="225"/>
      <c r="E400" s="225"/>
      <c r="F400" s="227"/>
      <c r="G400" s="227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</row>
    <row r="401">
      <c r="A401" s="228"/>
      <c r="B401" s="225"/>
      <c r="C401" s="225"/>
      <c r="D401" s="225"/>
      <c r="E401" s="225"/>
      <c r="F401" s="227"/>
      <c r="G401" s="227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</row>
    <row r="402">
      <c r="A402" s="228"/>
      <c r="B402" s="225"/>
      <c r="C402" s="225"/>
      <c r="D402" s="225"/>
      <c r="E402" s="225"/>
      <c r="F402" s="227"/>
      <c r="G402" s="227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</row>
    <row r="403">
      <c r="A403" s="228"/>
      <c r="B403" s="225"/>
      <c r="C403" s="225"/>
      <c r="D403" s="225"/>
      <c r="E403" s="225"/>
      <c r="F403" s="227"/>
      <c r="G403" s="227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</row>
    <row r="404">
      <c r="A404" s="228"/>
      <c r="B404" s="225"/>
      <c r="C404" s="225"/>
      <c r="D404" s="225"/>
      <c r="E404" s="225"/>
      <c r="F404" s="227"/>
      <c r="G404" s="227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</row>
    <row r="405">
      <c r="A405" s="228"/>
      <c r="B405" s="225"/>
      <c r="C405" s="225"/>
      <c r="D405" s="225"/>
      <c r="E405" s="225"/>
      <c r="F405" s="227"/>
      <c r="G405" s="227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</row>
    <row r="406">
      <c r="A406" s="228"/>
      <c r="B406" s="225"/>
      <c r="C406" s="225"/>
      <c r="D406" s="225"/>
      <c r="E406" s="225"/>
      <c r="F406" s="227"/>
      <c r="G406" s="227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</row>
    <row r="407">
      <c r="A407" s="228"/>
      <c r="B407" s="225"/>
      <c r="C407" s="225"/>
      <c r="D407" s="225"/>
      <c r="E407" s="225"/>
      <c r="F407" s="227"/>
      <c r="G407" s="227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</row>
    <row r="408">
      <c r="A408" s="228"/>
      <c r="B408" s="225"/>
      <c r="C408" s="225"/>
      <c r="D408" s="225"/>
      <c r="E408" s="225"/>
      <c r="F408" s="227"/>
      <c r="G408" s="227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</row>
    <row r="409">
      <c r="A409" s="228"/>
      <c r="B409" s="225"/>
      <c r="C409" s="225"/>
      <c r="D409" s="225"/>
      <c r="E409" s="225"/>
      <c r="F409" s="227"/>
      <c r="G409" s="227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</row>
    <row r="410">
      <c r="A410" s="228"/>
      <c r="B410" s="225"/>
      <c r="C410" s="225"/>
      <c r="D410" s="225"/>
      <c r="E410" s="225"/>
      <c r="F410" s="227"/>
      <c r="G410" s="227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</row>
    <row r="411">
      <c r="A411" s="228"/>
      <c r="B411" s="225"/>
      <c r="C411" s="225"/>
      <c r="D411" s="225"/>
      <c r="E411" s="225"/>
      <c r="F411" s="227"/>
      <c r="G411" s="227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</row>
    <row r="412">
      <c r="A412" s="228"/>
      <c r="B412" s="225"/>
      <c r="C412" s="225"/>
      <c r="D412" s="225"/>
      <c r="E412" s="225"/>
      <c r="F412" s="227"/>
      <c r="G412" s="227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</row>
    <row r="413">
      <c r="A413" s="228"/>
      <c r="B413" s="225"/>
      <c r="C413" s="225"/>
      <c r="D413" s="225"/>
      <c r="E413" s="225"/>
      <c r="F413" s="227"/>
      <c r="G413" s="227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</row>
    <row r="414">
      <c r="A414" s="228"/>
      <c r="B414" s="225"/>
      <c r="C414" s="225"/>
      <c r="D414" s="225"/>
      <c r="E414" s="225"/>
      <c r="F414" s="227"/>
      <c r="G414" s="227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</row>
    <row r="415">
      <c r="A415" s="228"/>
      <c r="B415" s="225"/>
      <c r="C415" s="225"/>
      <c r="D415" s="225"/>
      <c r="E415" s="225"/>
      <c r="F415" s="227"/>
      <c r="G415" s="227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</row>
    <row r="416">
      <c r="A416" s="228"/>
      <c r="B416" s="225"/>
      <c r="C416" s="225"/>
      <c r="D416" s="225"/>
      <c r="E416" s="225"/>
      <c r="F416" s="227"/>
      <c r="G416" s="227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</row>
    <row r="417">
      <c r="A417" s="228"/>
      <c r="B417" s="225"/>
      <c r="C417" s="225"/>
      <c r="D417" s="225"/>
      <c r="E417" s="225"/>
      <c r="F417" s="227"/>
      <c r="G417" s="227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</row>
    <row r="418">
      <c r="A418" s="228"/>
      <c r="B418" s="225"/>
      <c r="C418" s="225"/>
      <c r="D418" s="225"/>
      <c r="E418" s="225"/>
      <c r="F418" s="227"/>
      <c r="G418" s="227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</row>
    <row r="419">
      <c r="A419" s="228"/>
      <c r="B419" s="225"/>
      <c r="C419" s="225"/>
      <c r="D419" s="225"/>
      <c r="E419" s="225"/>
      <c r="F419" s="227"/>
      <c r="G419" s="227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</row>
    <row r="420">
      <c r="A420" s="228"/>
      <c r="B420" s="225"/>
      <c r="C420" s="225"/>
      <c r="D420" s="225"/>
      <c r="E420" s="225"/>
      <c r="F420" s="227"/>
      <c r="G420" s="227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</row>
    <row r="421">
      <c r="A421" s="228"/>
      <c r="B421" s="225"/>
      <c r="C421" s="225"/>
      <c r="D421" s="225"/>
      <c r="E421" s="225"/>
      <c r="F421" s="227"/>
      <c r="G421" s="227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</row>
    <row r="422">
      <c r="A422" s="228"/>
      <c r="B422" s="225"/>
      <c r="C422" s="225"/>
      <c r="D422" s="225"/>
      <c r="E422" s="225"/>
      <c r="F422" s="227"/>
      <c r="G422" s="227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</row>
    <row r="423">
      <c r="A423" s="228"/>
      <c r="B423" s="225"/>
      <c r="C423" s="225"/>
      <c r="D423" s="225"/>
      <c r="E423" s="225"/>
      <c r="F423" s="227"/>
      <c r="G423" s="227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</row>
    <row r="424">
      <c r="A424" s="228"/>
      <c r="B424" s="225"/>
      <c r="C424" s="225"/>
      <c r="D424" s="225"/>
      <c r="E424" s="225"/>
      <c r="F424" s="227"/>
      <c r="G424" s="227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</row>
    <row r="425">
      <c r="A425" s="228"/>
      <c r="B425" s="225"/>
      <c r="C425" s="225"/>
      <c r="D425" s="225"/>
      <c r="E425" s="225"/>
      <c r="F425" s="227"/>
      <c r="G425" s="227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</row>
    <row r="426">
      <c r="A426" s="228"/>
      <c r="B426" s="225"/>
      <c r="C426" s="225"/>
      <c r="D426" s="225"/>
      <c r="E426" s="225"/>
      <c r="F426" s="227"/>
      <c r="G426" s="227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</row>
    <row r="427">
      <c r="A427" s="228"/>
      <c r="B427" s="225"/>
      <c r="C427" s="225"/>
      <c r="D427" s="225"/>
      <c r="E427" s="225"/>
      <c r="F427" s="227"/>
      <c r="G427" s="227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</row>
    <row r="428">
      <c r="A428" s="228"/>
      <c r="B428" s="225"/>
      <c r="C428" s="225"/>
      <c r="D428" s="225"/>
      <c r="E428" s="225"/>
      <c r="F428" s="227"/>
      <c r="G428" s="227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</row>
    <row r="429">
      <c r="A429" s="228"/>
      <c r="B429" s="225"/>
      <c r="C429" s="225"/>
      <c r="D429" s="225"/>
      <c r="E429" s="225"/>
      <c r="F429" s="227"/>
      <c r="G429" s="227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</row>
    <row r="430">
      <c r="A430" s="228"/>
      <c r="B430" s="225"/>
      <c r="C430" s="225"/>
      <c r="D430" s="225"/>
      <c r="E430" s="225"/>
      <c r="F430" s="227"/>
      <c r="G430" s="227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</row>
    <row r="431">
      <c r="A431" s="228"/>
      <c r="B431" s="225"/>
      <c r="C431" s="225"/>
      <c r="D431" s="225"/>
      <c r="E431" s="225"/>
      <c r="F431" s="227"/>
      <c r="G431" s="227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</row>
    <row r="432">
      <c r="A432" s="228"/>
      <c r="B432" s="225"/>
      <c r="C432" s="225"/>
      <c r="D432" s="225"/>
      <c r="E432" s="225"/>
      <c r="F432" s="227"/>
      <c r="G432" s="227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</row>
    <row r="433">
      <c r="A433" s="228"/>
      <c r="B433" s="225"/>
      <c r="C433" s="225"/>
      <c r="D433" s="225"/>
      <c r="E433" s="225"/>
      <c r="F433" s="227"/>
      <c r="G433" s="227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</row>
    <row r="434">
      <c r="A434" s="228"/>
      <c r="B434" s="225"/>
      <c r="C434" s="225"/>
      <c r="D434" s="225"/>
      <c r="E434" s="225"/>
      <c r="F434" s="227"/>
      <c r="G434" s="227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</row>
    <row r="435">
      <c r="A435" s="228"/>
      <c r="B435" s="225"/>
      <c r="C435" s="225"/>
      <c r="D435" s="225"/>
      <c r="E435" s="225"/>
      <c r="F435" s="227"/>
      <c r="G435" s="227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</row>
    <row r="436">
      <c r="A436" s="228"/>
      <c r="B436" s="225"/>
      <c r="C436" s="225"/>
      <c r="D436" s="225"/>
      <c r="E436" s="225"/>
      <c r="F436" s="227"/>
      <c r="G436" s="227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</row>
    <row r="437">
      <c r="A437" s="228"/>
      <c r="B437" s="225"/>
      <c r="C437" s="225"/>
      <c r="D437" s="225"/>
      <c r="E437" s="225"/>
      <c r="F437" s="227"/>
      <c r="G437" s="227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</row>
    <row r="438">
      <c r="A438" s="228"/>
      <c r="B438" s="225"/>
      <c r="C438" s="225"/>
      <c r="D438" s="225"/>
      <c r="E438" s="225"/>
      <c r="F438" s="227"/>
      <c r="G438" s="227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</row>
    <row r="439">
      <c r="A439" s="228"/>
      <c r="B439" s="225"/>
      <c r="C439" s="225"/>
      <c r="D439" s="225"/>
      <c r="E439" s="225"/>
      <c r="F439" s="227"/>
      <c r="G439" s="227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</row>
    <row r="440">
      <c r="A440" s="228"/>
      <c r="B440" s="225"/>
      <c r="C440" s="225"/>
      <c r="D440" s="225"/>
      <c r="E440" s="225"/>
      <c r="F440" s="227"/>
      <c r="G440" s="227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</row>
    <row r="441">
      <c r="A441" s="228"/>
      <c r="B441" s="225"/>
      <c r="C441" s="225"/>
      <c r="D441" s="225"/>
      <c r="E441" s="225"/>
      <c r="F441" s="227"/>
      <c r="G441" s="227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</row>
    <row r="442">
      <c r="A442" s="228"/>
      <c r="B442" s="225"/>
      <c r="C442" s="225"/>
      <c r="D442" s="225"/>
      <c r="E442" s="225"/>
      <c r="F442" s="227"/>
      <c r="G442" s="227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</row>
    <row r="443">
      <c r="A443" s="228"/>
      <c r="B443" s="225"/>
      <c r="C443" s="225"/>
      <c r="D443" s="225"/>
      <c r="E443" s="225"/>
      <c r="F443" s="227"/>
      <c r="G443" s="227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</row>
    <row r="444">
      <c r="A444" s="228"/>
      <c r="B444" s="225"/>
      <c r="C444" s="225"/>
      <c r="D444" s="225"/>
      <c r="E444" s="225"/>
      <c r="F444" s="227"/>
      <c r="G444" s="227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</row>
    <row r="445">
      <c r="A445" s="228"/>
      <c r="B445" s="225"/>
      <c r="C445" s="225"/>
      <c r="D445" s="225"/>
      <c r="E445" s="225"/>
      <c r="F445" s="227"/>
      <c r="G445" s="227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</row>
    <row r="446">
      <c r="A446" s="228"/>
      <c r="B446" s="225"/>
      <c r="C446" s="225"/>
      <c r="D446" s="225"/>
      <c r="E446" s="225"/>
      <c r="F446" s="227"/>
      <c r="G446" s="227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</row>
    <row r="447">
      <c r="A447" s="228"/>
      <c r="B447" s="225"/>
      <c r="C447" s="225"/>
      <c r="D447" s="225"/>
      <c r="E447" s="225"/>
      <c r="F447" s="227"/>
      <c r="G447" s="227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</row>
    <row r="448">
      <c r="A448" s="228"/>
      <c r="B448" s="225"/>
      <c r="C448" s="225"/>
      <c r="D448" s="225"/>
      <c r="E448" s="225"/>
      <c r="F448" s="227"/>
      <c r="G448" s="227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</row>
    <row r="449">
      <c r="A449" s="228"/>
      <c r="B449" s="225"/>
      <c r="C449" s="225"/>
      <c r="D449" s="225"/>
      <c r="E449" s="225"/>
      <c r="F449" s="227"/>
      <c r="G449" s="227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</row>
    <row r="450">
      <c r="A450" s="228"/>
      <c r="B450" s="225"/>
      <c r="C450" s="225"/>
      <c r="D450" s="225"/>
      <c r="E450" s="225"/>
      <c r="F450" s="227"/>
      <c r="G450" s="227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</row>
    <row r="451">
      <c r="A451" s="228"/>
      <c r="B451" s="225"/>
      <c r="C451" s="225"/>
      <c r="D451" s="225"/>
      <c r="E451" s="225"/>
      <c r="F451" s="227"/>
      <c r="G451" s="227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</row>
    <row r="452">
      <c r="A452" s="228"/>
      <c r="B452" s="225"/>
      <c r="C452" s="225"/>
      <c r="D452" s="225"/>
      <c r="E452" s="225"/>
      <c r="F452" s="227"/>
      <c r="G452" s="227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</row>
    <row r="453">
      <c r="A453" s="228"/>
      <c r="B453" s="225"/>
      <c r="C453" s="225"/>
      <c r="D453" s="225"/>
      <c r="E453" s="225"/>
      <c r="F453" s="227"/>
      <c r="G453" s="227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</row>
    <row r="454">
      <c r="A454" s="228"/>
      <c r="B454" s="225"/>
      <c r="C454" s="225"/>
      <c r="D454" s="225"/>
      <c r="E454" s="225"/>
      <c r="F454" s="227"/>
      <c r="G454" s="227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</row>
    <row r="455">
      <c r="A455" s="228"/>
      <c r="B455" s="225"/>
      <c r="C455" s="225"/>
      <c r="D455" s="225"/>
      <c r="E455" s="225"/>
      <c r="F455" s="227"/>
      <c r="G455" s="227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</row>
    <row r="456">
      <c r="A456" s="228"/>
      <c r="B456" s="225"/>
      <c r="C456" s="225"/>
      <c r="D456" s="225"/>
      <c r="E456" s="225"/>
      <c r="F456" s="227"/>
      <c r="G456" s="227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</row>
    <row r="457">
      <c r="A457" s="228"/>
      <c r="B457" s="225"/>
      <c r="C457" s="225"/>
      <c r="D457" s="225"/>
      <c r="E457" s="225"/>
      <c r="F457" s="227"/>
      <c r="G457" s="227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</row>
    <row r="458">
      <c r="A458" s="228"/>
      <c r="B458" s="225"/>
      <c r="C458" s="225"/>
      <c r="D458" s="225"/>
      <c r="E458" s="225"/>
      <c r="F458" s="227"/>
      <c r="G458" s="227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</row>
    <row r="459">
      <c r="A459" s="228"/>
      <c r="B459" s="225"/>
      <c r="C459" s="225"/>
      <c r="D459" s="225"/>
      <c r="E459" s="225"/>
      <c r="F459" s="227"/>
      <c r="G459" s="227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</row>
    <row r="460">
      <c r="A460" s="228"/>
      <c r="B460" s="225"/>
      <c r="C460" s="225"/>
      <c r="D460" s="225"/>
      <c r="E460" s="225"/>
      <c r="F460" s="227"/>
      <c r="G460" s="227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</row>
    <row r="461">
      <c r="A461" s="228"/>
      <c r="B461" s="225"/>
      <c r="C461" s="225"/>
      <c r="D461" s="225"/>
      <c r="E461" s="225"/>
      <c r="F461" s="227"/>
      <c r="G461" s="227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</row>
    <row r="462">
      <c r="A462" s="228"/>
      <c r="B462" s="225"/>
      <c r="C462" s="225"/>
      <c r="D462" s="225"/>
      <c r="E462" s="225"/>
      <c r="F462" s="227"/>
      <c r="G462" s="227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</row>
    <row r="463">
      <c r="A463" s="228"/>
      <c r="B463" s="225"/>
      <c r="C463" s="225"/>
      <c r="D463" s="225"/>
      <c r="E463" s="225"/>
      <c r="F463" s="227"/>
      <c r="G463" s="227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</row>
    <row r="464">
      <c r="A464" s="228"/>
      <c r="B464" s="225"/>
      <c r="C464" s="225"/>
      <c r="D464" s="225"/>
      <c r="E464" s="225"/>
      <c r="F464" s="227"/>
      <c r="G464" s="227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</row>
    <row r="465">
      <c r="A465" s="228"/>
      <c r="B465" s="225"/>
      <c r="C465" s="225"/>
      <c r="D465" s="225"/>
      <c r="E465" s="225"/>
      <c r="F465" s="227"/>
      <c r="G465" s="227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</row>
    <row r="466">
      <c r="A466" s="228"/>
      <c r="B466" s="225"/>
      <c r="C466" s="225"/>
      <c r="D466" s="225"/>
      <c r="E466" s="225"/>
      <c r="F466" s="227"/>
      <c r="G466" s="227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</row>
    <row r="467">
      <c r="A467" s="228"/>
      <c r="B467" s="225"/>
      <c r="C467" s="225"/>
      <c r="D467" s="225"/>
      <c r="E467" s="225"/>
      <c r="F467" s="227"/>
      <c r="G467" s="227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</row>
    <row r="468">
      <c r="A468" s="228"/>
      <c r="B468" s="225"/>
      <c r="C468" s="225"/>
      <c r="D468" s="225"/>
      <c r="E468" s="225"/>
      <c r="F468" s="227"/>
      <c r="G468" s="227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</row>
    <row r="469">
      <c r="A469" s="228"/>
      <c r="B469" s="225"/>
      <c r="C469" s="225"/>
      <c r="D469" s="225"/>
      <c r="E469" s="225"/>
      <c r="F469" s="227"/>
      <c r="G469" s="227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</row>
    <row r="470">
      <c r="A470" s="228"/>
      <c r="B470" s="225"/>
      <c r="C470" s="225"/>
      <c r="D470" s="225"/>
      <c r="E470" s="225"/>
      <c r="F470" s="227"/>
      <c r="G470" s="227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</row>
    <row r="471">
      <c r="A471" s="228"/>
      <c r="B471" s="225"/>
      <c r="C471" s="225"/>
      <c r="D471" s="225"/>
      <c r="E471" s="225"/>
      <c r="F471" s="227"/>
      <c r="G471" s="227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</row>
    <row r="472">
      <c r="A472" s="228"/>
      <c r="B472" s="225"/>
      <c r="C472" s="225"/>
      <c r="D472" s="225"/>
      <c r="E472" s="225"/>
      <c r="F472" s="227"/>
      <c r="G472" s="227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</row>
    <row r="473">
      <c r="A473" s="228"/>
      <c r="B473" s="225"/>
      <c r="C473" s="225"/>
      <c r="D473" s="225"/>
      <c r="E473" s="225"/>
      <c r="F473" s="227"/>
      <c r="G473" s="227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</row>
    <row r="474">
      <c r="A474" s="228"/>
      <c r="B474" s="225"/>
      <c r="C474" s="225"/>
      <c r="D474" s="225"/>
      <c r="E474" s="225"/>
      <c r="F474" s="227"/>
      <c r="G474" s="227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</row>
    <row r="475">
      <c r="A475" s="228"/>
      <c r="B475" s="225"/>
      <c r="C475" s="225"/>
      <c r="D475" s="225"/>
      <c r="E475" s="225"/>
      <c r="F475" s="227"/>
      <c r="G475" s="227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</row>
    <row r="476">
      <c r="A476" s="228"/>
      <c r="B476" s="225"/>
      <c r="C476" s="225"/>
      <c r="D476" s="225"/>
      <c r="E476" s="225"/>
      <c r="F476" s="227"/>
      <c r="G476" s="227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</row>
    <row r="477">
      <c r="A477" s="228"/>
      <c r="B477" s="225"/>
      <c r="C477" s="225"/>
      <c r="D477" s="225"/>
      <c r="E477" s="225"/>
      <c r="F477" s="227"/>
      <c r="G477" s="227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</row>
    <row r="478">
      <c r="A478" s="228"/>
      <c r="B478" s="225"/>
      <c r="C478" s="225"/>
      <c r="D478" s="225"/>
      <c r="E478" s="225"/>
      <c r="F478" s="227"/>
      <c r="G478" s="227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</row>
    <row r="479">
      <c r="A479" s="228"/>
      <c r="B479" s="225"/>
      <c r="C479" s="225"/>
      <c r="D479" s="225"/>
      <c r="E479" s="225"/>
      <c r="F479" s="227"/>
      <c r="G479" s="227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</row>
    <row r="480">
      <c r="A480" s="228"/>
      <c r="B480" s="225"/>
      <c r="C480" s="225"/>
      <c r="D480" s="225"/>
      <c r="E480" s="225"/>
      <c r="F480" s="227"/>
      <c r="G480" s="227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</row>
    <row r="481">
      <c r="A481" s="228"/>
      <c r="B481" s="225"/>
      <c r="C481" s="225"/>
      <c r="D481" s="225"/>
      <c r="E481" s="225"/>
      <c r="F481" s="227"/>
      <c r="G481" s="227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</row>
    <row r="482">
      <c r="A482" s="228"/>
      <c r="B482" s="225"/>
      <c r="C482" s="225"/>
      <c r="D482" s="225"/>
      <c r="E482" s="225"/>
      <c r="F482" s="227"/>
      <c r="G482" s="227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</row>
    <row r="483">
      <c r="A483" s="228"/>
      <c r="B483" s="225"/>
      <c r="C483" s="225"/>
      <c r="D483" s="225"/>
      <c r="E483" s="225"/>
      <c r="F483" s="227"/>
      <c r="G483" s="227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</row>
    <row r="484">
      <c r="A484" s="228"/>
      <c r="B484" s="225"/>
      <c r="C484" s="225"/>
      <c r="D484" s="225"/>
      <c r="E484" s="225"/>
      <c r="F484" s="227"/>
      <c r="G484" s="227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</row>
    <row r="485">
      <c r="A485" s="228"/>
      <c r="B485" s="225"/>
      <c r="C485" s="225"/>
      <c r="D485" s="225"/>
      <c r="E485" s="225"/>
      <c r="F485" s="227"/>
      <c r="G485" s="227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</row>
    <row r="486">
      <c r="A486" s="228"/>
      <c r="B486" s="225"/>
      <c r="C486" s="225"/>
      <c r="D486" s="225"/>
      <c r="E486" s="225"/>
      <c r="F486" s="227"/>
      <c r="G486" s="227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</row>
    <row r="487">
      <c r="A487" s="228"/>
      <c r="B487" s="225"/>
      <c r="C487" s="225"/>
      <c r="D487" s="225"/>
      <c r="E487" s="225"/>
      <c r="F487" s="227"/>
      <c r="G487" s="227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</row>
    <row r="488">
      <c r="A488" s="228"/>
      <c r="B488" s="225"/>
      <c r="C488" s="225"/>
      <c r="D488" s="225"/>
      <c r="E488" s="225"/>
      <c r="F488" s="227"/>
      <c r="G488" s="227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</row>
    <row r="489">
      <c r="A489" s="228"/>
      <c r="B489" s="225"/>
      <c r="C489" s="225"/>
      <c r="D489" s="225"/>
      <c r="E489" s="225"/>
      <c r="F489" s="227"/>
      <c r="G489" s="227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</row>
    <row r="490">
      <c r="A490" s="228"/>
      <c r="B490" s="225"/>
      <c r="C490" s="225"/>
      <c r="D490" s="225"/>
      <c r="E490" s="225"/>
      <c r="F490" s="227"/>
      <c r="G490" s="227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</row>
    <row r="491">
      <c r="A491" s="228"/>
      <c r="B491" s="225"/>
      <c r="C491" s="225"/>
      <c r="D491" s="225"/>
      <c r="E491" s="225"/>
      <c r="F491" s="227"/>
      <c r="G491" s="227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</row>
    <row r="492">
      <c r="A492" s="228"/>
      <c r="B492" s="225"/>
      <c r="C492" s="225"/>
      <c r="D492" s="225"/>
      <c r="E492" s="225"/>
      <c r="F492" s="227"/>
      <c r="G492" s="227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</row>
    <row r="493">
      <c r="A493" s="228"/>
      <c r="B493" s="225"/>
      <c r="C493" s="225"/>
      <c r="D493" s="225"/>
      <c r="E493" s="225"/>
      <c r="F493" s="227"/>
      <c r="G493" s="227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</row>
    <row r="494">
      <c r="A494" s="228"/>
      <c r="B494" s="225"/>
      <c r="C494" s="225"/>
      <c r="D494" s="225"/>
      <c r="E494" s="225"/>
      <c r="F494" s="227"/>
      <c r="G494" s="227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</row>
    <row r="495">
      <c r="A495" s="228"/>
      <c r="B495" s="225"/>
      <c r="C495" s="225"/>
      <c r="D495" s="225"/>
      <c r="E495" s="225"/>
      <c r="F495" s="227"/>
      <c r="G495" s="227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</row>
    <row r="496">
      <c r="A496" s="228"/>
      <c r="B496" s="225"/>
      <c r="C496" s="225"/>
      <c r="D496" s="225"/>
      <c r="E496" s="225"/>
      <c r="F496" s="227"/>
      <c r="G496" s="227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</row>
    <row r="497">
      <c r="A497" s="228"/>
      <c r="B497" s="225"/>
      <c r="C497" s="225"/>
      <c r="D497" s="225"/>
      <c r="E497" s="225"/>
      <c r="F497" s="227"/>
      <c r="G497" s="227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</row>
    <row r="498">
      <c r="A498" s="228"/>
      <c r="B498" s="225"/>
      <c r="C498" s="225"/>
      <c r="D498" s="225"/>
      <c r="E498" s="225"/>
      <c r="F498" s="227"/>
      <c r="G498" s="227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</row>
    <row r="499">
      <c r="A499" s="228"/>
      <c r="B499" s="225"/>
      <c r="C499" s="225"/>
      <c r="D499" s="225"/>
      <c r="E499" s="225"/>
      <c r="F499" s="227"/>
      <c r="G499" s="227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</row>
    <row r="500">
      <c r="A500" s="228"/>
      <c r="B500" s="225"/>
      <c r="C500" s="225"/>
      <c r="D500" s="225"/>
      <c r="E500" s="225"/>
      <c r="F500" s="227"/>
      <c r="G500" s="227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</row>
    <row r="501">
      <c r="A501" s="228"/>
      <c r="B501" s="225"/>
      <c r="C501" s="225"/>
      <c r="D501" s="225"/>
      <c r="E501" s="225"/>
      <c r="F501" s="227"/>
      <c r="G501" s="227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</row>
    <row r="502">
      <c r="A502" s="228"/>
      <c r="B502" s="225"/>
      <c r="C502" s="225"/>
      <c r="D502" s="225"/>
      <c r="E502" s="225"/>
      <c r="F502" s="227"/>
      <c r="G502" s="227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</row>
    <row r="503">
      <c r="A503" s="228"/>
      <c r="B503" s="225"/>
      <c r="C503" s="225"/>
      <c r="D503" s="225"/>
      <c r="E503" s="225"/>
      <c r="F503" s="227"/>
      <c r="G503" s="227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</row>
    <row r="504">
      <c r="A504" s="228"/>
      <c r="B504" s="225"/>
      <c r="C504" s="225"/>
      <c r="D504" s="225"/>
      <c r="E504" s="225"/>
      <c r="F504" s="227"/>
      <c r="G504" s="227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</row>
    <row r="505">
      <c r="A505" s="228"/>
      <c r="B505" s="225"/>
      <c r="C505" s="225"/>
      <c r="D505" s="225"/>
      <c r="E505" s="225"/>
      <c r="F505" s="227"/>
      <c r="G505" s="227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</row>
    <row r="506">
      <c r="A506" s="228"/>
      <c r="B506" s="225"/>
      <c r="C506" s="225"/>
      <c r="D506" s="225"/>
      <c r="E506" s="225"/>
      <c r="F506" s="227"/>
      <c r="G506" s="227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</row>
    <row r="507">
      <c r="A507" s="228"/>
      <c r="B507" s="225"/>
      <c r="C507" s="225"/>
      <c r="D507" s="225"/>
      <c r="E507" s="225"/>
      <c r="F507" s="227"/>
      <c r="G507" s="227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</row>
    <row r="508">
      <c r="A508" s="228"/>
      <c r="B508" s="225"/>
      <c r="C508" s="225"/>
      <c r="D508" s="225"/>
      <c r="E508" s="225"/>
      <c r="F508" s="227"/>
      <c r="G508" s="227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</row>
    <row r="509">
      <c r="A509" s="228"/>
      <c r="B509" s="225"/>
      <c r="C509" s="225"/>
      <c r="D509" s="225"/>
      <c r="E509" s="225"/>
      <c r="F509" s="227"/>
      <c r="G509" s="227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</row>
    <row r="510">
      <c r="A510" s="228"/>
      <c r="B510" s="225"/>
      <c r="C510" s="225"/>
      <c r="D510" s="225"/>
      <c r="E510" s="225"/>
      <c r="F510" s="227"/>
      <c r="G510" s="227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</row>
    <row r="511">
      <c r="A511" s="228"/>
      <c r="B511" s="225"/>
      <c r="C511" s="225"/>
      <c r="D511" s="225"/>
      <c r="E511" s="225"/>
      <c r="F511" s="227"/>
      <c r="G511" s="227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</row>
    <row r="512">
      <c r="A512" s="228"/>
      <c r="B512" s="225"/>
      <c r="C512" s="225"/>
      <c r="D512" s="225"/>
      <c r="E512" s="225"/>
      <c r="F512" s="227"/>
      <c r="G512" s="227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</row>
    <row r="513">
      <c r="A513" s="228"/>
      <c r="B513" s="225"/>
      <c r="C513" s="225"/>
      <c r="D513" s="225"/>
      <c r="E513" s="225"/>
      <c r="F513" s="227"/>
      <c r="G513" s="227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</row>
    <row r="514">
      <c r="A514" s="228"/>
      <c r="B514" s="225"/>
      <c r="C514" s="225"/>
      <c r="D514" s="225"/>
      <c r="E514" s="225"/>
      <c r="F514" s="227"/>
      <c r="G514" s="227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</row>
    <row r="515">
      <c r="A515" s="228"/>
      <c r="B515" s="225"/>
      <c r="C515" s="225"/>
      <c r="D515" s="225"/>
      <c r="E515" s="225"/>
      <c r="F515" s="227"/>
      <c r="G515" s="227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</row>
    <row r="516">
      <c r="A516" s="228"/>
      <c r="B516" s="225"/>
      <c r="C516" s="225"/>
      <c r="D516" s="225"/>
      <c r="E516" s="225"/>
      <c r="F516" s="227"/>
      <c r="G516" s="227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</row>
    <row r="517">
      <c r="A517" s="228"/>
      <c r="B517" s="225"/>
      <c r="C517" s="225"/>
      <c r="D517" s="225"/>
      <c r="E517" s="225"/>
      <c r="F517" s="227"/>
      <c r="G517" s="227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</row>
    <row r="518">
      <c r="A518" s="228"/>
      <c r="B518" s="225"/>
      <c r="C518" s="225"/>
      <c r="D518" s="225"/>
      <c r="E518" s="225"/>
      <c r="F518" s="227"/>
      <c r="G518" s="227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</row>
    <row r="519">
      <c r="A519" s="228"/>
      <c r="B519" s="225"/>
      <c r="C519" s="225"/>
      <c r="D519" s="225"/>
      <c r="E519" s="225"/>
      <c r="F519" s="227"/>
      <c r="G519" s="227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</row>
    <row r="520">
      <c r="A520" s="228"/>
      <c r="B520" s="225"/>
      <c r="C520" s="225"/>
      <c r="D520" s="225"/>
      <c r="E520" s="225"/>
      <c r="F520" s="227"/>
      <c r="G520" s="227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</row>
    <row r="521">
      <c r="A521" s="228"/>
      <c r="B521" s="225"/>
      <c r="C521" s="225"/>
      <c r="D521" s="225"/>
      <c r="E521" s="225"/>
      <c r="F521" s="227"/>
      <c r="G521" s="227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</row>
    <row r="522">
      <c r="A522" s="228"/>
      <c r="B522" s="225"/>
      <c r="C522" s="225"/>
      <c r="D522" s="225"/>
      <c r="E522" s="225"/>
      <c r="F522" s="227"/>
      <c r="G522" s="227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</row>
    <row r="523">
      <c r="A523" s="228"/>
      <c r="B523" s="225"/>
      <c r="C523" s="225"/>
      <c r="D523" s="225"/>
      <c r="E523" s="225"/>
      <c r="F523" s="227"/>
      <c r="G523" s="227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</row>
    <row r="524">
      <c r="A524" s="228"/>
      <c r="B524" s="225"/>
      <c r="C524" s="225"/>
      <c r="D524" s="225"/>
      <c r="E524" s="225"/>
      <c r="F524" s="227"/>
      <c r="G524" s="227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</row>
    <row r="525">
      <c r="A525" s="228"/>
      <c r="B525" s="225"/>
      <c r="C525" s="225"/>
      <c r="D525" s="225"/>
      <c r="E525" s="225"/>
      <c r="F525" s="227"/>
      <c r="G525" s="227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</row>
    <row r="526">
      <c r="A526" s="228"/>
      <c r="B526" s="225"/>
      <c r="C526" s="225"/>
      <c r="D526" s="225"/>
      <c r="E526" s="225"/>
      <c r="F526" s="227"/>
      <c r="G526" s="227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</row>
    <row r="527">
      <c r="A527" s="228"/>
      <c r="B527" s="225"/>
      <c r="C527" s="225"/>
      <c r="D527" s="225"/>
      <c r="E527" s="225"/>
      <c r="F527" s="227"/>
      <c r="G527" s="227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</row>
    <row r="528">
      <c r="A528" s="228"/>
      <c r="B528" s="225"/>
      <c r="C528" s="225"/>
      <c r="D528" s="225"/>
      <c r="E528" s="225"/>
      <c r="F528" s="227"/>
      <c r="G528" s="227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</row>
    <row r="529">
      <c r="A529" s="228"/>
      <c r="B529" s="225"/>
      <c r="C529" s="225"/>
      <c r="D529" s="225"/>
      <c r="E529" s="225"/>
      <c r="F529" s="227"/>
      <c r="G529" s="227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</row>
    <row r="530">
      <c r="A530" s="228"/>
      <c r="B530" s="225"/>
      <c r="C530" s="225"/>
      <c r="D530" s="225"/>
      <c r="E530" s="225"/>
      <c r="F530" s="227"/>
      <c r="G530" s="227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</row>
    <row r="531">
      <c r="A531" s="228"/>
      <c r="B531" s="225"/>
      <c r="C531" s="225"/>
      <c r="D531" s="225"/>
      <c r="E531" s="225"/>
      <c r="F531" s="227"/>
      <c r="G531" s="227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</row>
    <row r="532">
      <c r="A532" s="228"/>
      <c r="B532" s="225"/>
      <c r="C532" s="225"/>
      <c r="D532" s="225"/>
      <c r="E532" s="225"/>
      <c r="F532" s="227"/>
      <c r="G532" s="227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</row>
    <row r="533">
      <c r="A533" s="228"/>
      <c r="B533" s="225"/>
      <c r="C533" s="225"/>
      <c r="D533" s="225"/>
      <c r="E533" s="225"/>
      <c r="F533" s="227"/>
      <c r="G533" s="227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</row>
    <row r="534">
      <c r="A534" s="228"/>
      <c r="B534" s="225"/>
      <c r="C534" s="225"/>
      <c r="D534" s="225"/>
      <c r="E534" s="225"/>
      <c r="F534" s="227"/>
      <c r="G534" s="227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</row>
    <row r="535">
      <c r="A535" s="228"/>
      <c r="B535" s="225"/>
      <c r="C535" s="225"/>
      <c r="D535" s="225"/>
      <c r="E535" s="225"/>
      <c r="F535" s="227"/>
      <c r="G535" s="227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</row>
    <row r="536">
      <c r="A536" s="228"/>
      <c r="B536" s="225"/>
      <c r="C536" s="225"/>
      <c r="D536" s="225"/>
      <c r="E536" s="225"/>
      <c r="F536" s="227"/>
      <c r="G536" s="227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</row>
    <row r="537">
      <c r="A537" s="228"/>
      <c r="B537" s="225"/>
      <c r="C537" s="225"/>
      <c r="D537" s="225"/>
      <c r="E537" s="225"/>
      <c r="F537" s="227"/>
      <c r="G537" s="227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</row>
    <row r="538">
      <c r="A538" s="228"/>
      <c r="B538" s="225"/>
      <c r="C538" s="225"/>
      <c r="D538" s="225"/>
      <c r="E538" s="225"/>
      <c r="F538" s="227"/>
      <c r="G538" s="227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</row>
    <row r="539">
      <c r="A539" s="228"/>
      <c r="B539" s="225"/>
      <c r="C539" s="225"/>
      <c r="D539" s="225"/>
      <c r="E539" s="225"/>
      <c r="F539" s="227"/>
      <c r="G539" s="227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</row>
    <row r="540">
      <c r="A540" s="228"/>
      <c r="B540" s="225"/>
      <c r="C540" s="225"/>
      <c r="D540" s="225"/>
      <c r="E540" s="225"/>
      <c r="F540" s="227"/>
      <c r="G540" s="227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</row>
    <row r="541">
      <c r="A541" s="228"/>
      <c r="B541" s="225"/>
      <c r="C541" s="225"/>
      <c r="D541" s="225"/>
      <c r="E541" s="225"/>
      <c r="F541" s="227"/>
      <c r="G541" s="227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</row>
    <row r="542">
      <c r="A542" s="228"/>
      <c r="B542" s="225"/>
      <c r="C542" s="225"/>
      <c r="D542" s="225"/>
      <c r="E542" s="225"/>
      <c r="F542" s="227"/>
      <c r="G542" s="227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</row>
    <row r="543">
      <c r="A543" s="228"/>
      <c r="B543" s="225"/>
      <c r="C543" s="225"/>
      <c r="D543" s="225"/>
      <c r="E543" s="225"/>
      <c r="F543" s="227"/>
      <c r="G543" s="227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</row>
    <row r="544">
      <c r="A544" s="228"/>
      <c r="B544" s="225"/>
      <c r="C544" s="225"/>
      <c r="D544" s="225"/>
      <c r="E544" s="225"/>
      <c r="F544" s="227"/>
      <c r="G544" s="227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</row>
    <row r="545">
      <c r="A545" s="228"/>
      <c r="B545" s="225"/>
      <c r="C545" s="225"/>
      <c r="D545" s="225"/>
      <c r="E545" s="225"/>
      <c r="F545" s="227"/>
      <c r="G545" s="227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</row>
    <row r="546">
      <c r="A546" s="228"/>
      <c r="B546" s="225"/>
      <c r="C546" s="225"/>
      <c r="D546" s="225"/>
      <c r="E546" s="225"/>
      <c r="F546" s="227"/>
      <c r="G546" s="227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</row>
    <row r="547">
      <c r="A547" s="228"/>
      <c r="B547" s="225"/>
      <c r="C547" s="225"/>
      <c r="D547" s="225"/>
      <c r="E547" s="225"/>
      <c r="F547" s="227"/>
      <c r="G547" s="227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</row>
    <row r="548">
      <c r="A548" s="228"/>
      <c r="B548" s="225"/>
      <c r="C548" s="225"/>
      <c r="D548" s="225"/>
      <c r="E548" s="225"/>
      <c r="F548" s="227"/>
      <c r="G548" s="227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</row>
    <row r="549">
      <c r="A549" s="228"/>
      <c r="B549" s="225"/>
      <c r="C549" s="225"/>
      <c r="D549" s="225"/>
      <c r="E549" s="225"/>
      <c r="F549" s="227"/>
      <c r="G549" s="227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</row>
    <row r="550">
      <c r="A550" s="228"/>
      <c r="B550" s="225"/>
      <c r="C550" s="225"/>
      <c r="D550" s="225"/>
      <c r="E550" s="225"/>
      <c r="F550" s="227"/>
      <c r="G550" s="227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</row>
    <row r="551">
      <c r="A551" s="228"/>
      <c r="B551" s="225"/>
      <c r="C551" s="225"/>
      <c r="D551" s="225"/>
      <c r="E551" s="225"/>
      <c r="F551" s="227"/>
      <c r="G551" s="227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</row>
    <row r="552">
      <c r="A552" s="228"/>
      <c r="B552" s="225"/>
      <c r="C552" s="225"/>
      <c r="D552" s="225"/>
      <c r="E552" s="225"/>
      <c r="F552" s="227"/>
      <c r="G552" s="227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</row>
    <row r="553">
      <c r="A553" s="228"/>
      <c r="B553" s="225"/>
      <c r="C553" s="225"/>
      <c r="D553" s="225"/>
      <c r="E553" s="225"/>
      <c r="F553" s="227"/>
      <c r="G553" s="227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</row>
    <row r="554">
      <c r="A554" s="228"/>
      <c r="B554" s="225"/>
      <c r="C554" s="225"/>
      <c r="D554" s="225"/>
      <c r="E554" s="225"/>
      <c r="F554" s="227"/>
      <c r="G554" s="227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</row>
    <row r="555">
      <c r="A555" s="228"/>
      <c r="B555" s="225"/>
      <c r="C555" s="225"/>
      <c r="D555" s="225"/>
      <c r="E555" s="225"/>
      <c r="F555" s="227"/>
      <c r="G555" s="227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</row>
    <row r="556">
      <c r="A556" s="228"/>
      <c r="B556" s="225"/>
      <c r="C556" s="225"/>
      <c r="D556" s="225"/>
      <c r="E556" s="225"/>
      <c r="F556" s="227"/>
      <c r="G556" s="227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</row>
    <row r="557">
      <c r="A557" s="228"/>
      <c r="B557" s="225"/>
      <c r="C557" s="225"/>
      <c r="D557" s="225"/>
      <c r="E557" s="225"/>
      <c r="F557" s="227"/>
      <c r="G557" s="227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</row>
    <row r="558">
      <c r="A558" s="228"/>
      <c r="B558" s="225"/>
      <c r="C558" s="225"/>
      <c r="D558" s="225"/>
      <c r="E558" s="225"/>
      <c r="F558" s="227"/>
      <c r="G558" s="227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</row>
    <row r="559">
      <c r="A559" s="228"/>
      <c r="B559" s="225"/>
      <c r="C559" s="225"/>
      <c r="D559" s="225"/>
      <c r="E559" s="225"/>
      <c r="F559" s="227"/>
      <c r="G559" s="227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</row>
    <row r="560">
      <c r="A560" s="228"/>
      <c r="B560" s="225"/>
      <c r="C560" s="225"/>
      <c r="D560" s="225"/>
      <c r="E560" s="225"/>
      <c r="F560" s="227"/>
      <c r="G560" s="227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</row>
    <row r="561">
      <c r="A561" s="228"/>
      <c r="B561" s="225"/>
      <c r="C561" s="225"/>
      <c r="D561" s="225"/>
      <c r="E561" s="225"/>
      <c r="F561" s="227"/>
      <c r="G561" s="227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</row>
    <row r="562">
      <c r="A562" s="228"/>
      <c r="B562" s="225"/>
      <c r="C562" s="225"/>
      <c r="D562" s="225"/>
      <c r="E562" s="225"/>
      <c r="F562" s="227"/>
      <c r="G562" s="227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</row>
    <row r="563">
      <c r="A563" s="228"/>
      <c r="B563" s="225"/>
      <c r="C563" s="225"/>
      <c r="D563" s="225"/>
      <c r="E563" s="225"/>
      <c r="F563" s="227"/>
      <c r="G563" s="227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</row>
    <row r="564">
      <c r="A564" s="228"/>
      <c r="B564" s="225"/>
      <c r="C564" s="225"/>
      <c r="D564" s="225"/>
      <c r="E564" s="225"/>
      <c r="F564" s="227"/>
      <c r="G564" s="227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</row>
    <row r="565">
      <c r="A565" s="228"/>
      <c r="B565" s="225"/>
      <c r="C565" s="225"/>
      <c r="D565" s="225"/>
      <c r="E565" s="225"/>
      <c r="F565" s="227"/>
      <c r="G565" s="227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</row>
    <row r="566">
      <c r="A566" s="228"/>
      <c r="B566" s="225"/>
      <c r="C566" s="225"/>
      <c r="D566" s="225"/>
      <c r="E566" s="225"/>
      <c r="F566" s="227"/>
      <c r="G566" s="227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</row>
    <row r="567">
      <c r="A567" s="228"/>
      <c r="B567" s="225"/>
      <c r="C567" s="225"/>
      <c r="D567" s="225"/>
      <c r="E567" s="225"/>
      <c r="F567" s="227"/>
      <c r="G567" s="227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</row>
    <row r="568">
      <c r="A568" s="228"/>
      <c r="B568" s="225"/>
      <c r="C568" s="225"/>
      <c r="D568" s="225"/>
      <c r="E568" s="225"/>
      <c r="F568" s="227"/>
      <c r="G568" s="227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</row>
    <row r="569">
      <c r="A569" s="228"/>
      <c r="B569" s="225"/>
      <c r="C569" s="225"/>
      <c r="D569" s="225"/>
      <c r="E569" s="225"/>
      <c r="F569" s="227"/>
      <c r="G569" s="227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</row>
    <row r="570">
      <c r="A570" s="228"/>
      <c r="B570" s="225"/>
      <c r="C570" s="225"/>
      <c r="D570" s="225"/>
      <c r="E570" s="225"/>
      <c r="F570" s="227"/>
      <c r="G570" s="227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</row>
    <row r="571">
      <c r="A571" s="228"/>
      <c r="B571" s="225"/>
      <c r="C571" s="225"/>
      <c r="D571" s="225"/>
      <c r="E571" s="225"/>
      <c r="F571" s="227"/>
      <c r="G571" s="227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</row>
    <row r="572">
      <c r="A572" s="228"/>
      <c r="B572" s="225"/>
      <c r="C572" s="225"/>
      <c r="D572" s="225"/>
      <c r="E572" s="225"/>
      <c r="F572" s="227"/>
      <c r="G572" s="227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</row>
    <row r="573">
      <c r="A573" s="228"/>
      <c r="B573" s="225"/>
      <c r="C573" s="225"/>
      <c r="D573" s="225"/>
      <c r="E573" s="225"/>
      <c r="F573" s="227"/>
      <c r="G573" s="227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</row>
    <row r="574">
      <c r="A574" s="228"/>
      <c r="B574" s="225"/>
      <c r="C574" s="225"/>
      <c r="D574" s="225"/>
      <c r="E574" s="225"/>
      <c r="F574" s="227"/>
      <c r="G574" s="227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</row>
    <row r="575">
      <c r="A575" s="228"/>
      <c r="B575" s="225"/>
      <c r="C575" s="225"/>
      <c r="D575" s="225"/>
      <c r="E575" s="225"/>
      <c r="F575" s="227"/>
      <c r="G575" s="227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</row>
    <row r="576">
      <c r="A576" s="228"/>
      <c r="B576" s="225"/>
      <c r="C576" s="225"/>
      <c r="D576" s="225"/>
      <c r="E576" s="225"/>
      <c r="F576" s="227"/>
      <c r="G576" s="227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</row>
    <row r="577">
      <c r="A577" s="228"/>
      <c r="B577" s="225"/>
      <c r="C577" s="225"/>
      <c r="D577" s="225"/>
      <c r="E577" s="225"/>
      <c r="F577" s="227"/>
      <c r="G577" s="227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</row>
    <row r="578">
      <c r="A578" s="228"/>
      <c r="B578" s="225"/>
      <c r="C578" s="225"/>
      <c r="D578" s="225"/>
      <c r="E578" s="225"/>
      <c r="F578" s="227"/>
      <c r="G578" s="227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</row>
    <row r="579">
      <c r="A579" s="228"/>
      <c r="B579" s="225"/>
      <c r="C579" s="225"/>
      <c r="D579" s="225"/>
      <c r="E579" s="225"/>
      <c r="F579" s="227"/>
      <c r="G579" s="227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</row>
    <row r="580">
      <c r="A580" s="228"/>
      <c r="B580" s="225"/>
      <c r="C580" s="225"/>
      <c r="D580" s="225"/>
      <c r="E580" s="225"/>
      <c r="F580" s="227"/>
      <c r="G580" s="227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</row>
    <row r="581">
      <c r="A581" s="228"/>
      <c r="B581" s="225"/>
      <c r="C581" s="225"/>
      <c r="D581" s="225"/>
      <c r="E581" s="225"/>
      <c r="F581" s="227"/>
      <c r="G581" s="227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</row>
    <row r="582">
      <c r="A582" s="228"/>
      <c r="B582" s="225"/>
      <c r="C582" s="225"/>
      <c r="D582" s="225"/>
      <c r="E582" s="225"/>
      <c r="F582" s="227"/>
      <c r="G582" s="227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</row>
    <row r="583">
      <c r="A583" s="228"/>
      <c r="B583" s="225"/>
      <c r="C583" s="225"/>
      <c r="D583" s="225"/>
      <c r="E583" s="225"/>
      <c r="F583" s="227"/>
      <c r="G583" s="227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</row>
    <row r="584">
      <c r="A584" s="228"/>
      <c r="B584" s="225"/>
      <c r="C584" s="225"/>
      <c r="D584" s="225"/>
      <c r="E584" s="225"/>
      <c r="F584" s="227"/>
      <c r="G584" s="227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</row>
    <row r="585">
      <c r="A585" s="228"/>
      <c r="B585" s="225"/>
      <c r="C585" s="225"/>
      <c r="D585" s="225"/>
      <c r="E585" s="225"/>
      <c r="F585" s="227"/>
      <c r="G585" s="227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</row>
    <row r="586">
      <c r="A586" s="228"/>
      <c r="B586" s="225"/>
      <c r="C586" s="225"/>
      <c r="D586" s="225"/>
      <c r="E586" s="225"/>
      <c r="F586" s="227"/>
      <c r="G586" s="227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</row>
    <row r="587">
      <c r="A587" s="228"/>
      <c r="B587" s="225"/>
      <c r="C587" s="225"/>
      <c r="D587" s="225"/>
      <c r="E587" s="225"/>
      <c r="F587" s="227"/>
      <c r="G587" s="227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</row>
    <row r="588">
      <c r="A588" s="228"/>
      <c r="B588" s="225"/>
      <c r="C588" s="225"/>
      <c r="D588" s="225"/>
      <c r="E588" s="225"/>
      <c r="F588" s="227"/>
      <c r="G588" s="227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</row>
    <row r="589">
      <c r="A589" s="228"/>
      <c r="B589" s="225"/>
      <c r="C589" s="225"/>
      <c r="D589" s="225"/>
      <c r="E589" s="225"/>
      <c r="F589" s="227"/>
      <c r="G589" s="227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</row>
    <row r="590">
      <c r="A590" s="228"/>
      <c r="B590" s="225"/>
      <c r="C590" s="225"/>
      <c r="D590" s="225"/>
      <c r="E590" s="225"/>
      <c r="F590" s="227"/>
      <c r="G590" s="227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</row>
    <row r="591">
      <c r="A591" s="228"/>
      <c r="B591" s="225"/>
      <c r="C591" s="225"/>
      <c r="D591" s="225"/>
      <c r="E591" s="225"/>
      <c r="F591" s="227"/>
      <c r="G591" s="227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</row>
    <row r="592">
      <c r="A592" s="228"/>
      <c r="B592" s="225"/>
      <c r="C592" s="225"/>
      <c r="D592" s="225"/>
      <c r="E592" s="225"/>
      <c r="F592" s="227"/>
      <c r="G592" s="227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</row>
    <row r="593">
      <c r="A593" s="228"/>
      <c r="B593" s="225"/>
      <c r="C593" s="225"/>
      <c r="D593" s="225"/>
      <c r="E593" s="225"/>
      <c r="F593" s="227"/>
      <c r="G593" s="227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</row>
    <row r="594">
      <c r="A594" s="228"/>
      <c r="B594" s="225"/>
      <c r="C594" s="225"/>
      <c r="D594" s="225"/>
      <c r="E594" s="225"/>
      <c r="F594" s="227"/>
      <c r="G594" s="227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</row>
    <row r="595">
      <c r="A595" s="228"/>
      <c r="B595" s="225"/>
      <c r="C595" s="225"/>
      <c r="D595" s="225"/>
      <c r="E595" s="225"/>
      <c r="F595" s="227"/>
      <c r="G595" s="227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</row>
    <row r="596">
      <c r="A596" s="228"/>
      <c r="B596" s="225"/>
      <c r="C596" s="225"/>
      <c r="D596" s="225"/>
      <c r="E596" s="225"/>
      <c r="F596" s="227"/>
      <c r="G596" s="227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</row>
    <row r="597">
      <c r="A597" s="228"/>
      <c r="B597" s="225"/>
      <c r="C597" s="225"/>
      <c r="D597" s="225"/>
      <c r="E597" s="225"/>
      <c r="F597" s="227"/>
      <c r="G597" s="227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</row>
    <row r="598">
      <c r="A598" s="228"/>
      <c r="B598" s="225"/>
      <c r="C598" s="225"/>
      <c r="D598" s="225"/>
      <c r="E598" s="225"/>
      <c r="F598" s="227"/>
      <c r="G598" s="227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</row>
    <row r="599">
      <c r="A599" s="228"/>
      <c r="B599" s="225"/>
      <c r="C599" s="225"/>
      <c r="D599" s="225"/>
      <c r="E599" s="225"/>
      <c r="F599" s="227"/>
      <c r="G599" s="227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</row>
    <row r="600">
      <c r="A600" s="228"/>
      <c r="B600" s="225"/>
      <c r="C600" s="225"/>
      <c r="D600" s="225"/>
      <c r="E600" s="225"/>
      <c r="F600" s="227"/>
      <c r="G600" s="227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</row>
    <row r="601">
      <c r="A601" s="228"/>
      <c r="B601" s="225"/>
      <c r="C601" s="225"/>
      <c r="D601" s="225"/>
      <c r="E601" s="225"/>
      <c r="F601" s="227"/>
      <c r="G601" s="227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</row>
    <row r="602">
      <c r="A602" s="228"/>
      <c r="B602" s="225"/>
      <c r="C602" s="225"/>
      <c r="D602" s="225"/>
      <c r="E602" s="225"/>
      <c r="F602" s="227"/>
      <c r="G602" s="227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</row>
    <row r="603">
      <c r="A603" s="228"/>
      <c r="B603" s="225"/>
      <c r="C603" s="225"/>
      <c r="D603" s="225"/>
      <c r="E603" s="225"/>
      <c r="F603" s="227"/>
      <c r="G603" s="227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</row>
    <row r="604">
      <c r="A604" s="228"/>
      <c r="B604" s="225"/>
      <c r="C604" s="225"/>
      <c r="D604" s="225"/>
      <c r="E604" s="225"/>
      <c r="F604" s="227"/>
      <c r="G604" s="227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</row>
    <row r="605">
      <c r="A605" s="228"/>
      <c r="B605" s="225"/>
      <c r="C605" s="225"/>
      <c r="D605" s="225"/>
      <c r="E605" s="225"/>
      <c r="F605" s="227"/>
      <c r="G605" s="227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</row>
    <row r="606">
      <c r="A606" s="228"/>
      <c r="B606" s="225"/>
      <c r="C606" s="225"/>
      <c r="D606" s="225"/>
      <c r="E606" s="225"/>
      <c r="F606" s="227"/>
      <c r="G606" s="227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</row>
    <row r="607">
      <c r="A607" s="228"/>
      <c r="B607" s="225"/>
      <c r="C607" s="225"/>
      <c r="D607" s="225"/>
      <c r="E607" s="225"/>
      <c r="F607" s="227"/>
      <c r="G607" s="227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</row>
    <row r="608">
      <c r="A608" s="228"/>
      <c r="B608" s="225"/>
      <c r="C608" s="225"/>
      <c r="D608" s="225"/>
      <c r="E608" s="225"/>
      <c r="F608" s="227"/>
      <c r="G608" s="227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</row>
    <row r="609">
      <c r="A609" s="228"/>
      <c r="B609" s="225"/>
      <c r="C609" s="225"/>
      <c r="D609" s="225"/>
      <c r="E609" s="225"/>
      <c r="F609" s="227"/>
      <c r="G609" s="227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</row>
    <row r="610">
      <c r="A610" s="228"/>
      <c r="B610" s="225"/>
      <c r="C610" s="225"/>
      <c r="D610" s="225"/>
      <c r="E610" s="225"/>
      <c r="F610" s="227"/>
      <c r="G610" s="227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</row>
    <row r="611">
      <c r="A611" s="228"/>
      <c r="B611" s="225"/>
      <c r="C611" s="225"/>
      <c r="D611" s="225"/>
      <c r="E611" s="225"/>
      <c r="F611" s="227"/>
      <c r="G611" s="227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</row>
    <row r="612">
      <c r="A612" s="228"/>
      <c r="B612" s="225"/>
      <c r="C612" s="225"/>
      <c r="D612" s="225"/>
      <c r="E612" s="225"/>
      <c r="F612" s="227"/>
      <c r="G612" s="227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</row>
    <row r="613">
      <c r="A613" s="228"/>
      <c r="B613" s="225"/>
      <c r="C613" s="225"/>
      <c r="D613" s="225"/>
      <c r="E613" s="225"/>
      <c r="F613" s="227"/>
      <c r="G613" s="227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</row>
    <row r="614">
      <c r="A614" s="228"/>
      <c r="B614" s="225"/>
      <c r="C614" s="225"/>
      <c r="D614" s="225"/>
      <c r="E614" s="225"/>
      <c r="F614" s="227"/>
      <c r="G614" s="227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</row>
    <row r="615">
      <c r="A615" s="228"/>
      <c r="B615" s="225"/>
      <c r="C615" s="225"/>
      <c r="D615" s="225"/>
      <c r="E615" s="225"/>
      <c r="F615" s="227"/>
      <c r="G615" s="227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</row>
    <row r="616">
      <c r="A616" s="228"/>
      <c r="B616" s="225"/>
      <c r="C616" s="225"/>
      <c r="D616" s="225"/>
      <c r="E616" s="225"/>
      <c r="F616" s="227"/>
      <c r="G616" s="227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</row>
    <row r="617">
      <c r="A617" s="228"/>
      <c r="B617" s="225"/>
      <c r="C617" s="225"/>
      <c r="D617" s="225"/>
      <c r="E617" s="225"/>
      <c r="F617" s="227"/>
      <c r="G617" s="227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</row>
    <row r="618">
      <c r="A618" s="228"/>
      <c r="B618" s="225"/>
      <c r="C618" s="225"/>
      <c r="D618" s="225"/>
      <c r="E618" s="225"/>
      <c r="F618" s="227"/>
      <c r="G618" s="227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</row>
    <row r="619">
      <c r="A619" s="228"/>
      <c r="B619" s="225"/>
      <c r="C619" s="225"/>
      <c r="D619" s="225"/>
      <c r="E619" s="225"/>
      <c r="F619" s="227"/>
      <c r="G619" s="227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</row>
    <row r="620">
      <c r="A620" s="228"/>
      <c r="B620" s="225"/>
      <c r="C620" s="225"/>
      <c r="D620" s="225"/>
      <c r="E620" s="225"/>
      <c r="F620" s="227"/>
      <c r="G620" s="227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</row>
    <row r="621">
      <c r="A621" s="228"/>
      <c r="B621" s="225"/>
      <c r="C621" s="225"/>
      <c r="D621" s="225"/>
      <c r="E621" s="225"/>
      <c r="F621" s="227"/>
      <c r="G621" s="227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</row>
    <row r="622">
      <c r="A622" s="228"/>
      <c r="B622" s="225"/>
      <c r="C622" s="225"/>
      <c r="D622" s="225"/>
      <c r="E622" s="225"/>
      <c r="F622" s="227"/>
      <c r="G622" s="227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</row>
    <row r="623">
      <c r="A623" s="228"/>
      <c r="B623" s="225"/>
      <c r="C623" s="225"/>
      <c r="D623" s="225"/>
      <c r="E623" s="225"/>
      <c r="F623" s="227"/>
      <c r="G623" s="227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</row>
    <row r="624">
      <c r="A624" s="228"/>
      <c r="B624" s="225"/>
      <c r="C624" s="225"/>
      <c r="D624" s="225"/>
      <c r="E624" s="225"/>
      <c r="F624" s="227"/>
      <c r="G624" s="227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</row>
    <row r="625">
      <c r="A625" s="228"/>
      <c r="B625" s="225"/>
      <c r="C625" s="225"/>
      <c r="D625" s="225"/>
      <c r="E625" s="225"/>
      <c r="F625" s="227"/>
      <c r="G625" s="227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</row>
    <row r="626">
      <c r="A626" s="228"/>
      <c r="B626" s="225"/>
      <c r="C626" s="225"/>
      <c r="D626" s="225"/>
      <c r="E626" s="225"/>
      <c r="F626" s="227"/>
      <c r="G626" s="227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</row>
    <row r="627">
      <c r="A627" s="228"/>
      <c r="B627" s="225"/>
      <c r="C627" s="225"/>
      <c r="D627" s="225"/>
      <c r="E627" s="225"/>
      <c r="F627" s="227"/>
      <c r="G627" s="227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</row>
    <row r="628">
      <c r="A628" s="228"/>
      <c r="B628" s="225"/>
      <c r="C628" s="225"/>
      <c r="D628" s="225"/>
      <c r="E628" s="225"/>
      <c r="F628" s="227"/>
      <c r="G628" s="227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</row>
    <row r="629">
      <c r="A629" s="228"/>
      <c r="B629" s="225"/>
      <c r="C629" s="225"/>
      <c r="D629" s="225"/>
      <c r="E629" s="225"/>
      <c r="F629" s="227"/>
      <c r="G629" s="227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</row>
    <row r="630">
      <c r="A630" s="228"/>
      <c r="B630" s="225"/>
      <c r="C630" s="225"/>
      <c r="D630" s="225"/>
      <c r="E630" s="225"/>
      <c r="F630" s="227"/>
      <c r="G630" s="227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</row>
    <row r="631">
      <c r="A631" s="228"/>
      <c r="B631" s="225"/>
      <c r="C631" s="225"/>
      <c r="D631" s="225"/>
      <c r="E631" s="225"/>
      <c r="F631" s="227"/>
      <c r="G631" s="227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</row>
    <row r="632">
      <c r="A632" s="228"/>
      <c r="B632" s="225"/>
      <c r="C632" s="225"/>
      <c r="D632" s="225"/>
      <c r="E632" s="225"/>
      <c r="F632" s="227"/>
      <c r="G632" s="227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</row>
    <row r="633">
      <c r="A633" s="228"/>
      <c r="B633" s="225"/>
      <c r="C633" s="225"/>
      <c r="D633" s="225"/>
      <c r="E633" s="225"/>
      <c r="F633" s="227"/>
      <c r="G633" s="227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</row>
    <row r="634">
      <c r="A634" s="228"/>
      <c r="B634" s="225"/>
      <c r="C634" s="225"/>
      <c r="D634" s="225"/>
      <c r="E634" s="225"/>
      <c r="F634" s="227"/>
      <c r="G634" s="227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</row>
    <row r="635">
      <c r="A635" s="228"/>
      <c r="B635" s="225"/>
      <c r="C635" s="225"/>
      <c r="D635" s="225"/>
      <c r="E635" s="225"/>
      <c r="F635" s="227"/>
      <c r="G635" s="227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</row>
    <row r="636">
      <c r="A636" s="228"/>
      <c r="B636" s="225"/>
      <c r="C636" s="225"/>
      <c r="D636" s="225"/>
      <c r="E636" s="225"/>
      <c r="F636" s="227"/>
      <c r="G636" s="227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</row>
    <row r="637">
      <c r="A637" s="228"/>
      <c r="B637" s="225"/>
      <c r="C637" s="225"/>
      <c r="D637" s="225"/>
      <c r="E637" s="225"/>
      <c r="F637" s="227"/>
      <c r="G637" s="227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</row>
    <row r="638">
      <c r="A638" s="228"/>
      <c r="B638" s="225"/>
      <c r="C638" s="225"/>
      <c r="D638" s="225"/>
      <c r="E638" s="225"/>
      <c r="F638" s="227"/>
      <c r="G638" s="227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</row>
    <row r="639">
      <c r="A639" s="228"/>
      <c r="B639" s="225"/>
      <c r="C639" s="225"/>
      <c r="D639" s="225"/>
      <c r="E639" s="225"/>
      <c r="F639" s="227"/>
      <c r="G639" s="227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</row>
    <row r="640">
      <c r="A640" s="228"/>
      <c r="B640" s="225"/>
      <c r="C640" s="225"/>
      <c r="D640" s="225"/>
      <c r="E640" s="225"/>
      <c r="F640" s="227"/>
      <c r="G640" s="227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</row>
    <row r="641">
      <c r="A641" s="228"/>
      <c r="B641" s="225"/>
      <c r="C641" s="225"/>
      <c r="D641" s="225"/>
      <c r="E641" s="225"/>
      <c r="F641" s="227"/>
      <c r="G641" s="227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</row>
    <row r="642">
      <c r="A642" s="228"/>
      <c r="B642" s="225"/>
      <c r="C642" s="225"/>
      <c r="D642" s="225"/>
      <c r="E642" s="225"/>
      <c r="F642" s="227"/>
      <c r="G642" s="227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</row>
    <row r="643">
      <c r="A643" s="228"/>
      <c r="B643" s="225"/>
      <c r="C643" s="225"/>
      <c r="D643" s="225"/>
      <c r="E643" s="225"/>
      <c r="F643" s="227"/>
      <c r="G643" s="227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</row>
    <row r="644">
      <c r="A644" s="228"/>
      <c r="B644" s="225"/>
      <c r="C644" s="225"/>
      <c r="D644" s="225"/>
      <c r="E644" s="225"/>
      <c r="F644" s="227"/>
      <c r="G644" s="227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</row>
    <row r="645">
      <c r="A645" s="228"/>
      <c r="B645" s="225"/>
      <c r="C645" s="225"/>
      <c r="D645" s="225"/>
      <c r="E645" s="225"/>
      <c r="F645" s="227"/>
      <c r="G645" s="227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</row>
    <row r="646">
      <c r="A646" s="228"/>
      <c r="B646" s="225"/>
      <c r="C646" s="225"/>
      <c r="D646" s="225"/>
      <c r="E646" s="225"/>
      <c r="F646" s="227"/>
      <c r="G646" s="227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</row>
    <row r="647">
      <c r="A647" s="228"/>
      <c r="B647" s="225"/>
      <c r="C647" s="225"/>
      <c r="D647" s="225"/>
      <c r="E647" s="225"/>
      <c r="F647" s="227"/>
      <c r="G647" s="227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</row>
    <row r="648">
      <c r="A648" s="228"/>
      <c r="B648" s="225"/>
      <c r="C648" s="225"/>
      <c r="D648" s="225"/>
      <c r="E648" s="225"/>
      <c r="F648" s="227"/>
      <c r="G648" s="227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</row>
    <row r="649">
      <c r="A649" s="228"/>
      <c r="B649" s="225"/>
      <c r="C649" s="225"/>
      <c r="D649" s="225"/>
      <c r="E649" s="225"/>
      <c r="F649" s="227"/>
      <c r="G649" s="227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</row>
    <row r="650">
      <c r="A650" s="228"/>
      <c r="B650" s="225"/>
      <c r="C650" s="225"/>
      <c r="D650" s="225"/>
      <c r="E650" s="225"/>
      <c r="F650" s="227"/>
      <c r="G650" s="227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</row>
    <row r="651">
      <c r="A651" s="228"/>
      <c r="B651" s="225"/>
      <c r="C651" s="225"/>
      <c r="D651" s="225"/>
      <c r="E651" s="225"/>
      <c r="F651" s="227"/>
      <c r="G651" s="227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</row>
    <row r="652">
      <c r="A652" s="228"/>
      <c r="B652" s="225"/>
      <c r="C652" s="225"/>
      <c r="D652" s="225"/>
      <c r="E652" s="225"/>
      <c r="F652" s="227"/>
      <c r="G652" s="227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</row>
    <row r="653">
      <c r="A653" s="228"/>
      <c r="B653" s="225"/>
      <c r="C653" s="225"/>
      <c r="D653" s="225"/>
      <c r="E653" s="225"/>
      <c r="F653" s="227"/>
      <c r="G653" s="227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</row>
    <row r="654">
      <c r="A654" s="228"/>
      <c r="B654" s="225"/>
      <c r="C654" s="225"/>
      <c r="D654" s="225"/>
      <c r="E654" s="225"/>
      <c r="F654" s="227"/>
      <c r="G654" s="227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</row>
    <row r="655">
      <c r="A655" s="228"/>
      <c r="B655" s="225"/>
      <c r="C655" s="225"/>
      <c r="D655" s="225"/>
      <c r="E655" s="225"/>
      <c r="F655" s="227"/>
      <c r="G655" s="227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</row>
    <row r="656">
      <c r="A656" s="228"/>
      <c r="B656" s="225"/>
      <c r="C656" s="225"/>
      <c r="D656" s="225"/>
      <c r="E656" s="225"/>
      <c r="F656" s="227"/>
      <c r="G656" s="227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</row>
    <row r="657">
      <c r="A657" s="228"/>
      <c r="B657" s="225"/>
      <c r="C657" s="225"/>
      <c r="D657" s="225"/>
      <c r="E657" s="225"/>
      <c r="F657" s="227"/>
      <c r="G657" s="227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</row>
    <row r="658">
      <c r="A658" s="228"/>
      <c r="B658" s="225"/>
      <c r="C658" s="225"/>
      <c r="D658" s="225"/>
      <c r="E658" s="225"/>
      <c r="F658" s="227"/>
      <c r="G658" s="227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</row>
    <row r="659">
      <c r="A659" s="228"/>
      <c r="B659" s="225"/>
      <c r="C659" s="225"/>
      <c r="D659" s="225"/>
      <c r="E659" s="225"/>
      <c r="F659" s="227"/>
      <c r="G659" s="227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</row>
    <row r="660">
      <c r="A660" s="228"/>
      <c r="B660" s="225"/>
      <c r="C660" s="225"/>
      <c r="D660" s="225"/>
      <c r="E660" s="225"/>
      <c r="F660" s="227"/>
      <c r="G660" s="227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</row>
    <row r="661">
      <c r="A661" s="228"/>
      <c r="B661" s="225"/>
      <c r="C661" s="225"/>
      <c r="D661" s="225"/>
      <c r="E661" s="225"/>
      <c r="F661" s="227"/>
      <c r="G661" s="227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</row>
    <row r="662">
      <c r="A662" s="228"/>
      <c r="B662" s="225"/>
      <c r="C662" s="225"/>
      <c r="D662" s="225"/>
      <c r="E662" s="225"/>
      <c r="F662" s="227"/>
      <c r="G662" s="227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</row>
    <row r="663">
      <c r="A663" s="228"/>
      <c r="B663" s="225"/>
      <c r="C663" s="225"/>
      <c r="D663" s="225"/>
      <c r="E663" s="225"/>
      <c r="F663" s="227"/>
      <c r="G663" s="227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</row>
    <row r="664">
      <c r="A664" s="228"/>
      <c r="B664" s="225"/>
      <c r="C664" s="225"/>
      <c r="D664" s="225"/>
      <c r="E664" s="225"/>
      <c r="F664" s="227"/>
      <c r="G664" s="227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</row>
    <row r="665">
      <c r="A665" s="228"/>
      <c r="B665" s="225"/>
      <c r="C665" s="225"/>
      <c r="D665" s="225"/>
      <c r="E665" s="225"/>
      <c r="F665" s="227"/>
      <c r="G665" s="227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</row>
    <row r="666">
      <c r="A666" s="228"/>
      <c r="B666" s="225"/>
      <c r="C666" s="225"/>
      <c r="D666" s="225"/>
      <c r="E666" s="225"/>
      <c r="F666" s="227"/>
      <c r="G666" s="227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</row>
    <row r="667">
      <c r="A667" s="228"/>
      <c r="B667" s="225"/>
      <c r="C667" s="225"/>
      <c r="D667" s="225"/>
      <c r="E667" s="225"/>
      <c r="F667" s="227"/>
      <c r="G667" s="227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</row>
    <row r="668">
      <c r="A668" s="228"/>
      <c r="B668" s="225"/>
      <c r="C668" s="225"/>
      <c r="D668" s="225"/>
      <c r="E668" s="225"/>
      <c r="F668" s="227"/>
      <c r="G668" s="227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</row>
    <row r="669">
      <c r="A669" s="228"/>
      <c r="B669" s="225"/>
      <c r="C669" s="225"/>
      <c r="D669" s="225"/>
      <c r="E669" s="225"/>
      <c r="F669" s="227"/>
      <c r="G669" s="227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</row>
    <row r="670">
      <c r="A670" s="228"/>
      <c r="B670" s="225"/>
      <c r="C670" s="225"/>
      <c r="D670" s="225"/>
      <c r="E670" s="225"/>
      <c r="F670" s="227"/>
      <c r="G670" s="227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</row>
    <row r="671">
      <c r="A671" s="228"/>
      <c r="B671" s="225"/>
      <c r="C671" s="225"/>
      <c r="D671" s="225"/>
      <c r="E671" s="225"/>
      <c r="F671" s="227"/>
      <c r="G671" s="227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</row>
    <row r="672">
      <c r="A672" s="228"/>
      <c r="B672" s="225"/>
      <c r="C672" s="225"/>
      <c r="D672" s="225"/>
      <c r="E672" s="225"/>
      <c r="F672" s="227"/>
      <c r="G672" s="227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</row>
    <row r="673">
      <c r="A673" s="228"/>
      <c r="B673" s="225"/>
      <c r="C673" s="225"/>
      <c r="D673" s="225"/>
      <c r="E673" s="225"/>
      <c r="F673" s="227"/>
      <c r="G673" s="227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</row>
    <row r="674">
      <c r="A674" s="228"/>
      <c r="B674" s="225"/>
      <c r="C674" s="225"/>
      <c r="D674" s="225"/>
      <c r="E674" s="225"/>
      <c r="F674" s="227"/>
      <c r="G674" s="227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</row>
    <row r="675">
      <c r="A675" s="228"/>
      <c r="B675" s="225"/>
      <c r="C675" s="225"/>
      <c r="D675" s="225"/>
      <c r="E675" s="225"/>
      <c r="F675" s="227"/>
      <c r="G675" s="227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</row>
    <row r="676">
      <c r="A676" s="228"/>
      <c r="B676" s="225"/>
      <c r="C676" s="225"/>
      <c r="D676" s="225"/>
      <c r="E676" s="225"/>
      <c r="F676" s="227"/>
      <c r="G676" s="227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</row>
    <row r="677">
      <c r="A677" s="228"/>
      <c r="B677" s="225"/>
      <c r="C677" s="225"/>
      <c r="D677" s="225"/>
      <c r="E677" s="225"/>
      <c r="F677" s="227"/>
      <c r="G677" s="227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</row>
    <row r="678">
      <c r="A678" s="228"/>
      <c r="B678" s="225"/>
      <c r="C678" s="225"/>
      <c r="D678" s="225"/>
      <c r="E678" s="225"/>
      <c r="F678" s="227"/>
      <c r="G678" s="227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</row>
    <row r="679">
      <c r="A679" s="228"/>
      <c r="B679" s="225"/>
      <c r="C679" s="225"/>
      <c r="D679" s="225"/>
      <c r="E679" s="225"/>
      <c r="F679" s="227"/>
      <c r="G679" s="227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</row>
    <row r="680">
      <c r="A680" s="228"/>
      <c r="B680" s="225"/>
      <c r="C680" s="225"/>
      <c r="D680" s="225"/>
      <c r="E680" s="225"/>
      <c r="F680" s="227"/>
      <c r="G680" s="227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</row>
    <row r="681">
      <c r="A681" s="228"/>
      <c r="B681" s="225"/>
      <c r="C681" s="225"/>
      <c r="D681" s="225"/>
      <c r="E681" s="225"/>
      <c r="F681" s="227"/>
      <c r="G681" s="227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</row>
    <row r="682">
      <c r="A682" s="228"/>
      <c r="B682" s="225"/>
      <c r="C682" s="225"/>
      <c r="D682" s="225"/>
      <c r="E682" s="225"/>
      <c r="F682" s="227"/>
      <c r="G682" s="227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</row>
    <row r="683">
      <c r="A683" s="228"/>
      <c r="B683" s="225"/>
      <c r="C683" s="225"/>
      <c r="D683" s="225"/>
      <c r="E683" s="225"/>
      <c r="F683" s="227"/>
      <c r="G683" s="227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</row>
    <row r="684">
      <c r="A684" s="228"/>
      <c r="B684" s="225"/>
      <c r="C684" s="225"/>
      <c r="D684" s="225"/>
      <c r="E684" s="225"/>
      <c r="F684" s="227"/>
      <c r="G684" s="227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</row>
    <row r="685">
      <c r="A685" s="228"/>
      <c r="B685" s="225"/>
      <c r="C685" s="225"/>
      <c r="D685" s="225"/>
      <c r="E685" s="225"/>
      <c r="F685" s="227"/>
      <c r="G685" s="227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</row>
    <row r="686">
      <c r="A686" s="228"/>
      <c r="B686" s="225"/>
      <c r="C686" s="225"/>
      <c r="D686" s="225"/>
      <c r="E686" s="225"/>
      <c r="F686" s="227"/>
      <c r="G686" s="227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</row>
    <row r="687">
      <c r="A687" s="228"/>
      <c r="B687" s="225"/>
      <c r="C687" s="225"/>
      <c r="D687" s="225"/>
      <c r="E687" s="225"/>
      <c r="F687" s="227"/>
      <c r="G687" s="227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</row>
    <row r="688">
      <c r="A688" s="228"/>
      <c r="B688" s="225"/>
      <c r="C688" s="225"/>
      <c r="D688" s="225"/>
      <c r="E688" s="225"/>
      <c r="F688" s="227"/>
      <c r="G688" s="227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</row>
    <row r="689">
      <c r="A689" s="228"/>
      <c r="B689" s="225"/>
      <c r="C689" s="225"/>
      <c r="D689" s="225"/>
      <c r="E689" s="225"/>
      <c r="F689" s="227"/>
      <c r="G689" s="227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</row>
    <row r="690">
      <c r="A690" s="228"/>
      <c r="B690" s="225"/>
      <c r="C690" s="225"/>
      <c r="D690" s="225"/>
      <c r="E690" s="225"/>
      <c r="F690" s="227"/>
      <c r="G690" s="227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</row>
    <row r="691">
      <c r="A691" s="228"/>
      <c r="B691" s="225"/>
      <c r="C691" s="225"/>
      <c r="D691" s="225"/>
      <c r="E691" s="225"/>
      <c r="F691" s="227"/>
      <c r="G691" s="227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</row>
    <row r="692">
      <c r="A692" s="228"/>
      <c r="B692" s="225"/>
      <c r="C692" s="225"/>
      <c r="D692" s="225"/>
      <c r="E692" s="225"/>
      <c r="F692" s="227"/>
      <c r="G692" s="227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</row>
    <row r="693">
      <c r="A693" s="228"/>
      <c r="B693" s="225"/>
      <c r="C693" s="225"/>
      <c r="D693" s="225"/>
      <c r="E693" s="225"/>
      <c r="F693" s="227"/>
      <c r="G693" s="227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</row>
    <row r="694">
      <c r="A694" s="228"/>
      <c r="B694" s="225"/>
      <c r="C694" s="225"/>
      <c r="D694" s="225"/>
      <c r="E694" s="225"/>
      <c r="F694" s="227"/>
      <c r="G694" s="227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</row>
    <row r="695">
      <c r="A695" s="228"/>
      <c r="B695" s="225"/>
      <c r="C695" s="225"/>
      <c r="D695" s="225"/>
      <c r="E695" s="225"/>
      <c r="F695" s="227"/>
      <c r="G695" s="227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</row>
    <row r="696">
      <c r="A696" s="228"/>
      <c r="B696" s="225"/>
      <c r="C696" s="225"/>
      <c r="D696" s="225"/>
      <c r="E696" s="225"/>
      <c r="F696" s="227"/>
      <c r="G696" s="227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</row>
    <row r="697">
      <c r="A697" s="228"/>
      <c r="B697" s="225"/>
      <c r="C697" s="225"/>
      <c r="D697" s="225"/>
      <c r="E697" s="225"/>
      <c r="F697" s="227"/>
      <c r="G697" s="227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</row>
    <row r="698">
      <c r="A698" s="228"/>
      <c r="B698" s="225"/>
      <c r="C698" s="225"/>
      <c r="D698" s="225"/>
      <c r="E698" s="225"/>
      <c r="F698" s="227"/>
      <c r="G698" s="227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</row>
    <row r="699">
      <c r="A699" s="228"/>
      <c r="B699" s="225"/>
      <c r="C699" s="225"/>
      <c r="D699" s="225"/>
      <c r="E699" s="225"/>
      <c r="F699" s="227"/>
      <c r="G699" s="227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</row>
    <row r="700">
      <c r="A700" s="228"/>
      <c r="B700" s="225"/>
      <c r="C700" s="225"/>
      <c r="D700" s="225"/>
      <c r="E700" s="225"/>
      <c r="F700" s="227"/>
      <c r="G700" s="227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</row>
    <row r="701">
      <c r="A701" s="228"/>
      <c r="B701" s="225"/>
      <c r="C701" s="225"/>
      <c r="D701" s="225"/>
      <c r="E701" s="225"/>
      <c r="F701" s="227"/>
      <c r="G701" s="227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</row>
    <row r="702">
      <c r="A702" s="228"/>
      <c r="B702" s="225"/>
      <c r="C702" s="225"/>
      <c r="D702" s="225"/>
      <c r="E702" s="225"/>
      <c r="F702" s="227"/>
      <c r="G702" s="227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</row>
    <row r="703">
      <c r="A703" s="228"/>
      <c r="B703" s="225"/>
      <c r="C703" s="225"/>
      <c r="D703" s="225"/>
      <c r="E703" s="225"/>
      <c r="F703" s="227"/>
      <c r="G703" s="227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</row>
    <row r="704">
      <c r="A704" s="228"/>
      <c r="B704" s="225"/>
      <c r="C704" s="225"/>
      <c r="D704" s="225"/>
      <c r="E704" s="225"/>
      <c r="F704" s="227"/>
      <c r="G704" s="227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</row>
    <row r="705">
      <c r="A705" s="228"/>
      <c r="B705" s="225"/>
      <c r="C705" s="225"/>
      <c r="D705" s="225"/>
      <c r="E705" s="225"/>
      <c r="F705" s="227"/>
      <c r="G705" s="227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</row>
    <row r="706">
      <c r="A706" s="228"/>
      <c r="B706" s="225"/>
      <c r="C706" s="225"/>
      <c r="D706" s="225"/>
      <c r="E706" s="225"/>
      <c r="F706" s="227"/>
      <c r="G706" s="227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</row>
    <row r="707">
      <c r="A707" s="228"/>
      <c r="B707" s="225"/>
      <c r="C707" s="225"/>
      <c r="D707" s="225"/>
      <c r="E707" s="225"/>
      <c r="F707" s="227"/>
      <c r="G707" s="227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</row>
    <row r="708">
      <c r="A708" s="228"/>
      <c r="B708" s="225"/>
      <c r="C708" s="225"/>
      <c r="D708" s="225"/>
      <c r="E708" s="225"/>
      <c r="F708" s="227"/>
      <c r="G708" s="227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</row>
    <row r="709">
      <c r="A709" s="228"/>
      <c r="B709" s="225"/>
      <c r="C709" s="225"/>
      <c r="D709" s="225"/>
      <c r="E709" s="225"/>
      <c r="F709" s="227"/>
      <c r="G709" s="227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</row>
    <row r="710">
      <c r="A710" s="228"/>
      <c r="B710" s="225"/>
      <c r="C710" s="225"/>
      <c r="D710" s="225"/>
      <c r="E710" s="225"/>
      <c r="F710" s="227"/>
      <c r="G710" s="227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</row>
    <row r="711">
      <c r="A711" s="228"/>
      <c r="B711" s="225"/>
      <c r="C711" s="225"/>
      <c r="D711" s="225"/>
      <c r="E711" s="225"/>
      <c r="F711" s="227"/>
      <c r="G711" s="227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</row>
    <row r="712">
      <c r="A712" s="228"/>
      <c r="B712" s="225"/>
      <c r="C712" s="225"/>
      <c r="D712" s="225"/>
      <c r="E712" s="225"/>
      <c r="F712" s="227"/>
      <c r="G712" s="227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</row>
    <row r="713">
      <c r="A713" s="228"/>
      <c r="B713" s="225"/>
      <c r="C713" s="225"/>
      <c r="D713" s="225"/>
      <c r="E713" s="225"/>
      <c r="F713" s="227"/>
      <c r="G713" s="227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</row>
    <row r="714">
      <c r="A714" s="228"/>
      <c r="B714" s="225"/>
      <c r="C714" s="225"/>
      <c r="D714" s="225"/>
      <c r="E714" s="225"/>
      <c r="F714" s="227"/>
      <c r="G714" s="227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</row>
    <row r="715">
      <c r="A715" s="228"/>
      <c r="B715" s="225"/>
      <c r="C715" s="225"/>
      <c r="D715" s="225"/>
      <c r="E715" s="225"/>
      <c r="F715" s="227"/>
      <c r="G715" s="227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</row>
    <row r="716">
      <c r="A716" s="228"/>
      <c r="B716" s="225"/>
      <c r="C716" s="225"/>
      <c r="D716" s="225"/>
      <c r="E716" s="225"/>
      <c r="F716" s="227"/>
      <c r="G716" s="227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</row>
    <row r="717">
      <c r="A717" s="228"/>
      <c r="B717" s="225"/>
      <c r="C717" s="225"/>
      <c r="D717" s="225"/>
      <c r="E717" s="225"/>
      <c r="F717" s="227"/>
      <c r="G717" s="227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</row>
    <row r="718">
      <c r="A718" s="228"/>
      <c r="B718" s="225"/>
      <c r="C718" s="225"/>
      <c r="D718" s="225"/>
      <c r="E718" s="225"/>
      <c r="F718" s="227"/>
      <c r="G718" s="227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</row>
    <row r="719">
      <c r="A719" s="228"/>
      <c r="B719" s="225"/>
      <c r="C719" s="225"/>
      <c r="D719" s="225"/>
      <c r="E719" s="225"/>
      <c r="F719" s="227"/>
      <c r="G719" s="227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</row>
    <row r="720">
      <c r="A720" s="228"/>
      <c r="B720" s="225"/>
      <c r="C720" s="225"/>
      <c r="D720" s="225"/>
      <c r="E720" s="225"/>
      <c r="F720" s="227"/>
      <c r="G720" s="227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</row>
    <row r="721">
      <c r="A721" s="228"/>
      <c r="B721" s="225"/>
      <c r="C721" s="225"/>
      <c r="D721" s="225"/>
      <c r="E721" s="225"/>
      <c r="F721" s="227"/>
      <c r="G721" s="227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</row>
    <row r="722">
      <c r="A722" s="228"/>
      <c r="B722" s="225"/>
      <c r="C722" s="225"/>
      <c r="D722" s="225"/>
      <c r="E722" s="225"/>
      <c r="F722" s="227"/>
      <c r="G722" s="227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</row>
    <row r="723">
      <c r="A723" s="228"/>
      <c r="B723" s="225"/>
      <c r="C723" s="225"/>
      <c r="D723" s="225"/>
      <c r="E723" s="225"/>
      <c r="F723" s="227"/>
      <c r="G723" s="227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</row>
    <row r="724">
      <c r="A724" s="228"/>
      <c r="B724" s="225"/>
      <c r="C724" s="225"/>
      <c r="D724" s="225"/>
      <c r="E724" s="225"/>
      <c r="F724" s="227"/>
      <c r="G724" s="227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</row>
    <row r="725">
      <c r="A725" s="228"/>
      <c r="B725" s="225"/>
      <c r="C725" s="225"/>
      <c r="D725" s="225"/>
      <c r="E725" s="225"/>
      <c r="F725" s="227"/>
      <c r="G725" s="227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</row>
    <row r="726">
      <c r="A726" s="228"/>
      <c r="B726" s="225"/>
      <c r="C726" s="225"/>
      <c r="D726" s="225"/>
      <c r="E726" s="225"/>
      <c r="F726" s="227"/>
      <c r="G726" s="227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</row>
    <row r="727">
      <c r="A727" s="228"/>
      <c r="B727" s="225"/>
      <c r="C727" s="225"/>
      <c r="D727" s="225"/>
      <c r="E727" s="225"/>
      <c r="F727" s="227"/>
      <c r="G727" s="227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</row>
    <row r="728">
      <c r="A728" s="228"/>
      <c r="B728" s="225"/>
      <c r="C728" s="225"/>
      <c r="D728" s="225"/>
      <c r="E728" s="225"/>
      <c r="F728" s="227"/>
      <c r="G728" s="227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</row>
    <row r="729">
      <c r="A729" s="228"/>
      <c r="B729" s="225"/>
      <c r="C729" s="225"/>
      <c r="D729" s="225"/>
      <c r="E729" s="225"/>
      <c r="F729" s="227"/>
      <c r="G729" s="227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</row>
    <row r="730">
      <c r="A730" s="228"/>
      <c r="B730" s="225"/>
      <c r="C730" s="225"/>
      <c r="D730" s="225"/>
      <c r="E730" s="225"/>
      <c r="F730" s="227"/>
      <c r="G730" s="227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</row>
    <row r="731">
      <c r="A731" s="228"/>
      <c r="B731" s="225"/>
      <c r="C731" s="225"/>
      <c r="D731" s="225"/>
      <c r="E731" s="225"/>
      <c r="F731" s="227"/>
      <c r="G731" s="227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</row>
    <row r="732">
      <c r="A732" s="228"/>
      <c r="B732" s="225"/>
      <c r="C732" s="225"/>
      <c r="D732" s="225"/>
      <c r="E732" s="225"/>
      <c r="F732" s="227"/>
      <c r="G732" s="227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</row>
    <row r="733">
      <c r="A733" s="228"/>
      <c r="B733" s="225"/>
      <c r="C733" s="225"/>
      <c r="D733" s="225"/>
      <c r="E733" s="225"/>
      <c r="F733" s="227"/>
      <c r="G733" s="227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</row>
    <row r="734">
      <c r="A734" s="228"/>
      <c r="B734" s="225"/>
      <c r="C734" s="225"/>
      <c r="D734" s="225"/>
      <c r="E734" s="225"/>
      <c r="F734" s="227"/>
      <c r="G734" s="227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</row>
    <row r="735">
      <c r="A735" s="228"/>
      <c r="B735" s="225"/>
      <c r="C735" s="225"/>
      <c r="D735" s="225"/>
      <c r="E735" s="225"/>
      <c r="F735" s="227"/>
      <c r="G735" s="227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</row>
    <row r="736">
      <c r="A736" s="228"/>
      <c r="B736" s="225"/>
      <c r="C736" s="225"/>
      <c r="D736" s="225"/>
      <c r="E736" s="225"/>
      <c r="F736" s="227"/>
      <c r="G736" s="227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</row>
    <row r="737">
      <c r="A737" s="228"/>
      <c r="B737" s="225"/>
      <c r="C737" s="225"/>
      <c r="D737" s="225"/>
      <c r="E737" s="225"/>
      <c r="F737" s="227"/>
      <c r="G737" s="227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</row>
    <row r="738">
      <c r="A738" s="228"/>
      <c r="B738" s="225"/>
      <c r="C738" s="225"/>
      <c r="D738" s="225"/>
      <c r="E738" s="225"/>
      <c r="F738" s="227"/>
      <c r="G738" s="227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</row>
    <row r="739">
      <c r="A739" s="228"/>
      <c r="B739" s="225"/>
      <c r="C739" s="225"/>
      <c r="D739" s="225"/>
      <c r="E739" s="225"/>
      <c r="F739" s="227"/>
      <c r="G739" s="227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</row>
    <row r="740">
      <c r="A740" s="228"/>
      <c r="B740" s="225"/>
      <c r="C740" s="225"/>
      <c r="D740" s="225"/>
      <c r="E740" s="225"/>
      <c r="F740" s="227"/>
      <c r="G740" s="227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</row>
    <row r="741">
      <c r="A741" s="228"/>
      <c r="B741" s="225"/>
      <c r="C741" s="225"/>
      <c r="D741" s="225"/>
      <c r="E741" s="225"/>
      <c r="F741" s="227"/>
      <c r="G741" s="227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</row>
    <row r="742">
      <c r="A742" s="228"/>
      <c r="B742" s="225"/>
      <c r="C742" s="225"/>
      <c r="D742" s="225"/>
      <c r="E742" s="225"/>
      <c r="F742" s="227"/>
      <c r="G742" s="227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</row>
    <row r="743">
      <c r="A743" s="228"/>
      <c r="B743" s="225"/>
      <c r="C743" s="225"/>
      <c r="D743" s="225"/>
      <c r="E743" s="225"/>
      <c r="F743" s="227"/>
      <c r="G743" s="227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</row>
    <row r="744">
      <c r="A744" s="228"/>
      <c r="B744" s="225"/>
      <c r="C744" s="225"/>
      <c r="D744" s="225"/>
      <c r="E744" s="225"/>
      <c r="F744" s="227"/>
      <c r="G744" s="227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</row>
    <row r="745">
      <c r="A745" s="228"/>
      <c r="B745" s="225"/>
      <c r="C745" s="225"/>
      <c r="D745" s="225"/>
      <c r="E745" s="225"/>
      <c r="F745" s="227"/>
      <c r="G745" s="227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</row>
    <row r="746">
      <c r="A746" s="228"/>
      <c r="B746" s="225"/>
      <c r="C746" s="225"/>
      <c r="D746" s="225"/>
      <c r="E746" s="225"/>
      <c r="F746" s="227"/>
      <c r="G746" s="227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</row>
    <row r="747">
      <c r="A747" s="228"/>
      <c r="B747" s="225"/>
      <c r="C747" s="225"/>
      <c r="D747" s="225"/>
      <c r="E747" s="225"/>
      <c r="F747" s="227"/>
      <c r="G747" s="227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</row>
    <row r="748">
      <c r="A748" s="228"/>
      <c r="B748" s="225"/>
      <c r="C748" s="225"/>
      <c r="D748" s="225"/>
      <c r="E748" s="225"/>
      <c r="F748" s="227"/>
      <c r="G748" s="227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</row>
    <row r="749">
      <c r="A749" s="228"/>
      <c r="B749" s="225"/>
      <c r="C749" s="225"/>
      <c r="D749" s="225"/>
      <c r="E749" s="225"/>
      <c r="F749" s="227"/>
      <c r="G749" s="227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</row>
    <row r="750">
      <c r="A750" s="228"/>
      <c r="B750" s="225"/>
      <c r="C750" s="225"/>
      <c r="D750" s="225"/>
      <c r="E750" s="225"/>
      <c r="F750" s="227"/>
      <c r="G750" s="227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</row>
    <row r="751">
      <c r="A751" s="228"/>
      <c r="B751" s="225"/>
      <c r="C751" s="225"/>
      <c r="D751" s="225"/>
      <c r="E751" s="225"/>
      <c r="F751" s="227"/>
      <c r="G751" s="227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</row>
    <row r="752">
      <c r="A752" s="228"/>
      <c r="B752" s="225"/>
      <c r="C752" s="225"/>
      <c r="D752" s="225"/>
      <c r="E752" s="225"/>
      <c r="F752" s="227"/>
      <c r="G752" s="227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</row>
    <row r="753">
      <c r="A753" s="228"/>
      <c r="B753" s="225"/>
      <c r="C753" s="225"/>
      <c r="D753" s="225"/>
      <c r="E753" s="225"/>
      <c r="F753" s="227"/>
      <c r="G753" s="227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</row>
    <row r="754">
      <c r="A754" s="228"/>
      <c r="B754" s="225"/>
      <c r="C754" s="225"/>
      <c r="D754" s="225"/>
      <c r="E754" s="225"/>
      <c r="F754" s="227"/>
      <c r="G754" s="227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</row>
    <row r="755">
      <c r="A755" s="228"/>
      <c r="B755" s="225"/>
      <c r="C755" s="225"/>
      <c r="D755" s="225"/>
      <c r="E755" s="225"/>
      <c r="F755" s="227"/>
      <c r="G755" s="227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</row>
    <row r="756">
      <c r="A756" s="228"/>
      <c r="B756" s="225"/>
      <c r="C756" s="225"/>
      <c r="D756" s="225"/>
      <c r="E756" s="225"/>
      <c r="F756" s="227"/>
      <c r="G756" s="227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</row>
    <row r="757">
      <c r="A757" s="228"/>
      <c r="B757" s="225"/>
      <c r="C757" s="225"/>
      <c r="D757" s="225"/>
      <c r="E757" s="225"/>
      <c r="F757" s="227"/>
      <c r="G757" s="227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</row>
    <row r="758">
      <c r="A758" s="228"/>
      <c r="B758" s="225"/>
      <c r="C758" s="225"/>
      <c r="D758" s="225"/>
      <c r="E758" s="225"/>
      <c r="F758" s="227"/>
      <c r="G758" s="227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</row>
    <row r="759">
      <c r="A759" s="228"/>
      <c r="B759" s="225"/>
      <c r="C759" s="225"/>
      <c r="D759" s="225"/>
      <c r="E759" s="225"/>
      <c r="F759" s="227"/>
      <c r="G759" s="227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</row>
    <row r="760">
      <c r="A760" s="228"/>
      <c r="B760" s="225"/>
      <c r="C760" s="225"/>
      <c r="D760" s="225"/>
      <c r="E760" s="225"/>
      <c r="F760" s="227"/>
      <c r="G760" s="227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</row>
    <row r="761">
      <c r="A761" s="228"/>
      <c r="B761" s="225"/>
      <c r="C761" s="225"/>
      <c r="D761" s="225"/>
      <c r="E761" s="225"/>
      <c r="F761" s="227"/>
      <c r="G761" s="227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</row>
    <row r="762">
      <c r="A762" s="228"/>
      <c r="B762" s="225"/>
      <c r="C762" s="225"/>
      <c r="D762" s="225"/>
      <c r="E762" s="225"/>
      <c r="F762" s="227"/>
      <c r="G762" s="227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</row>
    <row r="763">
      <c r="A763" s="228"/>
      <c r="B763" s="225"/>
      <c r="C763" s="225"/>
      <c r="D763" s="225"/>
      <c r="E763" s="225"/>
      <c r="F763" s="227"/>
      <c r="G763" s="227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</row>
    <row r="764">
      <c r="A764" s="228"/>
      <c r="B764" s="225"/>
      <c r="C764" s="225"/>
      <c r="D764" s="225"/>
      <c r="E764" s="225"/>
      <c r="F764" s="227"/>
      <c r="G764" s="227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</row>
    <row r="765">
      <c r="A765" s="228"/>
      <c r="B765" s="225"/>
      <c r="C765" s="225"/>
      <c r="D765" s="225"/>
      <c r="E765" s="225"/>
      <c r="F765" s="227"/>
      <c r="G765" s="227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</row>
    <row r="766">
      <c r="A766" s="228"/>
      <c r="B766" s="225"/>
      <c r="C766" s="225"/>
      <c r="D766" s="225"/>
      <c r="E766" s="225"/>
      <c r="F766" s="227"/>
      <c r="G766" s="227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</row>
    <row r="767">
      <c r="A767" s="228"/>
      <c r="B767" s="225"/>
      <c r="C767" s="225"/>
      <c r="D767" s="225"/>
      <c r="E767" s="225"/>
      <c r="F767" s="227"/>
      <c r="G767" s="227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</row>
    <row r="768">
      <c r="A768" s="228"/>
      <c r="B768" s="225"/>
      <c r="C768" s="225"/>
      <c r="D768" s="225"/>
      <c r="E768" s="225"/>
      <c r="F768" s="227"/>
      <c r="G768" s="227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</row>
    <row r="769">
      <c r="A769" s="228"/>
      <c r="B769" s="225"/>
      <c r="C769" s="225"/>
      <c r="D769" s="225"/>
      <c r="E769" s="225"/>
      <c r="F769" s="227"/>
      <c r="G769" s="227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</row>
    <row r="770">
      <c r="A770" s="228"/>
      <c r="B770" s="225"/>
      <c r="C770" s="225"/>
      <c r="D770" s="225"/>
      <c r="E770" s="225"/>
      <c r="F770" s="227"/>
      <c r="G770" s="227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</row>
    <row r="771">
      <c r="A771" s="228"/>
      <c r="B771" s="225"/>
      <c r="C771" s="225"/>
      <c r="D771" s="225"/>
      <c r="E771" s="225"/>
      <c r="F771" s="227"/>
      <c r="G771" s="227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</row>
    <row r="772">
      <c r="A772" s="228"/>
      <c r="B772" s="225"/>
      <c r="C772" s="225"/>
      <c r="D772" s="225"/>
      <c r="E772" s="225"/>
      <c r="F772" s="227"/>
      <c r="G772" s="227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</row>
    <row r="773">
      <c r="A773" s="228"/>
      <c r="B773" s="225"/>
      <c r="C773" s="225"/>
      <c r="D773" s="225"/>
      <c r="E773" s="225"/>
      <c r="F773" s="227"/>
      <c r="G773" s="227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</row>
    <row r="774">
      <c r="A774" s="228"/>
      <c r="B774" s="225"/>
      <c r="C774" s="225"/>
      <c r="D774" s="225"/>
      <c r="E774" s="225"/>
      <c r="F774" s="227"/>
      <c r="G774" s="227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</row>
    <row r="775">
      <c r="A775" s="228"/>
      <c r="B775" s="225"/>
      <c r="C775" s="225"/>
      <c r="D775" s="225"/>
      <c r="E775" s="225"/>
      <c r="F775" s="227"/>
      <c r="G775" s="227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</row>
    <row r="776">
      <c r="A776" s="228"/>
      <c r="B776" s="225"/>
      <c r="C776" s="225"/>
      <c r="D776" s="225"/>
      <c r="E776" s="225"/>
      <c r="F776" s="227"/>
      <c r="G776" s="227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</row>
    <row r="777">
      <c r="A777" s="228"/>
      <c r="B777" s="225"/>
      <c r="C777" s="225"/>
      <c r="D777" s="225"/>
      <c r="E777" s="225"/>
      <c r="F777" s="227"/>
      <c r="G777" s="227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</row>
    <row r="778">
      <c r="A778" s="228"/>
      <c r="B778" s="225"/>
      <c r="C778" s="225"/>
      <c r="D778" s="225"/>
      <c r="E778" s="225"/>
      <c r="F778" s="227"/>
      <c r="G778" s="227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</row>
    <row r="779">
      <c r="A779" s="228"/>
      <c r="B779" s="225"/>
      <c r="C779" s="225"/>
      <c r="D779" s="225"/>
      <c r="E779" s="225"/>
      <c r="F779" s="227"/>
      <c r="G779" s="227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</row>
    <row r="780">
      <c r="A780" s="228"/>
      <c r="B780" s="225"/>
      <c r="C780" s="225"/>
      <c r="D780" s="225"/>
      <c r="E780" s="225"/>
      <c r="F780" s="227"/>
      <c r="G780" s="227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</row>
    <row r="781">
      <c r="A781" s="228"/>
      <c r="B781" s="225"/>
      <c r="C781" s="225"/>
      <c r="D781" s="225"/>
      <c r="E781" s="225"/>
      <c r="F781" s="227"/>
      <c r="G781" s="227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</row>
    <row r="782">
      <c r="A782" s="228"/>
      <c r="B782" s="225"/>
      <c r="C782" s="225"/>
      <c r="D782" s="225"/>
      <c r="E782" s="225"/>
      <c r="F782" s="227"/>
      <c r="G782" s="227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</row>
    <row r="783">
      <c r="A783" s="228"/>
      <c r="B783" s="225"/>
      <c r="C783" s="225"/>
      <c r="D783" s="225"/>
      <c r="E783" s="225"/>
      <c r="F783" s="227"/>
      <c r="G783" s="227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</row>
    <row r="784">
      <c r="A784" s="228"/>
      <c r="B784" s="225"/>
      <c r="C784" s="225"/>
      <c r="D784" s="225"/>
      <c r="E784" s="225"/>
      <c r="F784" s="227"/>
      <c r="G784" s="227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</row>
    <row r="785">
      <c r="A785" s="228"/>
      <c r="B785" s="225"/>
      <c r="C785" s="225"/>
      <c r="D785" s="225"/>
      <c r="E785" s="225"/>
      <c r="F785" s="227"/>
      <c r="G785" s="227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</row>
    <row r="786">
      <c r="A786" s="228"/>
      <c r="B786" s="225"/>
      <c r="C786" s="225"/>
      <c r="D786" s="225"/>
      <c r="E786" s="225"/>
      <c r="F786" s="227"/>
      <c r="G786" s="227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</row>
    <row r="787">
      <c r="A787" s="228"/>
      <c r="B787" s="225"/>
      <c r="C787" s="225"/>
      <c r="D787" s="225"/>
      <c r="E787" s="225"/>
      <c r="F787" s="227"/>
      <c r="G787" s="227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</row>
    <row r="788">
      <c r="A788" s="228"/>
      <c r="B788" s="225"/>
      <c r="C788" s="225"/>
      <c r="D788" s="225"/>
      <c r="E788" s="225"/>
      <c r="F788" s="227"/>
      <c r="G788" s="227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</row>
    <row r="789">
      <c r="A789" s="228"/>
      <c r="B789" s="225"/>
      <c r="C789" s="225"/>
      <c r="D789" s="225"/>
      <c r="E789" s="225"/>
      <c r="F789" s="227"/>
      <c r="G789" s="227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</row>
    <row r="790">
      <c r="A790" s="228"/>
      <c r="B790" s="225"/>
      <c r="C790" s="225"/>
      <c r="D790" s="225"/>
      <c r="E790" s="225"/>
      <c r="F790" s="227"/>
      <c r="G790" s="227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</row>
    <row r="791">
      <c r="A791" s="228"/>
      <c r="B791" s="225"/>
      <c r="C791" s="225"/>
      <c r="D791" s="225"/>
      <c r="E791" s="225"/>
      <c r="F791" s="227"/>
      <c r="G791" s="227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</row>
    <row r="792">
      <c r="A792" s="228"/>
      <c r="B792" s="225"/>
      <c r="C792" s="225"/>
      <c r="D792" s="225"/>
      <c r="E792" s="225"/>
      <c r="F792" s="227"/>
      <c r="G792" s="227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</row>
    <row r="793">
      <c r="A793" s="228"/>
      <c r="B793" s="225"/>
      <c r="C793" s="225"/>
      <c r="D793" s="225"/>
      <c r="E793" s="225"/>
      <c r="F793" s="227"/>
      <c r="G793" s="227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</row>
    <row r="794">
      <c r="A794" s="228"/>
      <c r="B794" s="225"/>
      <c r="C794" s="225"/>
      <c r="D794" s="225"/>
      <c r="E794" s="225"/>
      <c r="F794" s="227"/>
      <c r="G794" s="227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</row>
    <row r="795">
      <c r="A795" s="228"/>
      <c r="B795" s="225"/>
      <c r="C795" s="225"/>
      <c r="D795" s="225"/>
      <c r="E795" s="225"/>
      <c r="F795" s="227"/>
      <c r="G795" s="227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</row>
    <row r="796">
      <c r="A796" s="228"/>
      <c r="B796" s="225"/>
      <c r="C796" s="225"/>
      <c r="D796" s="225"/>
      <c r="E796" s="225"/>
      <c r="F796" s="227"/>
      <c r="G796" s="227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</row>
    <row r="797">
      <c r="A797" s="228"/>
      <c r="B797" s="225"/>
      <c r="C797" s="225"/>
      <c r="D797" s="225"/>
      <c r="E797" s="225"/>
      <c r="F797" s="227"/>
      <c r="G797" s="227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</row>
    <row r="798">
      <c r="A798" s="228"/>
      <c r="B798" s="225"/>
      <c r="C798" s="225"/>
      <c r="D798" s="225"/>
      <c r="E798" s="225"/>
      <c r="F798" s="227"/>
      <c r="G798" s="227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</row>
    <row r="799">
      <c r="A799" s="228"/>
      <c r="B799" s="225"/>
      <c r="C799" s="225"/>
      <c r="D799" s="225"/>
      <c r="E799" s="225"/>
      <c r="F799" s="227"/>
      <c r="G799" s="227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</row>
    <row r="800">
      <c r="A800" s="228"/>
      <c r="B800" s="225"/>
      <c r="C800" s="225"/>
      <c r="D800" s="225"/>
      <c r="E800" s="225"/>
      <c r="F800" s="227"/>
      <c r="G800" s="227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</row>
    <row r="801">
      <c r="A801" s="228"/>
      <c r="B801" s="225"/>
      <c r="C801" s="225"/>
      <c r="D801" s="225"/>
      <c r="E801" s="225"/>
      <c r="F801" s="227"/>
      <c r="G801" s="227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</row>
    <row r="802">
      <c r="A802" s="228"/>
      <c r="B802" s="225"/>
      <c r="C802" s="225"/>
      <c r="D802" s="225"/>
      <c r="E802" s="225"/>
      <c r="F802" s="227"/>
      <c r="G802" s="227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</row>
    <row r="803">
      <c r="A803" s="228"/>
      <c r="B803" s="225"/>
      <c r="C803" s="225"/>
      <c r="D803" s="225"/>
      <c r="E803" s="225"/>
      <c r="F803" s="227"/>
      <c r="G803" s="227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</row>
    <row r="804">
      <c r="A804" s="228"/>
      <c r="B804" s="225"/>
      <c r="C804" s="225"/>
      <c r="D804" s="225"/>
      <c r="E804" s="225"/>
      <c r="F804" s="227"/>
      <c r="G804" s="227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</row>
    <row r="805">
      <c r="A805" s="228"/>
      <c r="B805" s="225"/>
      <c r="C805" s="225"/>
      <c r="D805" s="225"/>
      <c r="E805" s="225"/>
      <c r="F805" s="227"/>
      <c r="G805" s="227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</row>
    <row r="806">
      <c r="A806" s="228"/>
      <c r="B806" s="225"/>
      <c r="C806" s="225"/>
      <c r="D806" s="225"/>
      <c r="E806" s="225"/>
      <c r="F806" s="227"/>
      <c r="G806" s="227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</row>
    <row r="807">
      <c r="A807" s="228"/>
      <c r="B807" s="225"/>
      <c r="C807" s="225"/>
      <c r="D807" s="225"/>
      <c r="E807" s="225"/>
      <c r="F807" s="227"/>
      <c r="G807" s="227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</row>
    <row r="808">
      <c r="A808" s="228"/>
      <c r="B808" s="225"/>
      <c r="C808" s="225"/>
      <c r="D808" s="225"/>
      <c r="E808" s="225"/>
      <c r="F808" s="227"/>
      <c r="G808" s="227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</row>
    <row r="809">
      <c r="A809" s="228"/>
      <c r="B809" s="225"/>
      <c r="C809" s="225"/>
      <c r="D809" s="225"/>
      <c r="E809" s="225"/>
      <c r="F809" s="227"/>
      <c r="G809" s="227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</row>
    <row r="810">
      <c r="A810" s="228"/>
      <c r="B810" s="225"/>
      <c r="C810" s="225"/>
      <c r="D810" s="225"/>
      <c r="E810" s="225"/>
      <c r="F810" s="227"/>
      <c r="G810" s="227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</row>
    <row r="811">
      <c r="A811" s="228"/>
      <c r="B811" s="225"/>
      <c r="C811" s="225"/>
      <c r="D811" s="225"/>
      <c r="E811" s="225"/>
      <c r="F811" s="227"/>
      <c r="G811" s="227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</row>
    <row r="812">
      <c r="A812" s="228"/>
      <c r="B812" s="225"/>
      <c r="C812" s="225"/>
      <c r="D812" s="225"/>
      <c r="E812" s="225"/>
      <c r="F812" s="227"/>
      <c r="G812" s="227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</row>
    <row r="813">
      <c r="A813" s="228"/>
      <c r="B813" s="225"/>
      <c r="C813" s="225"/>
      <c r="D813" s="225"/>
      <c r="E813" s="225"/>
      <c r="F813" s="227"/>
      <c r="G813" s="227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</row>
    <row r="814">
      <c r="A814" s="228"/>
      <c r="B814" s="225"/>
      <c r="C814" s="225"/>
      <c r="D814" s="225"/>
      <c r="E814" s="225"/>
      <c r="F814" s="227"/>
      <c r="G814" s="227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</row>
    <row r="815">
      <c r="A815" s="228"/>
      <c r="B815" s="225"/>
      <c r="C815" s="225"/>
      <c r="D815" s="225"/>
      <c r="E815" s="225"/>
      <c r="F815" s="227"/>
      <c r="G815" s="227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</row>
    <row r="816">
      <c r="A816" s="228"/>
      <c r="B816" s="225"/>
      <c r="C816" s="225"/>
      <c r="D816" s="225"/>
      <c r="E816" s="225"/>
      <c r="F816" s="227"/>
      <c r="G816" s="227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</row>
    <row r="817">
      <c r="A817" s="228"/>
      <c r="B817" s="225"/>
      <c r="C817" s="225"/>
      <c r="D817" s="225"/>
      <c r="E817" s="225"/>
      <c r="F817" s="227"/>
      <c r="G817" s="227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</row>
    <row r="818">
      <c r="A818" s="228"/>
      <c r="B818" s="225"/>
      <c r="C818" s="225"/>
      <c r="D818" s="225"/>
      <c r="E818" s="225"/>
      <c r="F818" s="227"/>
      <c r="G818" s="227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</row>
    <row r="819">
      <c r="A819" s="228"/>
      <c r="B819" s="225"/>
      <c r="C819" s="225"/>
      <c r="D819" s="225"/>
      <c r="E819" s="225"/>
      <c r="F819" s="227"/>
      <c r="G819" s="227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</row>
    <row r="820">
      <c r="A820" s="228"/>
      <c r="B820" s="225"/>
      <c r="C820" s="225"/>
      <c r="D820" s="225"/>
      <c r="E820" s="225"/>
      <c r="F820" s="227"/>
      <c r="G820" s="227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</row>
    <row r="821">
      <c r="A821" s="228"/>
      <c r="B821" s="225"/>
      <c r="C821" s="225"/>
      <c r="D821" s="225"/>
      <c r="E821" s="225"/>
      <c r="F821" s="227"/>
      <c r="G821" s="227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</row>
    <row r="822">
      <c r="A822" s="228"/>
      <c r="B822" s="225"/>
      <c r="C822" s="225"/>
      <c r="D822" s="225"/>
      <c r="E822" s="225"/>
      <c r="F822" s="227"/>
      <c r="G822" s="227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</row>
    <row r="823">
      <c r="A823" s="228"/>
      <c r="B823" s="225"/>
      <c r="C823" s="225"/>
      <c r="D823" s="225"/>
      <c r="E823" s="225"/>
      <c r="F823" s="227"/>
      <c r="G823" s="227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</row>
    <row r="824">
      <c r="A824" s="228"/>
      <c r="B824" s="225"/>
      <c r="C824" s="225"/>
      <c r="D824" s="225"/>
      <c r="E824" s="225"/>
      <c r="F824" s="227"/>
      <c r="G824" s="227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</row>
    <row r="825">
      <c r="A825" s="228"/>
      <c r="B825" s="225"/>
      <c r="C825" s="225"/>
      <c r="D825" s="225"/>
      <c r="E825" s="225"/>
      <c r="F825" s="227"/>
      <c r="G825" s="227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</row>
    <row r="826">
      <c r="A826" s="228"/>
      <c r="B826" s="225"/>
      <c r="C826" s="225"/>
      <c r="D826" s="225"/>
      <c r="E826" s="225"/>
      <c r="F826" s="227"/>
      <c r="G826" s="227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</row>
    <row r="827">
      <c r="A827" s="228"/>
      <c r="B827" s="225"/>
      <c r="C827" s="225"/>
      <c r="D827" s="225"/>
      <c r="E827" s="225"/>
      <c r="F827" s="227"/>
      <c r="G827" s="227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</row>
    <row r="828">
      <c r="A828" s="228"/>
      <c r="B828" s="225"/>
      <c r="C828" s="225"/>
      <c r="D828" s="225"/>
      <c r="E828" s="225"/>
      <c r="F828" s="227"/>
      <c r="G828" s="227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</row>
    <row r="829">
      <c r="A829" s="228"/>
      <c r="B829" s="225"/>
      <c r="C829" s="225"/>
      <c r="D829" s="225"/>
      <c r="E829" s="225"/>
      <c r="F829" s="227"/>
      <c r="G829" s="227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</row>
    <row r="830">
      <c r="A830" s="228"/>
      <c r="B830" s="225"/>
      <c r="C830" s="225"/>
      <c r="D830" s="225"/>
      <c r="E830" s="225"/>
      <c r="F830" s="227"/>
      <c r="G830" s="227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</row>
    <row r="831">
      <c r="A831" s="228"/>
      <c r="B831" s="225"/>
      <c r="C831" s="225"/>
      <c r="D831" s="225"/>
      <c r="E831" s="225"/>
      <c r="F831" s="227"/>
      <c r="G831" s="227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</row>
    <row r="832">
      <c r="A832" s="228"/>
      <c r="B832" s="225"/>
      <c r="C832" s="225"/>
      <c r="D832" s="225"/>
      <c r="E832" s="225"/>
      <c r="F832" s="227"/>
      <c r="G832" s="227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</row>
    <row r="833">
      <c r="A833" s="228"/>
      <c r="B833" s="225"/>
      <c r="C833" s="225"/>
      <c r="D833" s="225"/>
      <c r="E833" s="225"/>
      <c r="F833" s="227"/>
      <c r="G833" s="227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</row>
    <row r="834">
      <c r="A834" s="228"/>
      <c r="B834" s="225"/>
      <c r="C834" s="225"/>
      <c r="D834" s="225"/>
      <c r="E834" s="225"/>
      <c r="F834" s="227"/>
      <c r="G834" s="227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</row>
    <row r="835">
      <c r="A835" s="228"/>
      <c r="B835" s="225"/>
      <c r="C835" s="225"/>
      <c r="D835" s="225"/>
      <c r="E835" s="225"/>
      <c r="F835" s="227"/>
      <c r="G835" s="227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</row>
    <row r="836">
      <c r="A836" s="228"/>
      <c r="B836" s="225"/>
      <c r="C836" s="225"/>
      <c r="D836" s="225"/>
      <c r="E836" s="225"/>
      <c r="F836" s="227"/>
      <c r="G836" s="227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</row>
    <row r="837">
      <c r="A837" s="228"/>
      <c r="B837" s="225"/>
      <c r="C837" s="225"/>
      <c r="D837" s="225"/>
      <c r="E837" s="225"/>
      <c r="F837" s="227"/>
      <c r="G837" s="227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</row>
    <row r="838">
      <c r="A838" s="228"/>
      <c r="B838" s="225"/>
      <c r="C838" s="225"/>
      <c r="D838" s="225"/>
      <c r="E838" s="225"/>
      <c r="F838" s="227"/>
      <c r="G838" s="227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</row>
    <row r="839">
      <c r="A839" s="228"/>
      <c r="B839" s="225"/>
      <c r="C839" s="225"/>
      <c r="D839" s="225"/>
      <c r="E839" s="225"/>
      <c r="F839" s="227"/>
      <c r="G839" s="227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</row>
    <row r="840">
      <c r="A840" s="228"/>
      <c r="B840" s="225"/>
      <c r="C840" s="225"/>
      <c r="D840" s="225"/>
      <c r="E840" s="225"/>
      <c r="F840" s="227"/>
      <c r="G840" s="227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</row>
    <row r="841">
      <c r="A841" s="228"/>
      <c r="B841" s="225"/>
      <c r="C841" s="225"/>
      <c r="D841" s="225"/>
      <c r="E841" s="225"/>
      <c r="F841" s="227"/>
      <c r="G841" s="227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</row>
    <row r="842">
      <c r="A842" s="228"/>
      <c r="B842" s="225"/>
      <c r="C842" s="225"/>
      <c r="D842" s="225"/>
      <c r="E842" s="225"/>
      <c r="F842" s="227"/>
      <c r="G842" s="227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</row>
    <row r="843">
      <c r="A843" s="228"/>
      <c r="B843" s="225"/>
      <c r="C843" s="225"/>
      <c r="D843" s="225"/>
      <c r="E843" s="225"/>
      <c r="F843" s="227"/>
      <c r="G843" s="227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</row>
    <row r="844">
      <c r="A844" s="228"/>
      <c r="B844" s="225"/>
      <c r="C844" s="225"/>
      <c r="D844" s="225"/>
      <c r="E844" s="225"/>
      <c r="F844" s="227"/>
      <c r="G844" s="227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</row>
    <row r="845">
      <c r="A845" s="228"/>
      <c r="B845" s="225"/>
      <c r="C845" s="225"/>
      <c r="D845" s="225"/>
      <c r="E845" s="225"/>
      <c r="F845" s="227"/>
      <c r="G845" s="227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</row>
    <row r="846">
      <c r="A846" s="228"/>
      <c r="B846" s="225"/>
      <c r="C846" s="225"/>
      <c r="D846" s="225"/>
      <c r="E846" s="225"/>
      <c r="F846" s="227"/>
      <c r="G846" s="227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</row>
    <row r="847">
      <c r="A847" s="228"/>
      <c r="B847" s="225"/>
      <c r="C847" s="225"/>
      <c r="D847" s="225"/>
      <c r="E847" s="225"/>
      <c r="F847" s="227"/>
      <c r="G847" s="227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</row>
    <row r="848">
      <c r="A848" s="228"/>
      <c r="B848" s="225"/>
      <c r="C848" s="225"/>
      <c r="D848" s="225"/>
      <c r="E848" s="225"/>
      <c r="F848" s="227"/>
      <c r="G848" s="227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</row>
    <row r="849">
      <c r="A849" s="228"/>
      <c r="B849" s="225"/>
      <c r="C849" s="225"/>
      <c r="D849" s="225"/>
      <c r="E849" s="225"/>
      <c r="F849" s="227"/>
      <c r="G849" s="227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</row>
    <row r="850">
      <c r="A850" s="228"/>
      <c r="B850" s="225"/>
      <c r="C850" s="225"/>
      <c r="D850" s="225"/>
      <c r="E850" s="225"/>
      <c r="F850" s="227"/>
      <c r="G850" s="227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</row>
    <row r="851">
      <c r="A851" s="228"/>
      <c r="B851" s="225"/>
      <c r="C851" s="225"/>
      <c r="D851" s="225"/>
      <c r="E851" s="225"/>
      <c r="F851" s="227"/>
      <c r="G851" s="227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</row>
    <row r="852">
      <c r="A852" s="228"/>
      <c r="B852" s="225"/>
      <c r="C852" s="225"/>
      <c r="D852" s="225"/>
      <c r="E852" s="225"/>
      <c r="F852" s="227"/>
      <c r="G852" s="227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</row>
    <row r="853">
      <c r="A853" s="228"/>
      <c r="B853" s="225"/>
      <c r="C853" s="225"/>
      <c r="D853" s="225"/>
      <c r="E853" s="225"/>
      <c r="F853" s="227"/>
      <c r="G853" s="227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</row>
    <row r="854">
      <c r="A854" s="228"/>
      <c r="B854" s="225"/>
      <c r="C854" s="225"/>
      <c r="D854" s="225"/>
      <c r="E854" s="225"/>
      <c r="F854" s="227"/>
      <c r="G854" s="227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</row>
    <row r="855">
      <c r="A855" s="228"/>
      <c r="B855" s="225"/>
      <c r="C855" s="225"/>
      <c r="D855" s="225"/>
      <c r="E855" s="225"/>
      <c r="F855" s="227"/>
      <c r="G855" s="227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</row>
    <row r="856">
      <c r="A856" s="228"/>
      <c r="B856" s="225"/>
      <c r="C856" s="225"/>
      <c r="D856" s="225"/>
      <c r="E856" s="225"/>
      <c r="F856" s="227"/>
      <c r="G856" s="227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</row>
    <row r="857">
      <c r="A857" s="228"/>
      <c r="B857" s="225"/>
      <c r="C857" s="225"/>
      <c r="D857" s="225"/>
      <c r="E857" s="225"/>
      <c r="F857" s="227"/>
      <c r="G857" s="227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</row>
    <row r="858">
      <c r="A858" s="228"/>
      <c r="B858" s="225"/>
      <c r="C858" s="225"/>
      <c r="D858" s="225"/>
      <c r="E858" s="225"/>
      <c r="F858" s="227"/>
      <c r="G858" s="227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</row>
    <row r="859">
      <c r="A859" s="228"/>
      <c r="B859" s="225"/>
      <c r="C859" s="225"/>
      <c r="D859" s="225"/>
      <c r="E859" s="225"/>
      <c r="F859" s="227"/>
      <c r="G859" s="227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</row>
    <row r="860">
      <c r="A860" s="228"/>
      <c r="B860" s="225"/>
      <c r="C860" s="225"/>
      <c r="D860" s="225"/>
      <c r="E860" s="225"/>
      <c r="F860" s="227"/>
      <c r="G860" s="227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</row>
    <row r="861">
      <c r="A861" s="228"/>
      <c r="B861" s="225"/>
      <c r="C861" s="225"/>
      <c r="D861" s="225"/>
      <c r="E861" s="225"/>
      <c r="F861" s="227"/>
      <c r="G861" s="227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</row>
    <row r="862">
      <c r="A862" s="228"/>
      <c r="B862" s="225"/>
      <c r="C862" s="225"/>
      <c r="D862" s="225"/>
      <c r="E862" s="225"/>
      <c r="F862" s="227"/>
      <c r="G862" s="227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</row>
    <row r="863">
      <c r="A863" s="228"/>
      <c r="B863" s="225"/>
      <c r="C863" s="225"/>
      <c r="D863" s="225"/>
      <c r="E863" s="225"/>
      <c r="F863" s="227"/>
      <c r="G863" s="227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</row>
    <row r="864">
      <c r="A864" s="228"/>
      <c r="B864" s="225"/>
      <c r="C864" s="225"/>
      <c r="D864" s="225"/>
      <c r="E864" s="225"/>
      <c r="F864" s="227"/>
      <c r="G864" s="227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</row>
    <row r="865">
      <c r="A865" s="228"/>
      <c r="B865" s="225"/>
      <c r="C865" s="225"/>
      <c r="D865" s="225"/>
      <c r="E865" s="225"/>
      <c r="F865" s="227"/>
      <c r="G865" s="227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</row>
    <row r="866">
      <c r="A866" s="228"/>
      <c r="B866" s="225"/>
      <c r="C866" s="225"/>
      <c r="D866" s="225"/>
      <c r="E866" s="225"/>
      <c r="F866" s="227"/>
      <c r="G866" s="227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</row>
    <row r="867">
      <c r="A867" s="228"/>
      <c r="B867" s="225"/>
      <c r="C867" s="225"/>
      <c r="D867" s="225"/>
      <c r="E867" s="225"/>
      <c r="F867" s="227"/>
      <c r="G867" s="227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</row>
    <row r="868">
      <c r="A868" s="228"/>
      <c r="B868" s="225"/>
      <c r="C868" s="225"/>
      <c r="D868" s="225"/>
      <c r="E868" s="225"/>
      <c r="F868" s="227"/>
      <c r="G868" s="227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</row>
    <row r="869">
      <c r="A869" s="228"/>
      <c r="B869" s="225"/>
      <c r="C869" s="225"/>
      <c r="D869" s="225"/>
      <c r="E869" s="225"/>
      <c r="F869" s="227"/>
      <c r="G869" s="227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</row>
    <row r="870">
      <c r="A870" s="228"/>
      <c r="B870" s="225"/>
      <c r="C870" s="225"/>
      <c r="D870" s="225"/>
      <c r="E870" s="225"/>
      <c r="F870" s="227"/>
      <c r="G870" s="227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</row>
    <row r="871">
      <c r="A871" s="228"/>
      <c r="B871" s="225"/>
      <c r="C871" s="225"/>
      <c r="D871" s="225"/>
      <c r="E871" s="225"/>
      <c r="F871" s="227"/>
      <c r="G871" s="227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</row>
    <row r="872">
      <c r="A872" s="228"/>
      <c r="B872" s="225"/>
      <c r="C872" s="225"/>
      <c r="D872" s="225"/>
      <c r="E872" s="225"/>
      <c r="F872" s="227"/>
      <c r="G872" s="227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</row>
    <row r="873">
      <c r="A873" s="228"/>
      <c r="B873" s="225"/>
      <c r="C873" s="225"/>
      <c r="D873" s="225"/>
      <c r="E873" s="225"/>
      <c r="F873" s="227"/>
      <c r="G873" s="227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</row>
    <row r="874">
      <c r="A874" s="228"/>
      <c r="B874" s="225"/>
      <c r="C874" s="225"/>
      <c r="D874" s="225"/>
      <c r="E874" s="225"/>
      <c r="F874" s="227"/>
      <c r="G874" s="227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</row>
    <row r="875">
      <c r="A875" s="228"/>
      <c r="B875" s="225"/>
      <c r="C875" s="225"/>
      <c r="D875" s="225"/>
      <c r="E875" s="225"/>
      <c r="F875" s="227"/>
      <c r="G875" s="227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</row>
    <row r="876">
      <c r="A876" s="228"/>
      <c r="B876" s="225"/>
      <c r="C876" s="225"/>
      <c r="D876" s="225"/>
      <c r="E876" s="225"/>
      <c r="F876" s="227"/>
      <c r="G876" s="227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</row>
    <row r="877">
      <c r="A877" s="228"/>
      <c r="B877" s="225"/>
      <c r="C877" s="225"/>
      <c r="D877" s="225"/>
      <c r="E877" s="225"/>
      <c r="F877" s="227"/>
      <c r="G877" s="227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</row>
    <row r="878">
      <c r="A878" s="228"/>
      <c r="B878" s="225"/>
      <c r="C878" s="225"/>
      <c r="D878" s="225"/>
      <c r="E878" s="225"/>
      <c r="F878" s="227"/>
      <c r="G878" s="227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</row>
    <row r="879">
      <c r="A879" s="228"/>
      <c r="B879" s="225"/>
      <c r="C879" s="225"/>
      <c r="D879" s="225"/>
      <c r="E879" s="225"/>
      <c r="F879" s="227"/>
      <c r="G879" s="227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</row>
    <row r="880">
      <c r="A880" s="228"/>
      <c r="B880" s="225"/>
      <c r="C880" s="225"/>
      <c r="D880" s="225"/>
      <c r="E880" s="225"/>
      <c r="F880" s="227"/>
      <c r="G880" s="227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</row>
    <row r="881">
      <c r="A881" s="228"/>
      <c r="B881" s="225"/>
      <c r="C881" s="225"/>
      <c r="D881" s="225"/>
      <c r="E881" s="225"/>
      <c r="F881" s="227"/>
      <c r="G881" s="227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</row>
    <row r="882">
      <c r="A882" s="228"/>
      <c r="B882" s="225"/>
      <c r="C882" s="225"/>
      <c r="D882" s="225"/>
      <c r="E882" s="225"/>
      <c r="F882" s="227"/>
      <c r="G882" s="227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</row>
    <row r="883">
      <c r="A883" s="228"/>
      <c r="B883" s="225"/>
      <c r="C883" s="225"/>
      <c r="D883" s="225"/>
      <c r="E883" s="225"/>
      <c r="F883" s="227"/>
      <c r="G883" s="227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</row>
    <row r="884">
      <c r="A884" s="228"/>
      <c r="B884" s="225"/>
      <c r="C884" s="225"/>
      <c r="D884" s="225"/>
      <c r="E884" s="225"/>
      <c r="F884" s="227"/>
      <c r="G884" s="227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</row>
    <row r="885">
      <c r="A885" s="228"/>
      <c r="B885" s="225"/>
      <c r="C885" s="225"/>
      <c r="D885" s="225"/>
      <c r="E885" s="225"/>
      <c r="F885" s="227"/>
      <c r="G885" s="227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</row>
    <row r="886">
      <c r="A886" s="228"/>
      <c r="B886" s="225"/>
      <c r="C886" s="225"/>
      <c r="D886" s="225"/>
      <c r="E886" s="225"/>
      <c r="F886" s="227"/>
      <c r="G886" s="227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</row>
    <row r="887">
      <c r="A887" s="228"/>
      <c r="B887" s="225"/>
      <c r="C887" s="225"/>
      <c r="D887" s="225"/>
      <c r="E887" s="225"/>
      <c r="F887" s="227"/>
      <c r="G887" s="227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</row>
    <row r="888">
      <c r="A888" s="228"/>
      <c r="B888" s="225"/>
      <c r="C888" s="225"/>
      <c r="D888" s="225"/>
      <c r="E888" s="225"/>
      <c r="F888" s="227"/>
      <c r="G888" s="227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</row>
    <row r="889">
      <c r="A889" s="228"/>
      <c r="B889" s="225"/>
      <c r="C889" s="225"/>
      <c r="D889" s="225"/>
      <c r="E889" s="225"/>
      <c r="F889" s="227"/>
      <c r="G889" s="227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</row>
    <row r="890">
      <c r="A890" s="228"/>
      <c r="B890" s="225"/>
      <c r="C890" s="225"/>
      <c r="D890" s="225"/>
      <c r="E890" s="225"/>
      <c r="F890" s="227"/>
      <c r="G890" s="227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</row>
    <row r="891">
      <c r="A891" s="228"/>
      <c r="B891" s="225"/>
      <c r="C891" s="225"/>
      <c r="D891" s="225"/>
      <c r="E891" s="225"/>
      <c r="F891" s="227"/>
      <c r="G891" s="227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</row>
    <row r="892">
      <c r="A892" s="228"/>
      <c r="B892" s="225"/>
      <c r="C892" s="225"/>
      <c r="D892" s="225"/>
      <c r="E892" s="225"/>
      <c r="F892" s="227"/>
      <c r="G892" s="227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</row>
    <row r="893">
      <c r="A893" s="228"/>
      <c r="B893" s="225"/>
      <c r="C893" s="225"/>
      <c r="D893" s="225"/>
      <c r="E893" s="225"/>
      <c r="F893" s="227"/>
      <c r="G893" s="227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</row>
    <row r="894">
      <c r="A894" s="228"/>
      <c r="B894" s="225"/>
      <c r="C894" s="225"/>
      <c r="D894" s="225"/>
      <c r="E894" s="225"/>
      <c r="F894" s="227"/>
      <c r="G894" s="227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</row>
    <row r="895">
      <c r="A895" s="228"/>
      <c r="B895" s="225"/>
      <c r="C895" s="225"/>
      <c r="D895" s="225"/>
      <c r="E895" s="225"/>
      <c r="F895" s="227"/>
      <c r="G895" s="227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</row>
    <row r="896">
      <c r="A896" s="228"/>
      <c r="B896" s="225"/>
      <c r="C896" s="225"/>
      <c r="D896" s="225"/>
      <c r="E896" s="225"/>
      <c r="F896" s="227"/>
      <c r="G896" s="227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</row>
    <row r="897">
      <c r="A897" s="228"/>
      <c r="B897" s="225"/>
      <c r="C897" s="225"/>
      <c r="D897" s="225"/>
      <c r="E897" s="225"/>
      <c r="F897" s="227"/>
      <c r="G897" s="227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</row>
    <row r="898">
      <c r="A898" s="228"/>
      <c r="B898" s="225"/>
      <c r="C898" s="225"/>
      <c r="D898" s="225"/>
      <c r="E898" s="225"/>
      <c r="F898" s="227"/>
      <c r="G898" s="227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</row>
    <row r="899">
      <c r="A899" s="228"/>
      <c r="B899" s="225"/>
      <c r="C899" s="225"/>
      <c r="D899" s="225"/>
      <c r="E899" s="225"/>
      <c r="F899" s="227"/>
      <c r="G899" s="227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</row>
    <row r="900">
      <c r="A900" s="228"/>
      <c r="B900" s="225"/>
      <c r="C900" s="225"/>
      <c r="D900" s="225"/>
      <c r="E900" s="225"/>
      <c r="F900" s="227"/>
      <c r="G900" s="227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</row>
    <row r="901">
      <c r="A901" s="228"/>
      <c r="B901" s="225"/>
      <c r="C901" s="225"/>
      <c r="D901" s="225"/>
      <c r="E901" s="225"/>
      <c r="F901" s="227"/>
      <c r="G901" s="227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</row>
    <row r="902">
      <c r="A902" s="228"/>
      <c r="B902" s="225"/>
      <c r="C902" s="225"/>
      <c r="D902" s="225"/>
      <c r="E902" s="225"/>
      <c r="F902" s="227"/>
      <c r="G902" s="227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</row>
    <row r="903">
      <c r="A903" s="228"/>
      <c r="B903" s="225"/>
      <c r="C903" s="225"/>
      <c r="D903" s="225"/>
      <c r="E903" s="225"/>
      <c r="F903" s="227"/>
      <c r="G903" s="227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</row>
    <row r="904">
      <c r="A904" s="228"/>
      <c r="B904" s="225"/>
      <c r="C904" s="225"/>
      <c r="D904" s="225"/>
      <c r="E904" s="225"/>
      <c r="F904" s="227"/>
      <c r="G904" s="227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</row>
    <row r="905">
      <c r="A905" s="228"/>
      <c r="B905" s="225"/>
      <c r="C905" s="225"/>
      <c r="D905" s="225"/>
      <c r="E905" s="225"/>
      <c r="F905" s="227"/>
      <c r="G905" s="227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</row>
    <row r="906">
      <c r="A906" s="228"/>
      <c r="B906" s="225"/>
      <c r="C906" s="225"/>
      <c r="D906" s="225"/>
      <c r="E906" s="225"/>
      <c r="F906" s="227"/>
      <c r="G906" s="227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</row>
    <row r="907">
      <c r="A907" s="228"/>
      <c r="B907" s="225"/>
      <c r="C907" s="225"/>
      <c r="D907" s="225"/>
      <c r="E907" s="225"/>
      <c r="F907" s="227"/>
      <c r="G907" s="227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</row>
    <row r="908">
      <c r="A908" s="228"/>
      <c r="B908" s="225"/>
      <c r="C908" s="225"/>
      <c r="D908" s="225"/>
      <c r="E908" s="225"/>
      <c r="F908" s="227"/>
      <c r="G908" s="227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</row>
    <row r="909">
      <c r="A909" s="228"/>
      <c r="B909" s="225"/>
      <c r="C909" s="225"/>
      <c r="D909" s="225"/>
      <c r="E909" s="225"/>
      <c r="F909" s="227"/>
      <c r="G909" s="227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</row>
    <row r="910">
      <c r="A910" s="228"/>
      <c r="B910" s="225"/>
      <c r="C910" s="225"/>
      <c r="D910" s="225"/>
      <c r="E910" s="225"/>
      <c r="F910" s="227"/>
      <c r="G910" s="227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</row>
    <row r="911">
      <c r="A911" s="228"/>
      <c r="B911" s="225"/>
      <c r="C911" s="225"/>
      <c r="D911" s="225"/>
      <c r="E911" s="225"/>
      <c r="F911" s="227"/>
      <c r="G911" s="227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</row>
    <row r="912">
      <c r="A912" s="228"/>
      <c r="B912" s="225"/>
      <c r="C912" s="225"/>
      <c r="D912" s="225"/>
      <c r="E912" s="225"/>
      <c r="F912" s="227"/>
      <c r="G912" s="227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</row>
    <row r="913">
      <c r="A913" s="228"/>
      <c r="B913" s="225"/>
      <c r="C913" s="225"/>
      <c r="D913" s="225"/>
      <c r="E913" s="225"/>
      <c r="F913" s="227"/>
      <c r="G913" s="227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</row>
    <row r="914">
      <c r="A914" s="228"/>
      <c r="B914" s="225"/>
      <c r="C914" s="225"/>
      <c r="D914" s="225"/>
      <c r="E914" s="225"/>
      <c r="F914" s="227"/>
      <c r="G914" s="227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</row>
    <row r="915">
      <c r="A915" s="228"/>
      <c r="B915" s="225"/>
      <c r="C915" s="225"/>
      <c r="D915" s="225"/>
      <c r="E915" s="225"/>
      <c r="F915" s="227"/>
      <c r="G915" s="227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</row>
    <row r="916">
      <c r="A916" s="228"/>
      <c r="B916" s="225"/>
      <c r="C916" s="225"/>
      <c r="D916" s="225"/>
      <c r="E916" s="225"/>
      <c r="F916" s="227"/>
      <c r="G916" s="227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</row>
    <row r="917">
      <c r="A917" s="228"/>
      <c r="B917" s="225"/>
      <c r="C917" s="225"/>
      <c r="D917" s="225"/>
      <c r="E917" s="225"/>
      <c r="F917" s="227"/>
      <c r="G917" s="227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</row>
    <row r="918">
      <c r="A918" s="228"/>
      <c r="B918" s="225"/>
      <c r="C918" s="225"/>
      <c r="D918" s="225"/>
      <c r="E918" s="225"/>
      <c r="F918" s="227"/>
      <c r="G918" s="227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</row>
    <row r="919">
      <c r="A919" s="228"/>
      <c r="B919" s="225"/>
      <c r="C919" s="225"/>
      <c r="D919" s="225"/>
      <c r="E919" s="225"/>
      <c r="F919" s="227"/>
      <c r="G919" s="227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</row>
    <row r="920">
      <c r="A920" s="228"/>
      <c r="B920" s="225"/>
      <c r="C920" s="225"/>
      <c r="D920" s="225"/>
      <c r="E920" s="225"/>
      <c r="F920" s="227"/>
      <c r="G920" s="227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</row>
    <row r="921">
      <c r="A921" s="228"/>
      <c r="B921" s="225"/>
      <c r="C921" s="225"/>
      <c r="D921" s="225"/>
      <c r="E921" s="225"/>
      <c r="F921" s="227"/>
      <c r="G921" s="227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</row>
    <row r="922">
      <c r="A922" s="228"/>
      <c r="B922" s="225"/>
      <c r="C922" s="225"/>
      <c r="D922" s="225"/>
      <c r="E922" s="225"/>
      <c r="F922" s="227"/>
      <c r="G922" s="227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</row>
    <row r="923">
      <c r="A923" s="228"/>
      <c r="B923" s="225"/>
      <c r="C923" s="225"/>
      <c r="D923" s="225"/>
      <c r="E923" s="225"/>
      <c r="F923" s="227"/>
      <c r="G923" s="227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</row>
    <row r="924">
      <c r="A924" s="228"/>
      <c r="B924" s="225"/>
      <c r="C924" s="225"/>
      <c r="D924" s="225"/>
      <c r="E924" s="225"/>
      <c r="F924" s="227"/>
      <c r="G924" s="227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</row>
    <row r="925">
      <c r="A925" s="228"/>
      <c r="B925" s="225"/>
      <c r="C925" s="225"/>
      <c r="D925" s="225"/>
      <c r="E925" s="225"/>
      <c r="F925" s="227"/>
      <c r="G925" s="227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</row>
    <row r="926">
      <c r="A926" s="228"/>
      <c r="B926" s="225"/>
      <c r="C926" s="225"/>
      <c r="D926" s="225"/>
      <c r="E926" s="225"/>
      <c r="F926" s="227"/>
      <c r="G926" s="227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</row>
    <row r="927">
      <c r="A927" s="228"/>
      <c r="B927" s="225"/>
      <c r="C927" s="225"/>
      <c r="D927" s="225"/>
      <c r="E927" s="225"/>
      <c r="F927" s="227"/>
      <c r="G927" s="227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</row>
    <row r="928">
      <c r="A928" s="228"/>
      <c r="B928" s="225"/>
      <c r="C928" s="225"/>
      <c r="D928" s="225"/>
      <c r="E928" s="225"/>
      <c r="F928" s="227"/>
      <c r="G928" s="227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</row>
    <row r="929">
      <c r="A929" s="228"/>
      <c r="B929" s="225"/>
      <c r="C929" s="225"/>
      <c r="D929" s="225"/>
      <c r="E929" s="225"/>
      <c r="F929" s="227"/>
      <c r="G929" s="227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</row>
    <row r="930">
      <c r="A930" s="228"/>
      <c r="B930" s="225"/>
      <c r="C930" s="225"/>
      <c r="D930" s="225"/>
      <c r="E930" s="225"/>
      <c r="F930" s="227"/>
      <c r="G930" s="227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</row>
    <row r="931">
      <c r="A931" s="228"/>
      <c r="B931" s="225"/>
      <c r="C931" s="225"/>
      <c r="D931" s="225"/>
      <c r="E931" s="225"/>
      <c r="F931" s="227"/>
      <c r="G931" s="227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</row>
    <row r="932">
      <c r="A932" s="228"/>
      <c r="B932" s="225"/>
      <c r="C932" s="225"/>
      <c r="D932" s="225"/>
      <c r="E932" s="225"/>
      <c r="F932" s="227"/>
      <c r="G932" s="227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</row>
    <row r="933">
      <c r="A933" s="228"/>
      <c r="B933" s="225"/>
      <c r="C933" s="225"/>
      <c r="D933" s="225"/>
      <c r="E933" s="225"/>
      <c r="F933" s="227"/>
      <c r="G933" s="227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</row>
    <row r="934">
      <c r="A934" s="228"/>
      <c r="B934" s="225"/>
      <c r="C934" s="225"/>
      <c r="D934" s="225"/>
      <c r="E934" s="225"/>
      <c r="F934" s="227"/>
      <c r="G934" s="227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</row>
    <row r="935">
      <c r="A935" s="228"/>
      <c r="B935" s="225"/>
      <c r="C935" s="225"/>
      <c r="D935" s="225"/>
      <c r="E935" s="225"/>
      <c r="F935" s="227"/>
      <c r="G935" s="227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</row>
    <row r="936">
      <c r="A936" s="228"/>
      <c r="B936" s="225"/>
      <c r="C936" s="225"/>
      <c r="D936" s="225"/>
      <c r="E936" s="225"/>
      <c r="F936" s="227"/>
      <c r="G936" s="227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</row>
    <row r="937">
      <c r="A937" s="228"/>
      <c r="B937" s="225"/>
      <c r="C937" s="225"/>
      <c r="D937" s="225"/>
      <c r="E937" s="225"/>
      <c r="F937" s="227"/>
      <c r="G937" s="227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</row>
    <row r="938">
      <c r="A938" s="228"/>
      <c r="B938" s="225"/>
      <c r="C938" s="225"/>
      <c r="D938" s="225"/>
      <c r="E938" s="225"/>
      <c r="F938" s="227"/>
      <c r="G938" s="227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</row>
    <row r="939">
      <c r="A939" s="228"/>
      <c r="B939" s="225"/>
      <c r="C939" s="225"/>
      <c r="D939" s="225"/>
      <c r="E939" s="225"/>
      <c r="F939" s="227"/>
      <c r="G939" s="227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</row>
    <row r="940">
      <c r="A940" s="228"/>
      <c r="B940" s="225"/>
      <c r="C940" s="225"/>
      <c r="D940" s="225"/>
      <c r="E940" s="225"/>
      <c r="F940" s="227"/>
      <c r="G940" s="227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</row>
    <row r="941">
      <c r="A941" s="228"/>
      <c r="B941" s="225"/>
      <c r="C941" s="225"/>
      <c r="D941" s="225"/>
      <c r="E941" s="225"/>
      <c r="F941" s="227"/>
      <c r="G941" s="227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</row>
    <row r="942">
      <c r="A942" s="228"/>
      <c r="B942" s="225"/>
      <c r="C942" s="225"/>
      <c r="D942" s="225"/>
      <c r="E942" s="225"/>
      <c r="F942" s="227"/>
      <c r="G942" s="227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</row>
    <row r="943">
      <c r="A943" s="228"/>
      <c r="B943" s="225"/>
      <c r="C943" s="225"/>
      <c r="D943" s="225"/>
      <c r="E943" s="225"/>
      <c r="F943" s="227"/>
      <c r="G943" s="227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</row>
    <row r="944">
      <c r="A944" s="228"/>
      <c r="B944" s="225"/>
      <c r="C944" s="225"/>
      <c r="D944" s="225"/>
      <c r="E944" s="225"/>
      <c r="F944" s="227"/>
      <c r="G944" s="227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</row>
    <row r="945">
      <c r="A945" s="228"/>
      <c r="B945" s="225"/>
      <c r="C945" s="225"/>
      <c r="D945" s="225"/>
      <c r="E945" s="225"/>
      <c r="F945" s="227"/>
      <c r="G945" s="227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</row>
    <row r="946">
      <c r="A946" s="228"/>
      <c r="B946" s="225"/>
      <c r="C946" s="225"/>
      <c r="D946" s="225"/>
      <c r="E946" s="225"/>
      <c r="F946" s="227"/>
      <c r="G946" s="227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</row>
    <row r="947">
      <c r="A947" s="228"/>
      <c r="B947" s="225"/>
      <c r="C947" s="225"/>
      <c r="D947" s="225"/>
      <c r="E947" s="225"/>
      <c r="F947" s="227"/>
      <c r="G947" s="227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</row>
    <row r="948">
      <c r="A948" s="228"/>
      <c r="B948" s="225"/>
      <c r="C948" s="225"/>
      <c r="D948" s="225"/>
      <c r="E948" s="225"/>
      <c r="F948" s="227"/>
      <c r="G948" s="227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</row>
    <row r="949">
      <c r="A949" s="228"/>
      <c r="B949" s="225"/>
      <c r="C949" s="225"/>
      <c r="D949" s="225"/>
      <c r="E949" s="225"/>
      <c r="F949" s="227"/>
      <c r="G949" s="227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</row>
    <row r="950">
      <c r="A950" s="228"/>
      <c r="B950" s="225"/>
      <c r="C950" s="225"/>
      <c r="D950" s="225"/>
      <c r="E950" s="225"/>
      <c r="F950" s="227"/>
      <c r="G950" s="227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</row>
    <row r="951">
      <c r="A951" s="228"/>
      <c r="B951" s="225"/>
      <c r="C951" s="225"/>
      <c r="D951" s="225"/>
      <c r="E951" s="225"/>
      <c r="F951" s="227"/>
      <c r="G951" s="227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</row>
    <row r="952">
      <c r="A952" s="228"/>
      <c r="B952" s="225"/>
      <c r="C952" s="225"/>
      <c r="D952" s="225"/>
      <c r="E952" s="225"/>
      <c r="F952" s="227"/>
      <c r="G952" s="227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</row>
    <row r="953">
      <c r="A953" s="228"/>
      <c r="B953" s="225"/>
      <c r="C953" s="225"/>
      <c r="D953" s="225"/>
      <c r="E953" s="225"/>
      <c r="F953" s="227"/>
      <c r="G953" s="227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</row>
    <row r="954">
      <c r="A954" s="228"/>
      <c r="B954" s="225"/>
      <c r="C954" s="225"/>
      <c r="D954" s="225"/>
      <c r="E954" s="225"/>
      <c r="F954" s="227"/>
      <c r="G954" s="227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</row>
    <row r="955">
      <c r="A955" s="228"/>
      <c r="B955" s="225"/>
      <c r="C955" s="225"/>
      <c r="D955" s="225"/>
      <c r="E955" s="225"/>
      <c r="F955" s="227"/>
      <c r="G955" s="227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</row>
    <row r="956">
      <c r="A956" s="228"/>
      <c r="B956" s="225"/>
      <c r="C956" s="225"/>
      <c r="D956" s="225"/>
      <c r="E956" s="225"/>
      <c r="F956" s="227"/>
      <c r="G956" s="227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</row>
    <row r="957">
      <c r="A957" s="228"/>
      <c r="B957" s="225"/>
      <c r="C957" s="225"/>
      <c r="D957" s="225"/>
      <c r="E957" s="225"/>
      <c r="F957" s="227"/>
      <c r="G957" s="227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</row>
    <row r="958">
      <c r="A958" s="228"/>
      <c r="B958" s="225"/>
      <c r="C958" s="225"/>
      <c r="D958" s="225"/>
      <c r="E958" s="225"/>
      <c r="F958" s="227"/>
      <c r="G958" s="227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</row>
    <row r="959">
      <c r="A959" s="228"/>
      <c r="B959" s="225"/>
      <c r="C959" s="225"/>
      <c r="D959" s="225"/>
      <c r="E959" s="225"/>
      <c r="F959" s="227"/>
      <c r="G959" s="227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</row>
    <row r="960">
      <c r="A960" s="228"/>
      <c r="B960" s="225"/>
      <c r="C960" s="225"/>
      <c r="D960" s="225"/>
      <c r="E960" s="225"/>
      <c r="F960" s="227"/>
      <c r="G960" s="227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</row>
    <row r="961">
      <c r="A961" s="228"/>
      <c r="B961" s="225"/>
      <c r="C961" s="225"/>
      <c r="D961" s="225"/>
      <c r="E961" s="225"/>
      <c r="F961" s="227"/>
      <c r="G961" s="227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</row>
    <row r="962">
      <c r="A962" s="228"/>
      <c r="B962" s="225"/>
      <c r="C962" s="225"/>
      <c r="D962" s="225"/>
      <c r="E962" s="225"/>
      <c r="F962" s="227"/>
      <c r="G962" s="227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</row>
    <row r="963">
      <c r="A963" s="228"/>
      <c r="B963" s="225"/>
      <c r="C963" s="225"/>
      <c r="D963" s="225"/>
      <c r="E963" s="225"/>
      <c r="F963" s="227"/>
      <c r="G963" s="227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</row>
    <row r="964">
      <c r="A964" s="228"/>
      <c r="B964" s="225"/>
      <c r="C964" s="225"/>
      <c r="D964" s="225"/>
      <c r="E964" s="225"/>
      <c r="F964" s="227"/>
      <c r="G964" s="227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</row>
    <row r="965">
      <c r="A965" s="228"/>
      <c r="B965" s="225"/>
      <c r="C965" s="225"/>
      <c r="D965" s="225"/>
      <c r="E965" s="225"/>
      <c r="F965" s="227"/>
      <c r="G965" s="227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</row>
    <row r="966">
      <c r="A966" s="228"/>
      <c r="B966" s="225"/>
      <c r="C966" s="225"/>
      <c r="D966" s="225"/>
      <c r="E966" s="225"/>
      <c r="F966" s="227"/>
      <c r="G966" s="227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</row>
    <row r="967">
      <c r="A967" s="228"/>
      <c r="B967" s="225"/>
      <c r="C967" s="225"/>
      <c r="D967" s="225"/>
      <c r="E967" s="225"/>
      <c r="F967" s="227"/>
      <c r="G967" s="227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</row>
    <row r="968">
      <c r="A968" s="228"/>
      <c r="B968" s="225"/>
      <c r="C968" s="225"/>
      <c r="D968" s="225"/>
      <c r="E968" s="225"/>
      <c r="F968" s="227"/>
      <c r="G968" s="227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</row>
    <row r="969">
      <c r="A969" s="228"/>
      <c r="B969" s="225"/>
      <c r="C969" s="225"/>
      <c r="D969" s="225"/>
      <c r="E969" s="225"/>
      <c r="F969" s="227"/>
      <c r="G969" s="227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</row>
    <row r="970">
      <c r="A970" s="228"/>
      <c r="B970" s="225"/>
      <c r="C970" s="225"/>
      <c r="D970" s="225"/>
      <c r="E970" s="225"/>
      <c r="F970" s="227"/>
      <c r="G970" s="227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</row>
    <row r="971">
      <c r="A971" s="228"/>
      <c r="B971" s="225"/>
      <c r="C971" s="225"/>
      <c r="D971" s="225"/>
      <c r="E971" s="225"/>
      <c r="F971" s="227"/>
      <c r="G971" s="227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</row>
    <row r="972">
      <c r="A972" s="228"/>
      <c r="B972" s="225"/>
      <c r="C972" s="225"/>
      <c r="D972" s="225"/>
      <c r="E972" s="225"/>
      <c r="F972" s="227"/>
      <c r="G972" s="227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</row>
    <row r="973">
      <c r="A973" s="228"/>
      <c r="B973" s="225"/>
      <c r="C973" s="225"/>
      <c r="D973" s="225"/>
      <c r="E973" s="225"/>
      <c r="F973" s="227"/>
      <c r="G973" s="227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</row>
    <row r="974">
      <c r="A974" s="228"/>
      <c r="B974" s="225"/>
      <c r="C974" s="225"/>
      <c r="D974" s="225"/>
      <c r="E974" s="225"/>
      <c r="F974" s="227"/>
      <c r="G974" s="227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</row>
    <row r="975">
      <c r="A975" s="228"/>
      <c r="B975" s="225"/>
      <c r="C975" s="225"/>
      <c r="D975" s="225"/>
      <c r="E975" s="225"/>
      <c r="F975" s="227"/>
      <c r="G975" s="227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</row>
    <row r="976">
      <c r="A976" s="228"/>
      <c r="B976" s="225"/>
      <c r="C976" s="225"/>
      <c r="D976" s="225"/>
      <c r="E976" s="225"/>
      <c r="F976" s="227"/>
      <c r="G976" s="227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</row>
    <row r="977">
      <c r="A977" s="228"/>
      <c r="B977" s="225"/>
      <c r="C977" s="225"/>
      <c r="D977" s="225"/>
      <c r="E977" s="225"/>
      <c r="F977" s="227"/>
      <c r="G977" s="227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</row>
    <row r="978">
      <c r="A978" s="228"/>
      <c r="B978" s="225"/>
      <c r="C978" s="225"/>
      <c r="D978" s="225"/>
      <c r="E978" s="225"/>
      <c r="F978" s="227"/>
      <c r="G978" s="227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</row>
    <row r="979">
      <c r="A979" s="228"/>
      <c r="B979" s="225"/>
      <c r="C979" s="225"/>
      <c r="D979" s="225"/>
      <c r="E979" s="225"/>
      <c r="F979" s="227"/>
      <c r="G979" s="227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</row>
    <row r="980">
      <c r="A980" s="228"/>
      <c r="B980" s="225"/>
      <c r="C980" s="225"/>
      <c r="D980" s="225"/>
      <c r="E980" s="225"/>
      <c r="F980" s="227"/>
      <c r="G980" s="227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</row>
    <row r="981">
      <c r="A981" s="228"/>
      <c r="B981" s="225"/>
      <c r="C981" s="225"/>
      <c r="D981" s="225"/>
      <c r="E981" s="225"/>
      <c r="F981" s="227"/>
      <c r="G981" s="227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</row>
    <row r="982">
      <c r="A982" s="228"/>
      <c r="B982" s="225"/>
      <c r="C982" s="225"/>
      <c r="D982" s="225"/>
      <c r="E982" s="225"/>
      <c r="F982" s="227"/>
      <c r="G982" s="227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</row>
    <row r="983">
      <c r="A983" s="228"/>
      <c r="B983" s="225"/>
      <c r="C983" s="225"/>
      <c r="D983" s="225"/>
      <c r="E983" s="225"/>
      <c r="F983" s="227"/>
      <c r="G983" s="227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</row>
    <row r="984">
      <c r="A984" s="228"/>
      <c r="B984" s="225"/>
      <c r="C984" s="225"/>
      <c r="D984" s="225"/>
      <c r="E984" s="225"/>
      <c r="F984" s="227"/>
      <c r="G984" s="227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</row>
    <row r="985">
      <c r="A985" s="228"/>
      <c r="B985" s="225"/>
      <c r="C985" s="225"/>
      <c r="D985" s="225"/>
      <c r="E985" s="225"/>
      <c r="F985" s="227"/>
      <c r="G985" s="227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</row>
    <row r="986">
      <c r="A986" s="228"/>
      <c r="B986" s="225"/>
      <c r="C986" s="225"/>
      <c r="D986" s="225"/>
      <c r="E986" s="225"/>
      <c r="F986" s="227"/>
      <c r="G986" s="227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</row>
    <row r="987">
      <c r="A987" s="228"/>
      <c r="B987" s="225"/>
      <c r="C987" s="225"/>
      <c r="D987" s="225"/>
      <c r="E987" s="225"/>
      <c r="F987" s="227"/>
      <c r="G987" s="227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</row>
    <row r="988">
      <c r="A988" s="228"/>
      <c r="B988" s="225"/>
      <c r="C988" s="225"/>
      <c r="D988" s="225"/>
      <c r="E988" s="225"/>
      <c r="F988" s="227"/>
      <c r="G988" s="227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</row>
    <row r="989">
      <c r="A989" s="228"/>
      <c r="B989" s="225"/>
      <c r="C989" s="225"/>
      <c r="D989" s="225"/>
      <c r="E989" s="225"/>
      <c r="F989" s="227"/>
      <c r="G989" s="227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</row>
    <row r="990">
      <c r="A990" s="228"/>
      <c r="B990" s="225"/>
      <c r="C990" s="225"/>
      <c r="D990" s="225"/>
      <c r="E990" s="225"/>
      <c r="F990" s="227"/>
      <c r="G990" s="227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</row>
    <row r="991">
      <c r="A991" s="228"/>
      <c r="B991" s="225"/>
      <c r="C991" s="225"/>
      <c r="D991" s="225"/>
      <c r="E991" s="225"/>
      <c r="F991" s="227"/>
      <c r="G991" s="227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</row>
    <row r="992">
      <c r="A992" s="228"/>
      <c r="B992" s="225"/>
      <c r="C992" s="225"/>
      <c r="D992" s="225"/>
      <c r="E992" s="225"/>
      <c r="F992" s="227"/>
      <c r="G992" s="227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</row>
    <row r="993">
      <c r="A993" s="228"/>
      <c r="B993" s="225"/>
      <c r="C993" s="225"/>
      <c r="D993" s="225"/>
      <c r="E993" s="225"/>
      <c r="F993" s="227"/>
      <c r="G993" s="227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</row>
    <row r="994">
      <c r="A994" s="228"/>
      <c r="B994" s="225"/>
      <c r="C994" s="225"/>
      <c r="D994" s="225"/>
      <c r="E994" s="225"/>
      <c r="F994" s="227"/>
      <c r="G994" s="227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</row>
    <row r="995">
      <c r="A995" s="228"/>
      <c r="B995" s="225"/>
      <c r="C995" s="225"/>
      <c r="D995" s="225"/>
      <c r="E995" s="225"/>
      <c r="F995" s="227"/>
      <c r="G995" s="227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</row>
    <row r="996">
      <c r="A996" s="228"/>
      <c r="B996" s="225"/>
      <c r="C996" s="225"/>
      <c r="D996" s="225"/>
      <c r="E996" s="225"/>
      <c r="F996" s="227"/>
      <c r="G996" s="227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</row>
    <row r="997">
      <c r="A997" s="228"/>
      <c r="B997" s="225"/>
      <c r="C997" s="225"/>
      <c r="D997" s="225"/>
      <c r="E997" s="225"/>
      <c r="F997" s="227"/>
      <c r="G997" s="227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</row>
    <row r="998">
      <c r="A998" s="228"/>
      <c r="B998" s="225"/>
      <c r="C998" s="225"/>
      <c r="D998" s="225"/>
      <c r="E998" s="225"/>
      <c r="F998" s="227"/>
      <c r="G998" s="227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</row>
    <row r="999">
      <c r="A999" s="228"/>
      <c r="B999" s="225"/>
      <c r="C999" s="225"/>
      <c r="D999" s="225"/>
      <c r="E999" s="225"/>
      <c r="F999" s="227"/>
      <c r="G999" s="227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</row>
    <row r="1000">
      <c r="A1000" s="228"/>
      <c r="B1000" s="225"/>
      <c r="C1000" s="225"/>
      <c r="D1000" s="225"/>
      <c r="E1000" s="225"/>
      <c r="F1000" s="227"/>
      <c r="G1000" s="227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</row>
    <row r="1001">
      <c r="A1001" s="228"/>
      <c r="B1001" s="225"/>
      <c r="C1001" s="225"/>
      <c r="D1001" s="225"/>
      <c r="E1001" s="225"/>
      <c r="F1001" s="227"/>
      <c r="G1001" s="227"/>
      <c r="H1001" s="228"/>
      <c r="I1001" s="228"/>
      <c r="J1001" s="228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</row>
    <row r="1002">
      <c r="A1002" s="228"/>
      <c r="B1002" s="225"/>
      <c r="C1002" s="225"/>
      <c r="D1002" s="225"/>
      <c r="E1002" s="225"/>
      <c r="F1002" s="227"/>
      <c r="G1002" s="227"/>
      <c r="H1002" s="228"/>
      <c r="I1002" s="228"/>
      <c r="J1002" s="228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</row>
    <row r="1003">
      <c r="A1003" s="228"/>
      <c r="B1003" s="225"/>
      <c r="C1003" s="225"/>
      <c r="D1003" s="225"/>
      <c r="E1003" s="225"/>
      <c r="F1003" s="227"/>
      <c r="G1003" s="227"/>
      <c r="H1003" s="228"/>
      <c r="I1003" s="228"/>
      <c r="J1003" s="228"/>
      <c r="K1003" s="228"/>
      <c r="L1003" s="228"/>
      <c r="M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8"/>
      <c r="Z1003" s="228"/>
    </row>
    <row r="1004">
      <c r="A1004" s="228"/>
      <c r="B1004" s="225"/>
      <c r="C1004" s="225"/>
      <c r="D1004" s="225"/>
      <c r="E1004" s="225"/>
      <c r="F1004" s="227"/>
      <c r="G1004" s="227"/>
      <c r="H1004" s="228"/>
      <c r="I1004" s="228"/>
      <c r="J1004" s="228"/>
      <c r="K1004" s="228"/>
      <c r="L1004" s="228"/>
      <c r="M1004" s="228"/>
      <c r="N1004" s="228"/>
      <c r="O1004" s="228"/>
      <c r="P1004" s="228"/>
      <c r="Q1004" s="228"/>
      <c r="R1004" s="228"/>
      <c r="S1004" s="228"/>
      <c r="T1004" s="228"/>
      <c r="U1004" s="228"/>
      <c r="V1004" s="228"/>
      <c r="W1004" s="228"/>
      <c r="X1004" s="228"/>
      <c r="Y1004" s="228"/>
      <c r="Z1004" s="228"/>
    </row>
    <row r="1005">
      <c r="A1005" s="228"/>
      <c r="B1005" s="225"/>
      <c r="C1005" s="225"/>
      <c r="D1005" s="225"/>
      <c r="E1005" s="225"/>
      <c r="F1005" s="227"/>
      <c r="G1005" s="227"/>
      <c r="H1005" s="228"/>
      <c r="I1005" s="228"/>
      <c r="J1005" s="228"/>
      <c r="K1005" s="228"/>
      <c r="L1005" s="228"/>
      <c r="M1005" s="228"/>
      <c r="N1005" s="228"/>
      <c r="O1005" s="228"/>
      <c r="P1005" s="228"/>
      <c r="Q1005" s="228"/>
      <c r="R1005" s="228"/>
      <c r="S1005" s="228"/>
      <c r="T1005" s="228"/>
      <c r="U1005" s="228"/>
      <c r="V1005" s="228"/>
      <c r="W1005" s="228"/>
      <c r="X1005" s="228"/>
      <c r="Y1005" s="228"/>
      <c r="Z1005" s="228"/>
    </row>
    <row r="1006">
      <c r="A1006" s="228"/>
      <c r="B1006" s="225"/>
      <c r="C1006" s="225"/>
      <c r="D1006" s="225"/>
      <c r="E1006" s="225"/>
      <c r="F1006" s="227"/>
      <c r="G1006" s="227"/>
      <c r="H1006" s="228"/>
      <c r="I1006" s="228"/>
      <c r="J1006" s="228"/>
      <c r="K1006" s="228"/>
      <c r="L1006" s="228"/>
      <c r="M1006" s="228"/>
      <c r="N1006" s="228"/>
      <c r="O1006" s="228"/>
      <c r="P1006" s="228"/>
      <c r="Q1006" s="228"/>
      <c r="R1006" s="228"/>
      <c r="S1006" s="228"/>
      <c r="T1006" s="228"/>
      <c r="U1006" s="228"/>
      <c r="V1006" s="228"/>
      <c r="W1006" s="228"/>
      <c r="X1006" s="228"/>
      <c r="Y1006" s="228"/>
      <c r="Z1006" s="228"/>
    </row>
    <row r="1007">
      <c r="A1007" s="228"/>
      <c r="B1007" s="225"/>
      <c r="C1007" s="225"/>
      <c r="D1007" s="225"/>
      <c r="E1007" s="225"/>
      <c r="F1007" s="227"/>
      <c r="G1007" s="227"/>
      <c r="H1007" s="228"/>
      <c r="I1007" s="228"/>
      <c r="J1007" s="228"/>
      <c r="K1007" s="228"/>
      <c r="L1007" s="228"/>
      <c r="M1007" s="228"/>
      <c r="N1007" s="228"/>
      <c r="O1007" s="228"/>
      <c r="P1007" s="228"/>
      <c r="Q1007" s="228"/>
      <c r="R1007" s="228"/>
      <c r="S1007" s="228"/>
      <c r="T1007" s="228"/>
      <c r="U1007" s="228"/>
      <c r="V1007" s="228"/>
      <c r="W1007" s="228"/>
      <c r="X1007" s="228"/>
      <c r="Y1007" s="228"/>
      <c r="Z1007" s="228"/>
    </row>
    <row r="1008">
      <c r="A1008" s="228"/>
      <c r="B1008" s="225"/>
      <c r="C1008" s="225"/>
      <c r="D1008" s="225"/>
      <c r="E1008" s="225"/>
      <c r="F1008" s="227"/>
      <c r="G1008" s="227"/>
      <c r="H1008" s="228"/>
      <c r="I1008" s="228"/>
      <c r="J1008" s="228"/>
      <c r="K1008" s="228"/>
      <c r="L1008" s="228"/>
      <c r="M1008" s="228"/>
      <c r="N1008" s="228"/>
      <c r="O1008" s="228"/>
      <c r="P1008" s="228"/>
      <c r="Q1008" s="228"/>
      <c r="R1008" s="228"/>
      <c r="S1008" s="228"/>
      <c r="T1008" s="228"/>
      <c r="U1008" s="228"/>
      <c r="V1008" s="228"/>
      <c r="W1008" s="228"/>
      <c r="X1008" s="228"/>
      <c r="Y1008" s="228"/>
      <c r="Z1008" s="228"/>
    </row>
    <row r="1009">
      <c r="A1009" s="228"/>
      <c r="B1009" s="225"/>
      <c r="C1009" s="225"/>
      <c r="D1009" s="225"/>
      <c r="E1009" s="225"/>
      <c r="F1009" s="227"/>
      <c r="G1009" s="227"/>
      <c r="H1009" s="228"/>
      <c r="I1009" s="228"/>
      <c r="J1009" s="228"/>
      <c r="K1009" s="228"/>
      <c r="L1009" s="228"/>
      <c r="M1009" s="228"/>
      <c r="N1009" s="228"/>
      <c r="O1009" s="228"/>
      <c r="P1009" s="228"/>
      <c r="Q1009" s="228"/>
      <c r="R1009" s="228"/>
      <c r="S1009" s="228"/>
      <c r="T1009" s="228"/>
      <c r="U1009" s="228"/>
      <c r="V1009" s="228"/>
      <c r="W1009" s="228"/>
      <c r="X1009" s="228"/>
      <c r="Y1009" s="228"/>
      <c r="Z1009" s="228"/>
    </row>
    <row r="1010">
      <c r="A1010" s="228"/>
      <c r="B1010" s="225"/>
      <c r="C1010" s="225"/>
      <c r="D1010" s="225"/>
      <c r="E1010" s="225"/>
      <c r="F1010" s="227"/>
      <c r="G1010" s="227"/>
      <c r="H1010" s="228"/>
      <c r="I1010" s="228"/>
      <c r="J1010" s="228"/>
      <c r="K1010" s="228"/>
      <c r="L1010" s="228"/>
      <c r="M1010" s="228"/>
      <c r="N1010" s="228"/>
      <c r="O1010" s="228"/>
      <c r="P1010" s="228"/>
      <c r="Q1010" s="228"/>
      <c r="R1010" s="228"/>
      <c r="S1010" s="228"/>
      <c r="T1010" s="228"/>
      <c r="U1010" s="228"/>
      <c r="V1010" s="228"/>
      <c r="W1010" s="228"/>
      <c r="X1010" s="228"/>
      <c r="Y1010" s="228"/>
      <c r="Z1010" s="228"/>
    </row>
    <row r="1011">
      <c r="A1011" s="228"/>
      <c r="B1011" s="225"/>
      <c r="C1011" s="225"/>
      <c r="D1011" s="225"/>
      <c r="E1011" s="225"/>
      <c r="F1011" s="227"/>
      <c r="G1011" s="227"/>
      <c r="H1011" s="228"/>
      <c r="I1011" s="228"/>
      <c r="J1011" s="228"/>
      <c r="K1011" s="228"/>
      <c r="L1011" s="228"/>
      <c r="M1011" s="228"/>
      <c r="N1011" s="228"/>
      <c r="O1011" s="228"/>
      <c r="P1011" s="228"/>
      <c r="Q1011" s="228"/>
      <c r="R1011" s="228"/>
      <c r="S1011" s="228"/>
      <c r="T1011" s="228"/>
      <c r="U1011" s="228"/>
      <c r="V1011" s="228"/>
      <c r="W1011" s="228"/>
      <c r="X1011" s="228"/>
      <c r="Y1011" s="228"/>
      <c r="Z1011" s="228"/>
    </row>
    <row r="1012">
      <c r="A1012" s="228"/>
      <c r="B1012" s="225"/>
      <c r="C1012" s="225"/>
      <c r="D1012" s="225"/>
      <c r="E1012" s="225"/>
      <c r="F1012" s="227"/>
      <c r="G1012" s="227"/>
      <c r="H1012" s="228"/>
      <c r="I1012" s="228"/>
      <c r="J1012" s="228"/>
      <c r="K1012" s="228"/>
      <c r="L1012" s="228"/>
      <c r="M1012" s="228"/>
      <c r="N1012" s="228"/>
      <c r="O1012" s="228"/>
      <c r="P1012" s="228"/>
      <c r="Q1012" s="228"/>
      <c r="R1012" s="228"/>
      <c r="S1012" s="228"/>
      <c r="T1012" s="228"/>
      <c r="U1012" s="228"/>
      <c r="V1012" s="228"/>
      <c r="W1012" s="228"/>
      <c r="X1012" s="228"/>
      <c r="Y1012" s="228"/>
      <c r="Z1012" s="228"/>
    </row>
    <row r="1013">
      <c r="A1013" s="228"/>
      <c r="B1013" s="225"/>
      <c r="C1013" s="225"/>
      <c r="D1013" s="225"/>
      <c r="E1013" s="225"/>
      <c r="F1013" s="227"/>
      <c r="G1013" s="227"/>
      <c r="H1013" s="228"/>
      <c r="I1013" s="228"/>
      <c r="J1013" s="228"/>
      <c r="K1013" s="228"/>
      <c r="L1013" s="228"/>
      <c r="M1013" s="228"/>
      <c r="N1013" s="228"/>
      <c r="O1013" s="228"/>
      <c r="P1013" s="228"/>
      <c r="Q1013" s="228"/>
      <c r="R1013" s="228"/>
      <c r="S1013" s="228"/>
      <c r="T1013" s="228"/>
      <c r="U1013" s="228"/>
      <c r="V1013" s="228"/>
      <c r="W1013" s="228"/>
      <c r="X1013" s="228"/>
      <c r="Y1013" s="228"/>
      <c r="Z1013" s="228"/>
    </row>
    <row r="1014">
      <c r="A1014" s="228"/>
      <c r="B1014" s="225"/>
      <c r="C1014" s="225"/>
      <c r="D1014" s="225"/>
      <c r="E1014" s="225"/>
      <c r="F1014" s="227"/>
      <c r="G1014" s="227"/>
      <c r="H1014" s="228"/>
      <c r="I1014" s="228"/>
      <c r="J1014" s="228"/>
      <c r="K1014" s="228"/>
      <c r="L1014" s="228"/>
      <c r="M1014" s="228"/>
      <c r="N1014" s="228"/>
      <c r="O1014" s="228"/>
      <c r="P1014" s="228"/>
      <c r="Q1014" s="228"/>
      <c r="R1014" s="228"/>
      <c r="S1014" s="228"/>
      <c r="T1014" s="228"/>
      <c r="U1014" s="228"/>
      <c r="V1014" s="228"/>
      <c r="W1014" s="228"/>
      <c r="X1014" s="228"/>
      <c r="Y1014" s="228"/>
      <c r="Z1014" s="228"/>
    </row>
    <row r="1015">
      <c r="A1015" s="228"/>
      <c r="B1015" s="225"/>
      <c r="C1015" s="225"/>
      <c r="D1015" s="225"/>
      <c r="E1015" s="225"/>
      <c r="F1015" s="227"/>
      <c r="G1015" s="227"/>
      <c r="H1015" s="228"/>
      <c r="I1015" s="228"/>
      <c r="J1015" s="228"/>
      <c r="K1015" s="228"/>
      <c r="L1015" s="228"/>
      <c r="M1015" s="228"/>
      <c r="N1015" s="228"/>
      <c r="O1015" s="228"/>
      <c r="P1015" s="228"/>
      <c r="Q1015" s="228"/>
      <c r="R1015" s="228"/>
      <c r="S1015" s="228"/>
      <c r="T1015" s="228"/>
      <c r="U1015" s="228"/>
      <c r="V1015" s="228"/>
      <c r="W1015" s="228"/>
      <c r="X1015" s="228"/>
      <c r="Y1015" s="228"/>
      <c r="Z1015" s="228"/>
    </row>
  </sheetData>
  <conditionalFormatting sqref="G199:G206">
    <cfRule type="cellIs" dxfId="3" priority="1" operator="lessThan">
      <formula>"0%"</formula>
    </cfRule>
  </conditionalFormatting>
  <conditionalFormatting sqref="M199:M206">
    <cfRule type="cellIs" dxfId="3" priority="2" operator="lessThan">
      <formula>"0%"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1.88"/>
    <col customWidth="1" min="3" max="10" width="18.13"/>
    <col customWidth="1" min="11" max="11" width="10.38"/>
    <col customWidth="1" min="12" max="12" width="14.5"/>
    <col customWidth="1" min="13" max="13" width="9.88"/>
    <col customWidth="1" min="14" max="28" width="21.25"/>
  </cols>
  <sheetData>
    <row r="1">
      <c r="A1" s="223" t="s">
        <v>191</v>
      </c>
      <c r="B1" s="225"/>
      <c r="C1" s="225"/>
      <c r="D1" s="225"/>
      <c r="E1" s="262"/>
      <c r="F1" s="263"/>
      <c r="G1" s="263"/>
      <c r="H1" s="263"/>
      <c r="I1" s="263"/>
      <c r="J1" s="263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</row>
    <row r="2">
      <c r="A2" s="228"/>
      <c r="B2" s="225"/>
      <c r="C2" s="225"/>
      <c r="D2" s="225"/>
      <c r="E2" s="262"/>
      <c r="F2" s="263"/>
      <c r="G2" s="263"/>
      <c r="H2" s="263"/>
      <c r="I2" s="263"/>
      <c r="J2" s="263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</row>
    <row r="3">
      <c r="A3" s="229" t="s">
        <v>34</v>
      </c>
      <c r="B3" s="230" t="s">
        <v>66</v>
      </c>
      <c r="C3" s="230"/>
      <c r="D3" s="258"/>
      <c r="E3" s="264"/>
      <c r="F3" s="263"/>
      <c r="G3" s="263"/>
      <c r="H3" s="263"/>
      <c r="I3" s="263"/>
      <c r="J3" s="263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>
      <c r="A4" s="234">
        <v>32.0</v>
      </c>
      <c r="B4" s="235" t="s">
        <v>213</v>
      </c>
      <c r="C4" s="230"/>
      <c r="D4" s="230"/>
      <c r="E4" s="262"/>
      <c r="F4" s="263"/>
      <c r="G4" s="263"/>
      <c r="H4" s="263"/>
      <c r="I4" s="263"/>
      <c r="J4" s="263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</row>
    <row r="5">
      <c r="A5" s="234" t="s">
        <v>214</v>
      </c>
      <c r="B5" s="230" t="s">
        <v>215</v>
      </c>
      <c r="C5" s="230"/>
      <c r="D5" s="230"/>
      <c r="E5" s="262"/>
      <c r="F5" s="263"/>
      <c r="G5" s="263"/>
      <c r="H5" s="263"/>
      <c r="I5" s="263"/>
      <c r="J5" s="263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</row>
    <row r="6">
      <c r="A6" s="234" t="s">
        <v>216</v>
      </c>
      <c r="B6" s="230" t="s">
        <v>217</v>
      </c>
      <c r="C6" s="230"/>
      <c r="D6" s="262"/>
      <c r="E6" s="262"/>
      <c r="F6" s="263"/>
      <c r="G6" s="263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</row>
    <row r="7">
      <c r="A7" s="223" t="s">
        <v>218</v>
      </c>
      <c r="B7" s="241" t="s">
        <v>115</v>
      </c>
      <c r="C7" s="241" t="s">
        <v>219</v>
      </c>
      <c r="D7" s="241" t="s">
        <v>116</v>
      </c>
      <c r="E7" s="241" t="s">
        <v>96</v>
      </c>
      <c r="F7" s="241" t="s">
        <v>221</v>
      </c>
      <c r="G7" s="241" t="s">
        <v>222</v>
      </c>
      <c r="H7" s="228"/>
      <c r="I7" s="228"/>
      <c r="J7" s="228"/>
      <c r="K7" s="244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</row>
    <row r="8">
      <c r="A8" s="242" t="s">
        <v>149</v>
      </c>
      <c r="B8" s="243">
        <f>VLOOKUP(A8,Lista!$A$3:$E$45,4,FALSE())</f>
        <v>1</v>
      </c>
      <c r="C8" s="230">
        <v>0.15</v>
      </c>
      <c r="D8" s="243">
        <f>VLOOKUP($A8,Lista!$A$3:$E$45,5,FALSE())</f>
        <v>245</v>
      </c>
      <c r="E8" s="225">
        <f t="shared" ref="E8:F8" si="1">($C$8*$D$8)/$B$8</f>
        <v>36.75</v>
      </c>
      <c r="F8" s="225">
        <f t="shared" si="1"/>
        <v>36.75</v>
      </c>
      <c r="G8" s="230">
        <f t="shared" ref="G8:G17" si="3">(E8-F8)/E8</f>
        <v>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</row>
    <row r="9">
      <c r="A9" s="244" t="s">
        <v>118</v>
      </c>
      <c r="B9" s="243">
        <f>VLOOKUP(A9,Lista!$A$3:$E$45,4,FALSE())</f>
        <v>1</v>
      </c>
      <c r="C9" s="230">
        <v>0.125</v>
      </c>
      <c r="D9" s="243">
        <f>VLOOKUP($A9,Lista!$A$3:$E$45,5,FALSE())</f>
        <v>22</v>
      </c>
      <c r="E9" s="225">
        <f t="shared" ref="E9:F9" si="2">($C$9*$D$9)/$B$9</f>
        <v>2.75</v>
      </c>
      <c r="F9" s="225">
        <f t="shared" si="2"/>
        <v>2.75</v>
      </c>
      <c r="G9" s="230">
        <f t="shared" si="3"/>
        <v>0</v>
      </c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</row>
    <row r="10">
      <c r="A10" s="244" t="s">
        <v>120</v>
      </c>
      <c r="B10" s="243">
        <f>VLOOKUP(A10,Lista!$A$3:$E$45,4,FALSE())</f>
        <v>1</v>
      </c>
      <c r="C10" s="230">
        <v>0.125</v>
      </c>
      <c r="D10" s="243">
        <f>VLOOKUP($A10,Lista!$A$3:$E$45,5,FALSE())</f>
        <v>39</v>
      </c>
      <c r="E10" s="225">
        <f t="shared" ref="E10:F10" si="4">($C$10*$D$10)/$B$10</f>
        <v>4.875</v>
      </c>
      <c r="F10" s="225">
        <f t="shared" si="4"/>
        <v>4.875</v>
      </c>
      <c r="G10" s="230">
        <f t="shared" si="3"/>
        <v>0</v>
      </c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</row>
    <row r="11">
      <c r="A11" s="244" t="s">
        <v>141</v>
      </c>
      <c r="B11" s="243">
        <f>VLOOKUP(A11,Lista!$A$3:$E$45,4,FALSE())</f>
        <v>30</v>
      </c>
      <c r="C11" s="230">
        <v>1.0</v>
      </c>
      <c r="D11" s="243">
        <f>VLOOKUP($A11,Lista!$A$3:$E$45,5,FALSE())</f>
        <v>91</v>
      </c>
      <c r="E11" s="225">
        <f t="shared" ref="E11:F11" si="5">($C$11*$D$11)/$B$11</f>
        <v>3.033333333</v>
      </c>
      <c r="F11" s="225">
        <f t="shared" si="5"/>
        <v>3.033333333</v>
      </c>
      <c r="G11" s="230">
        <f t="shared" si="3"/>
        <v>0</v>
      </c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</row>
    <row r="12">
      <c r="A12" s="244" t="s">
        <v>159</v>
      </c>
      <c r="B12" s="243">
        <f>VLOOKUP(A12,Lista!$A$3:$E$45,4,FALSE())</f>
        <v>0.25</v>
      </c>
      <c r="C12" s="230">
        <v>0.015</v>
      </c>
      <c r="D12" s="243">
        <f>VLOOKUP($A12,Lista!$A$3:$E$45,5,FALSE())</f>
        <v>24.5</v>
      </c>
      <c r="E12" s="225">
        <f t="shared" ref="E12:F12" si="6">($C$12*$D$12)/$B$12</f>
        <v>1.47</v>
      </c>
      <c r="F12" s="225">
        <f t="shared" si="6"/>
        <v>1.47</v>
      </c>
      <c r="G12" s="230">
        <f t="shared" si="3"/>
        <v>0</v>
      </c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</row>
    <row r="13">
      <c r="A13" s="244" t="s">
        <v>121</v>
      </c>
      <c r="B13" s="243">
        <f>VLOOKUP(A13,Lista!$A$3:$E$45,4,FALSE())</f>
        <v>1</v>
      </c>
      <c r="C13" s="230">
        <v>0.003</v>
      </c>
      <c r="D13" s="243">
        <f>VLOOKUP($A13,Lista!$A$3:$E$45,5,FALSE())</f>
        <v>25</v>
      </c>
      <c r="E13" s="225">
        <f t="shared" ref="E13:F13" si="7">($C$13*$D$13)/$B$13</f>
        <v>0.075</v>
      </c>
      <c r="F13" s="225">
        <f t="shared" si="7"/>
        <v>0.075</v>
      </c>
      <c r="G13" s="230">
        <f t="shared" si="3"/>
        <v>0</v>
      </c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</row>
    <row r="14">
      <c r="A14" s="244" t="s">
        <v>157</v>
      </c>
      <c r="B14" s="243">
        <f>VLOOKUP(A14,Lista!$A$3:$E$45,4,FALSE())</f>
        <v>0.65</v>
      </c>
      <c r="C14" s="230">
        <v>0.003</v>
      </c>
      <c r="D14" s="243">
        <f>VLOOKUP($A14,Lista!$A$3:$E$45,5,FALSE())</f>
        <v>14.8</v>
      </c>
      <c r="E14" s="225">
        <f t="shared" ref="E14:F14" si="8">($C$14*$D$14)/$B$14</f>
        <v>0.06830769231</v>
      </c>
      <c r="F14" s="225">
        <f t="shared" si="8"/>
        <v>0.06830769231</v>
      </c>
      <c r="G14" s="230">
        <f t="shared" si="3"/>
        <v>0</v>
      </c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</row>
    <row r="15">
      <c r="A15" s="244" t="s">
        <v>151</v>
      </c>
      <c r="B15" s="243">
        <f>VLOOKUP(A15,Lista!$A$3:$E$45,4,FALSE())</f>
        <v>1</v>
      </c>
      <c r="C15" s="230">
        <v>0.125</v>
      </c>
      <c r="D15" s="243">
        <f>VLOOKUP($A15,Lista!$A$3:$E$45,5,FALSE())</f>
        <v>198</v>
      </c>
      <c r="E15" s="225">
        <f t="shared" ref="E15:F15" si="9">($C$15*$D$15)/$B$15</f>
        <v>24.75</v>
      </c>
      <c r="F15" s="225">
        <f t="shared" si="9"/>
        <v>24.75</v>
      </c>
      <c r="G15" s="230">
        <f t="shared" si="3"/>
        <v>0</v>
      </c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</row>
    <row r="16">
      <c r="A16" s="244" t="s">
        <v>128</v>
      </c>
      <c r="B16" s="243">
        <f>VLOOKUP(A16,Lista!$A$3:$E$45,4,FALSE())</f>
        <v>0.5</v>
      </c>
      <c r="C16" s="230">
        <v>0.16</v>
      </c>
      <c r="D16" s="243">
        <f>VLOOKUP($A16,Lista!$A$3:$E$45,5,FALSE())</f>
        <v>54</v>
      </c>
      <c r="E16" s="225">
        <f t="shared" ref="E16:F16" si="10">($C$16*$D$16)/$B$16</f>
        <v>17.28</v>
      </c>
      <c r="F16" s="225">
        <f t="shared" si="10"/>
        <v>17.28</v>
      </c>
      <c r="G16" s="230">
        <f t="shared" si="3"/>
        <v>0</v>
      </c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</row>
    <row r="17">
      <c r="A17" s="244" t="s">
        <v>140</v>
      </c>
      <c r="B17" s="243">
        <f>VLOOKUP(A17,Lista!$A$3:$E$45,4,FALSE())</f>
        <v>1</v>
      </c>
      <c r="C17" s="230">
        <v>0.25</v>
      </c>
      <c r="D17" s="243">
        <f>VLOOKUP($A17,Lista!$A$3:$E$45,5,FALSE())</f>
        <v>23</v>
      </c>
      <c r="E17" s="225">
        <f t="shared" ref="E17:F17" si="11">($C$17*$D$17)/$B$17</f>
        <v>5.75</v>
      </c>
      <c r="F17" s="225">
        <f t="shared" si="11"/>
        <v>5.75</v>
      </c>
      <c r="G17" s="230">
        <f t="shared" si="3"/>
        <v>0</v>
      </c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</row>
    <row r="18">
      <c r="A18" s="228"/>
      <c r="B18" s="225"/>
      <c r="C18" s="225"/>
      <c r="D18" s="258" t="s">
        <v>223</v>
      </c>
      <c r="E18" s="264">
        <f t="shared" ref="E18:F18" si="12">SUM(E8:E17)</f>
        <v>96.80164103</v>
      </c>
      <c r="F18" s="225">
        <f t="shared" si="12"/>
        <v>96.80164103</v>
      </c>
      <c r="G18" s="230">
        <f>($E$18-$F$18)/$E$18</f>
        <v>0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</row>
    <row r="19">
      <c r="A19" s="228"/>
      <c r="B19" s="225"/>
      <c r="C19" s="225"/>
      <c r="D19" s="258" t="s">
        <v>224</v>
      </c>
      <c r="E19" s="266">
        <f t="shared" ref="E19:F19" si="13">E18+10</f>
        <v>106.801641</v>
      </c>
      <c r="F19" s="266">
        <f t="shared" si="13"/>
        <v>106.801641</v>
      </c>
      <c r="G19" s="230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</row>
    <row r="20">
      <c r="A20" s="228"/>
      <c r="B20" s="225"/>
      <c r="C20" s="225"/>
      <c r="D20" s="260" t="s">
        <v>225</v>
      </c>
      <c r="E20" s="264">
        <f t="shared" ref="E20:F20" si="14">E19*100/40</f>
        <v>267.0041026</v>
      </c>
      <c r="F20" s="264">
        <f t="shared" si="14"/>
        <v>267.0041026</v>
      </c>
      <c r="G20" s="230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</row>
    <row r="21">
      <c r="A21" s="228"/>
      <c r="B21" s="225"/>
      <c r="C21" s="225"/>
      <c r="D21" s="258" t="s">
        <v>226</v>
      </c>
      <c r="E21" s="264">
        <f t="shared" ref="E21:F21" si="15">$E$19/$A$4</f>
        <v>3.337551282</v>
      </c>
      <c r="F21" s="264">
        <f t="shared" si="15"/>
        <v>3.337551282</v>
      </c>
      <c r="G21" s="230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</row>
    <row r="22">
      <c r="A22" s="228"/>
      <c r="B22" s="225"/>
      <c r="C22" s="225"/>
      <c r="D22" s="267" t="s">
        <v>227</v>
      </c>
      <c r="E22" s="266">
        <f>E21*100/40</f>
        <v>8.343878205</v>
      </c>
      <c r="F22" s="266">
        <f>$F$21*100/40</f>
        <v>8.343878205</v>
      </c>
      <c r="G22" s="230">
        <f>($E$22-$F$22)/$E$22</f>
        <v>0</v>
      </c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</row>
    <row r="23">
      <c r="A23" s="228"/>
      <c r="B23" s="225"/>
      <c r="C23" s="225"/>
      <c r="D23" s="267" t="s">
        <v>232</v>
      </c>
      <c r="E23" s="268">
        <v>10.0</v>
      </c>
      <c r="F23" s="268">
        <v>10.0</v>
      </c>
      <c r="G23" s="230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</row>
    <row r="24">
      <c r="A24" s="228"/>
      <c r="B24" s="225"/>
      <c r="C24" s="225"/>
      <c r="D24" s="225"/>
      <c r="E24" s="262"/>
      <c r="F24" s="269"/>
      <c r="G24" s="230"/>
      <c r="H24" s="270"/>
      <c r="I24" s="270"/>
      <c r="J24" s="270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</row>
    <row r="25">
      <c r="A25" s="228"/>
      <c r="B25" s="225"/>
      <c r="C25" s="225"/>
      <c r="D25" s="225"/>
      <c r="E25" s="262"/>
      <c r="F25" s="263"/>
      <c r="G25" s="230"/>
      <c r="H25" s="263"/>
      <c r="I25" s="263"/>
      <c r="J25" s="263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</row>
    <row r="26">
      <c r="A26" s="229" t="s">
        <v>37</v>
      </c>
      <c r="B26" s="230" t="s">
        <v>68</v>
      </c>
      <c r="C26" s="230"/>
      <c r="D26" s="225"/>
      <c r="E26" s="262"/>
      <c r="F26" s="263"/>
      <c r="G26" s="230"/>
      <c r="H26" s="263"/>
      <c r="I26" s="263"/>
      <c r="J26" s="263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</row>
    <row r="27">
      <c r="A27" s="244">
        <v>16.0</v>
      </c>
      <c r="B27" s="230" t="s">
        <v>229</v>
      </c>
      <c r="C27" s="225"/>
      <c r="D27" s="225"/>
      <c r="E27" s="262"/>
      <c r="F27" s="263"/>
      <c r="G27" s="230"/>
      <c r="H27" s="263"/>
      <c r="I27" s="263"/>
      <c r="J27" s="263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</row>
    <row r="28">
      <c r="A28" s="265" t="s">
        <v>230</v>
      </c>
      <c r="B28" s="230" t="s">
        <v>231</v>
      </c>
      <c r="C28" s="225"/>
      <c r="D28" s="225"/>
      <c r="E28" s="262"/>
      <c r="F28" s="263"/>
      <c r="G28" s="230"/>
      <c r="H28" s="263"/>
      <c r="I28" s="263"/>
      <c r="J28" s="263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</row>
    <row r="29">
      <c r="A29" s="265" t="s">
        <v>216</v>
      </c>
      <c r="B29" s="230" t="s">
        <v>217</v>
      </c>
      <c r="C29" s="225"/>
      <c r="D29" s="225"/>
      <c r="E29" s="262"/>
      <c r="F29" s="263"/>
      <c r="G29" s="230"/>
      <c r="H29" s="263"/>
      <c r="I29" s="263"/>
      <c r="J29" s="263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</row>
    <row r="30">
      <c r="A30" s="223" t="s">
        <v>218</v>
      </c>
      <c r="B30" s="241" t="s">
        <v>115</v>
      </c>
      <c r="C30" s="241" t="s">
        <v>233</v>
      </c>
      <c r="D30" s="241" t="s">
        <v>116</v>
      </c>
      <c r="E30" s="241" t="s">
        <v>96</v>
      </c>
      <c r="F30" s="241" t="s">
        <v>221</v>
      </c>
      <c r="G30" s="240" t="s">
        <v>222</v>
      </c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</row>
    <row r="31">
      <c r="A31" s="244" t="s">
        <v>139</v>
      </c>
      <c r="B31" s="243">
        <f>VLOOKUP(A31,Lista!$A$3:$E$45,4,FALSE())</f>
        <v>0.17</v>
      </c>
      <c r="C31" s="230">
        <v>0.15</v>
      </c>
      <c r="D31" s="243">
        <f>VLOOKUP($A31,Lista!$A$3:$E$45,5,FALSE())</f>
        <v>14.5</v>
      </c>
      <c r="E31" s="225">
        <f t="shared" ref="E31:F31" si="16">($C$31*$D$31)/$B$31</f>
        <v>12.79411765</v>
      </c>
      <c r="F31" s="225">
        <f t="shared" si="16"/>
        <v>12.79411765</v>
      </c>
      <c r="G31" s="230">
        <f t="shared" ref="G31:G42" si="18">(E31-F31)/E31</f>
        <v>0</v>
      </c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</row>
    <row r="32">
      <c r="A32" s="244" t="s">
        <v>149</v>
      </c>
      <c r="B32" s="243">
        <f>VLOOKUP(A32,Lista!$A$3:$E$45,4,FALSE())</f>
        <v>1</v>
      </c>
      <c r="C32" s="230">
        <v>0.07</v>
      </c>
      <c r="D32" s="243">
        <f>VLOOKUP($A32,Lista!$A$3:$E$45,5,FALSE())</f>
        <v>245</v>
      </c>
      <c r="E32" s="225">
        <f t="shared" ref="E32:F32" si="17">($C$32*$D$32)/$B$32</f>
        <v>17.15</v>
      </c>
      <c r="F32" s="225">
        <f t="shared" si="17"/>
        <v>17.15</v>
      </c>
      <c r="G32" s="230">
        <f t="shared" si="18"/>
        <v>0</v>
      </c>
      <c r="H32" s="244"/>
      <c r="I32" s="244"/>
      <c r="J32" s="244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</row>
    <row r="33">
      <c r="A33" s="244" t="s">
        <v>155</v>
      </c>
      <c r="B33" s="243">
        <f>VLOOKUP(A33,Lista!$A$3:$E$45,4,FALSE())</f>
        <v>1</v>
      </c>
      <c r="C33" s="230">
        <v>0.3</v>
      </c>
      <c r="D33" s="243">
        <f>VLOOKUP($A33,Lista!$A$3:$E$45,5,FALSE())</f>
        <v>120</v>
      </c>
      <c r="E33" s="225">
        <f t="shared" ref="E33:F33" si="19">($C$33*$D$33)/$B$33</f>
        <v>36</v>
      </c>
      <c r="F33" s="225">
        <f t="shared" si="19"/>
        <v>36</v>
      </c>
      <c r="G33" s="230">
        <f t="shared" si="18"/>
        <v>0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</row>
    <row r="34">
      <c r="A34" s="244" t="s">
        <v>118</v>
      </c>
      <c r="B34" s="243">
        <f>VLOOKUP(A34,Lista!$A$3:$E$45,4,FALSE())</f>
        <v>1</v>
      </c>
      <c r="C34" s="230">
        <v>0.15</v>
      </c>
      <c r="D34" s="243">
        <f>VLOOKUP($A34,Lista!$A$3:$E$45,5,FALSE())</f>
        <v>22</v>
      </c>
      <c r="E34" s="225">
        <f t="shared" ref="E34:F34" si="20">($C$34*$D$34)/$B$34</f>
        <v>3.3</v>
      </c>
      <c r="F34" s="225">
        <f t="shared" si="20"/>
        <v>3.3</v>
      </c>
      <c r="G34" s="230">
        <f t="shared" si="18"/>
        <v>0</v>
      </c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</row>
    <row r="35">
      <c r="A35" s="244" t="s">
        <v>141</v>
      </c>
      <c r="B35" s="243">
        <f>VLOOKUP(A35,Lista!$A$3:$E$45,4,FALSE())</f>
        <v>30</v>
      </c>
      <c r="C35" s="230">
        <v>2.0</v>
      </c>
      <c r="D35" s="243">
        <f>VLOOKUP($A35,Lista!$A$3:$E$45,5,FALSE())</f>
        <v>91</v>
      </c>
      <c r="E35" s="225">
        <f t="shared" ref="E35:F35" si="21">($C$35*$D$35)/$B$35</f>
        <v>6.066666667</v>
      </c>
      <c r="F35" s="225">
        <f t="shared" si="21"/>
        <v>6.066666667</v>
      </c>
      <c r="G35" s="230">
        <f t="shared" si="18"/>
        <v>0</v>
      </c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</row>
    <row r="36">
      <c r="A36" s="271" t="s">
        <v>150</v>
      </c>
      <c r="B36" s="272">
        <f>VLOOKUP(A36,Lista!$A$3:$E$45,4,FALSE())</f>
        <v>0.225</v>
      </c>
      <c r="C36" s="273">
        <f>0.15+0.08</f>
        <v>0.23</v>
      </c>
      <c r="D36" s="272">
        <f>VLOOKUP($A36,Lista!$A$3:$E$45,5,FALSE())</f>
        <v>16.9</v>
      </c>
      <c r="E36" s="264">
        <f>($C$36*$D$36)/$B$36</f>
        <v>17.27555556</v>
      </c>
      <c r="F36" s="264">
        <f>(0.15*$D$36)/$B$36</f>
        <v>11.26666667</v>
      </c>
      <c r="G36" s="230">
        <f t="shared" si="18"/>
        <v>0.347826087</v>
      </c>
      <c r="H36" s="228"/>
      <c r="I36" s="228"/>
      <c r="J36" s="228"/>
      <c r="K36" s="274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</row>
    <row r="37">
      <c r="A37" s="244" t="s">
        <v>159</v>
      </c>
      <c r="B37" s="243">
        <f>VLOOKUP(A37,Lista!$A$3:$E$45,4,FALSE())</f>
        <v>0.25</v>
      </c>
      <c r="C37" s="230">
        <v>0.01</v>
      </c>
      <c r="D37" s="243">
        <f>VLOOKUP($A37,Lista!$A$3:$E$45,5,FALSE())</f>
        <v>24.5</v>
      </c>
      <c r="E37" s="225">
        <f t="shared" ref="E37:F37" si="22">($C$37*$D$37)/$B$37</f>
        <v>0.98</v>
      </c>
      <c r="F37" s="225">
        <f t="shared" si="22"/>
        <v>0.98</v>
      </c>
      <c r="G37" s="230">
        <f t="shared" si="18"/>
        <v>0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</row>
    <row r="38">
      <c r="A38" s="244" t="s">
        <v>137</v>
      </c>
      <c r="B38" s="243">
        <f>VLOOKUP(A38,Lista!$A$3:$E$45,4,FALSE())</f>
        <v>1</v>
      </c>
      <c r="C38" s="230">
        <v>0.01</v>
      </c>
      <c r="D38" s="243">
        <f>VLOOKUP($A38,Lista!$A$3:$E$45,5,FALSE())</f>
        <v>21</v>
      </c>
      <c r="E38" s="225">
        <f t="shared" ref="E38:F38" si="23">($C$38*$D$38)/$B$38</f>
        <v>0.21</v>
      </c>
      <c r="F38" s="225">
        <f t="shared" si="23"/>
        <v>0.21</v>
      </c>
      <c r="G38" s="230">
        <f t="shared" si="18"/>
        <v>0</v>
      </c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</row>
    <row r="39">
      <c r="A39" s="244" t="s">
        <v>148</v>
      </c>
      <c r="B39" s="243">
        <f>VLOOKUP(A39,Lista!$A$3:$E$45,4,FALSE())</f>
        <v>1</v>
      </c>
      <c r="C39" s="230">
        <v>0.015</v>
      </c>
      <c r="D39" s="243">
        <f>VLOOKUP($A39,Lista!$A$3:$E$45,5,FALSE())</f>
        <v>50</v>
      </c>
      <c r="E39" s="225">
        <f t="shared" ref="E39:F39" si="24">($C$39*$D$39)/$B$39</f>
        <v>0.75</v>
      </c>
      <c r="F39" s="225">
        <f t="shared" si="24"/>
        <v>0.75</v>
      </c>
      <c r="G39" s="230">
        <f t="shared" si="18"/>
        <v>0</v>
      </c>
      <c r="H39" s="228"/>
      <c r="I39" s="228"/>
      <c r="J39" s="228"/>
      <c r="K39" s="275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</row>
    <row r="40">
      <c r="A40" s="244" t="s">
        <v>138</v>
      </c>
      <c r="B40" s="243">
        <f>VLOOKUP(A40,Lista!$A$3:$E$45,4,FALSE())</f>
        <v>0.5</v>
      </c>
      <c r="C40" s="230">
        <f>(0.115+0.03)</f>
        <v>0.145</v>
      </c>
      <c r="D40" s="243">
        <f>VLOOKUP($A40,Lista!$A$3:$E$45,5,FALSE())</f>
        <v>50</v>
      </c>
      <c r="E40" s="225">
        <f>($C$40*$D$40)/$B$40</f>
        <v>14.5</v>
      </c>
      <c r="F40" s="225">
        <f>(0.115*$D$40)/$B$40</f>
        <v>11.5</v>
      </c>
      <c r="G40" s="230">
        <f t="shared" si="18"/>
        <v>0.2068965517</v>
      </c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</row>
    <row r="41">
      <c r="A41" s="244" t="s">
        <v>124</v>
      </c>
      <c r="B41" s="243">
        <f>VLOOKUP(A41,Lista!$A$3:$E$45,4,FALSE())</f>
        <v>500</v>
      </c>
      <c r="C41" s="230">
        <v>16.0</v>
      </c>
      <c r="D41" s="243">
        <f>VLOOKUP($A41,Lista!$A$3:$E$45,5,FALSE())</f>
        <v>85</v>
      </c>
      <c r="E41" s="225">
        <f t="shared" ref="E41:F41" si="25">($C$41*$D$41)/$B$41</f>
        <v>2.72</v>
      </c>
      <c r="F41" s="225">
        <f t="shared" si="25"/>
        <v>2.72</v>
      </c>
      <c r="G41" s="230">
        <f t="shared" si="18"/>
        <v>0</v>
      </c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</row>
    <row r="42">
      <c r="A42" s="244" t="s">
        <v>133</v>
      </c>
      <c r="B42" s="243">
        <f>VLOOKUP(A42,Lista!$A$3:$E$45,4,FALSE())</f>
        <v>1</v>
      </c>
      <c r="C42" s="230">
        <v>1.0</v>
      </c>
      <c r="D42" s="243">
        <f>VLOOKUP($A42,Lista!$A$3:$E$45,5,FALSE())</f>
        <v>20</v>
      </c>
      <c r="E42" s="225">
        <f t="shared" ref="E42:F42" si="26">($C$42*$D$42)/$B$42</f>
        <v>20</v>
      </c>
      <c r="F42" s="225">
        <f t="shared" si="26"/>
        <v>20</v>
      </c>
      <c r="G42" s="230">
        <f t="shared" si="18"/>
        <v>0</v>
      </c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</row>
    <row r="43">
      <c r="A43" s="228"/>
      <c r="B43" s="225"/>
      <c r="C43" s="225"/>
      <c r="D43" s="258" t="s">
        <v>223</v>
      </c>
      <c r="E43" s="264">
        <f t="shared" ref="E43:F43" si="27">SUM(E31:E41)</f>
        <v>111.7463399</v>
      </c>
      <c r="F43" s="225">
        <f t="shared" si="27"/>
        <v>102.737451</v>
      </c>
      <c r="G43" s="230">
        <f>($E$43-$F$43)/$E$43</f>
        <v>0.08061909589</v>
      </c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</row>
    <row r="44">
      <c r="A44" s="228"/>
      <c r="B44" s="230"/>
      <c r="C44" s="225">
        <f>0.225-0.15</f>
        <v>0.075</v>
      </c>
      <c r="D44" s="258" t="s">
        <v>224</v>
      </c>
      <c r="E44" s="266">
        <f t="shared" ref="E44:F44" si="28">E43+10</f>
        <v>121.7463399</v>
      </c>
      <c r="F44" s="266">
        <f t="shared" si="28"/>
        <v>112.737451</v>
      </c>
      <c r="G44" s="230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</row>
    <row r="45">
      <c r="A45" s="228"/>
      <c r="B45" s="274"/>
      <c r="C45" s="230"/>
      <c r="D45" s="260" t="s">
        <v>225</v>
      </c>
      <c r="E45" s="264">
        <f t="shared" ref="E45:F45" si="29">(E44*100/40)+E42</f>
        <v>324.3658497</v>
      </c>
      <c r="F45" s="264">
        <f t="shared" si="29"/>
        <v>301.8436275</v>
      </c>
      <c r="G45" s="230"/>
      <c r="H45" s="228"/>
      <c r="I45" s="228"/>
      <c r="J45" s="228"/>
      <c r="K45" s="244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</row>
    <row r="46">
      <c r="A46" s="228"/>
      <c r="B46" s="225"/>
      <c r="C46" s="225"/>
      <c r="D46" s="258" t="s">
        <v>226</v>
      </c>
      <c r="E46" s="264">
        <f>E44/A27</f>
        <v>7.609146242</v>
      </c>
      <c r="F46" s="264">
        <f>F44/A27</f>
        <v>7.046090686</v>
      </c>
      <c r="G46" s="275"/>
      <c r="H46" s="276"/>
      <c r="I46" s="276"/>
      <c r="J46" s="276"/>
      <c r="K46" s="244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</row>
    <row r="47">
      <c r="A47" s="228"/>
      <c r="B47" s="225"/>
      <c r="C47" s="225"/>
      <c r="D47" s="267" t="s">
        <v>227</v>
      </c>
      <c r="E47" s="266">
        <f>E46*100/40</f>
        <v>19.0228656</v>
      </c>
      <c r="F47" s="266">
        <f>$F$46*100/40</f>
        <v>17.61522672</v>
      </c>
      <c r="G47" s="230"/>
      <c r="H47" s="274"/>
      <c r="I47" s="225"/>
      <c r="J47" s="225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</row>
    <row r="48">
      <c r="A48" s="274"/>
      <c r="B48" s="230"/>
      <c r="C48" s="225"/>
      <c r="D48" s="267" t="s">
        <v>232</v>
      </c>
      <c r="E48" s="268">
        <v>20.0</v>
      </c>
      <c r="F48" s="268">
        <v>20.0</v>
      </c>
      <c r="G48" s="230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</row>
    <row r="49">
      <c r="A49" s="228"/>
      <c r="B49" s="225"/>
      <c r="C49" s="225"/>
      <c r="D49" s="225"/>
      <c r="E49" s="262"/>
      <c r="F49" s="269"/>
      <c r="G49" s="230"/>
      <c r="H49" s="270"/>
      <c r="I49" s="270"/>
      <c r="J49" s="270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</row>
    <row r="50">
      <c r="A50" s="228"/>
      <c r="B50" s="225"/>
      <c r="C50" s="225"/>
      <c r="D50" s="225"/>
      <c r="E50" s="262"/>
      <c r="F50" s="263">
        <f>E46-F46</f>
        <v>0.5630555556</v>
      </c>
      <c r="G50" s="274"/>
      <c r="H50" s="263"/>
      <c r="I50" s="263"/>
      <c r="J50" s="263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</row>
    <row r="51">
      <c r="A51" s="229" t="s">
        <v>35</v>
      </c>
      <c r="B51" s="230" t="s">
        <v>70</v>
      </c>
      <c r="C51" s="230"/>
      <c r="D51" s="225"/>
      <c r="E51" s="262"/>
      <c r="F51" s="263"/>
      <c r="G51" s="230"/>
      <c r="H51" s="263"/>
      <c r="I51" s="263"/>
      <c r="J51" s="263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</row>
    <row r="52">
      <c r="A52" s="265">
        <v>18.0</v>
      </c>
      <c r="B52" s="230" t="s">
        <v>234</v>
      </c>
      <c r="C52" s="225"/>
      <c r="D52" s="225"/>
      <c r="E52" s="262"/>
      <c r="F52" s="263"/>
      <c r="G52" s="230"/>
      <c r="H52" s="263"/>
      <c r="I52" s="263"/>
      <c r="J52" s="263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</row>
    <row r="53">
      <c r="A53" s="265" t="s">
        <v>230</v>
      </c>
      <c r="B53" s="230" t="s">
        <v>215</v>
      </c>
      <c r="C53" s="225"/>
      <c r="D53" s="225"/>
      <c r="E53" s="262"/>
      <c r="F53" s="263"/>
      <c r="G53" s="230"/>
      <c r="H53" s="263"/>
      <c r="I53" s="263"/>
      <c r="J53" s="263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</row>
    <row r="54">
      <c r="A54" s="265" t="s">
        <v>216</v>
      </c>
      <c r="B54" s="230" t="s">
        <v>235</v>
      </c>
      <c r="C54" s="225"/>
      <c r="D54" s="225"/>
      <c r="E54" s="262"/>
      <c r="F54" s="263"/>
      <c r="G54" s="230"/>
      <c r="H54" s="263"/>
      <c r="I54" s="263"/>
      <c r="J54" s="263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</row>
    <row r="55">
      <c r="A55" s="223" t="s">
        <v>218</v>
      </c>
      <c r="B55" s="241" t="s">
        <v>115</v>
      </c>
      <c r="C55" s="241" t="s">
        <v>219</v>
      </c>
      <c r="D55" s="241" t="s">
        <v>116</v>
      </c>
      <c r="E55" s="241" t="s">
        <v>96</v>
      </c>
      <c r="F55" s="241" t="s">
        <v>221</v>
      </c>
      <c r="G55" s="240" t="s">
        <v>222</v>
      </c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</row>
    <row r="56">
      <c r="A56" s="244" t="s">
        <v>149</v>
      </c>
      <c r="B56" s="243">
        <f>VLOOKUP(A56,Lista!$A$3:$E$45,4,FALSE())</f>
        <v>1</v>
      </c>
      <c r="C56" s="230">
        <v>0.2</v>
      </c>
      <c r="D56" s="243">
        <f>VLOOKUP(A56,Lista!$A$3:$E$45,5,FALSE())</f>
        <v>245</v>
      </c>
      <c r="E56" s="225">
        <f t="shared" ref="E56:F56" si="30">($C$56*$D$56)/$B$56</f>
        <v>49</v>
      </c>
      <c r="F56" s="225">
        <f t="shared" si="30"/>
        <v>49</v>
      </c>
      <c r="G56" s="230">
        <f t="shared" ref="G56:G66" si="32">(E56-F56)/E56</f>
        <v>0</v>
      </c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</row>
    <row r="57">
      <c r="A57" s="244" t="s">
        <v>118</v>
      </c>
      <c r="B57" s="243">
        <f>VLOOKUP(A57,Lista!$A$3:$E$45,4,FALSE())</f>
        <v>1</v>
      </c>
      <c r="C57" s="230">
        <v>0.2</v>
      </c>
      <c r="D57" s="243">
        <f>VLOOKUP(A57,Lista!$A$3:$E$45,5,FALSE())</f>
        <v>22</v>
      </c>
      <c r="E57" s="225">
        <f t="shared" ref="E57:F57" si="31">($C$57*$D$57)/$B$57</f>
        <v>4.4</v>
      </c>
      <c r="F57" s="225">
        <f t="shared" si="31"/>
        <v>4.4</v>
      </c>
      <c r="G57" s="230">
        <f t="shared" si="32"/>
        <v>0</v>
      </c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</row>
    <row r="58">
      <c r="A58" s="244" t="s">
        <v>140</v>
      </c>
      <c r="B58" s="243">
        <f>VLOOKUP(A58,Lista!$A$3:$E$45,4,FALSE())</f>
        <v>1</v>
      </c>
      <c r="C58" s="230">
        <v>0.113</v>
      </c>
      <c r="D58" s="243">
        <f>VLOOKUP(A58,Lista!$A$3:$E$45,5,FALSE())</f>
        <v>23</v>
      </c>
      <c r="E58" s="225">
        <f t="shared" ref="E58:F58" si="33">($C$58*$D$58)/$B$58</f>
        <v>2.599</v>
      </c>
      <c r="F58" s="225">
        <f t="shared" si="33"/>
        <v>2.599</v>
      </c>
      <c r="G58" s="230">
        <f t="shared" si="32"/>
        <v>0</v>
      </c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</row>
    <row r="59">
      <c r="A59" s="244" t="s">
        <v>132</v>
      </c>
      <c r="B59" s="243">
        <f>VLOOKUP(A59,Lista!$A$3:$E$45,4,FALSE())</f>
        <v>0.25</v>
      </c>
      <c r="C59" s="230">
        <v>0.038</v>
      </c>
      <c r="D59" s="243">
        <f>VLOOKUP(A59,Lista!$A$3:$E$45,5,FALSE())</f>
        <v>90</v>
      </c>
      <c r="E59" s="225">
        <f t="shared" ref="E59:F59" si="34">($C$59*$D$59)/$B$59</f>
        <v>13.68</v>
      </c>
      <c r="F59" s="225">
        <f t="shared" si="34"/>
        <v>13.68</v>
      </c>
      <c r="G59" s="230">
        <f t="shared" si="32"/>
        <v>0</v>
      </c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</row>
    <row r="60">
      <c r="A60" s="244" t="s">
        <v>159</v>
      </c>
      <c r="B60" s="243">
        <f>VLOOKUP(A60,Lista!$A$3:$E$45,4,FALSE())</f>
        <v>0.25</v>
      </c>
      <c r="C60" s="230">
        <v>0.008</v>
      </c>
      <c r="D60" s="243">
        <f>VLOOKUP(A60,Lista!$A$3:$E$45,5,FALSE())</f>
        <v>24.5</v>
      </c>
      <c r="E60" s="225">
        <f t="shared" ref="E60:F60" si="35">($C$60*$D$60)/$B$60</f>
        <v>0.784</v>
      </c>
      <c r="F60" s="225">
        <f t="shared" si="35"/>
        <v>0.784</v>
      </c>
      <c r="G60" s="230">
        <f t="shared" si="32"/>
        <v>0</v>
      </c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</row>
    <row r="61">
      <c r="A61" s="244" t="s">
        <v>141</v>
      </c>
      <c r="B61" s="243">
        <f>VLOOKUP(A61,Lista!$A$3:$E$45,4,FALSE())</f>
        <v>30</v>
      </c>
      <c r="C61" s="230">
        <v>3.0</v>
      </c>
      <c r="D61" s="243">
        <f>VLOOKUP(A61,Lista!$A$3:$E$45,5,FALSE())</f>
        <v>91</v>
      </c>
      <c r="E61" s="225">
        <f t="shared" ref="E61:F61" si="36">($C$61*$D$61)/$B$61</f>
        <v>9.1</v>
      </c>
      <c r="F61" s="225">
        <f t="shared" si="36"/>
        <v>9.1</v>
      </c>
      <c r="G61" s="230">
        <f t="shared" si="32"/>
        <v>0</v>
      </c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</row>
    <row r="62">
      <c r="A62" s="244" t="s">
        <v>128</v>
      </c>
      <c r="B62" s="243">
        <f>VLOOKUP(A62,Lista!$A$3:$E$45,4,FALSE())</f>
        <v>0.5</v>
      </c>
      <c r="C62" s="230">
        <v>0.075</v>
      </c>
      <c r="D62" s="243">
        <f>VLOOKUP(A62,Lista!$A$3:$E$45,5,FALSE())</f>
        <v>54</v>
      </c>
      <c r="E62" s="225">
        <f t="shared" ref="E62:F62" si="37">($C$62*$D$62)/$B$62</f>
        <v>8.1</v>
      </c>
      <c r="F62" s="225">
        <f t="shared" si="37"/>
        <v>8.1</v>
      </c>
      <c r="G62" s="230">
        <f t="shared" si="32"/>
        <v>0</v>
      </c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</row>
    <row r="63">
      <c r="A63" s="244" t="s">
        <v>130</v>
      </c>
      <c r="B63" s="243">
        <f>VLOOKUP(A63,Lista!$A$3:$E$45,4,FALSE())</f>
        <v>0.5</v>
      </c>
      <c r="C63" s="230">
        <v>0.075</v>
      </c>
      <c r="D63" s="243">
        <f>VLOOKUP(A63,Lista!$A$3:$E$45,5,FALSE())</f>
        <v>102.62</v>
      </c>
      <c r="E63" s="225">
        <f t="shared" ref="E63:F63" si="38">($C$63*$D$63)/$B$63</f>
        <v>15.393</v>
      </c>
      <c r="F63" s="225">
        <f t="shared" si="38"/>
        <v>15.393</v>
      </c>
      <c r="G63" s="230">
        <f t="shared" si="32"/>
        <v>0</v>
      </c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</row>
    <row r="64">
      <c r="A64" s="244" t="s">
        <v>151</v>
      </c>
      <c r="B64" s="243">
        <f>VLOOKUP(A64,Lista!$A$3:$E$45,4,FALSE())</f>
        <v>1</v>
      </c>
      <c r="C64" s="230">
        <v>0.056</v>
      </c>
      <c r="D64" s="243">
        <f>VLOOKUP(A64,Lista!$A$3:$E$45,5,FALSE())</f>
        <v>198</v>
      </c>
      <c r="E64" s="225">
        <f t="shared" ref="E64:F64" si="39">($C$64*$D$64)/$B$64</f>
        <v>11.088</v>
      </c>
      <c r="F64" s="225">
        <f t="shared" si="39"/>
        <v>11.088</v>
      </c>
      <c r="G64" s="230">
        <f t="shared" si="32"/>
        <v>0</v>
      </c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</row>
    <row r="65">
      <c r="A65" s="244" t="s">
        <v>119</v>
      </c>
      <c r="B65" s="243">
        <f>VLOOKUP(A65,Lista!$A$3:$E$45,4,FALSE())</f>
        <v>0.5</v>
      </c>
      <c r="C65" s="230">
        <v>0.015</v>
      </c>
      <c r="D65" s="243">
        <f>VLOOKUP(A65,Lista!$A$3:$E$45,5,FALSE())</f>
        <v>22.25</v>
      </c>
      <c r="E65" s="225">
        <f t="shared" ref="E65:F65" si="40">($C$65*$D$65)/$B$65</f>
        <v>0.6675</v>
      </c>
      <c r="F65" s="225">
        <f t="shared" si="40"/>
        <v>0.6675</v>
      </c>
      <c r="G65" s="230">
        <f t="shared" si="32"/>
        <v>0</v>
      </c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</row>
    <row r="66">
      <c r="A66" s="244" t="s">
        <v>124</v>
      </c>
      <c r="B66" s="243">
        <f>VLOOKUP(A66,Lista!$A$3:$E$45,4,FALSE())</f>
        <v>500</v>
      </c>
      <c r="C66" s="230">
        <v>18.0</v>
      </c>
      <c r="D66" s="243">
        <f>VLOOKUP(A66,Lista!$A$3:$E$45,5,FALSE())</f>
        <v>85</v>
      </c>
      <c r="E66" s="225">
        <f t="shared" ref="E66:F66" si="41">($C$66*$D$66)/$B$66</f>
        <v>3.06</v>
      </c>
      <c r="F66" s="225">
        <f t="shared" si="41"/>
        <v>3.06</v>
      </c>
      <c r="G66" s="230">
        <f t="shared" si="32"/>
        <v>0</v>
      </c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</row>
    <row r="67">
      <c r="A67" s="228"/>
      <c r="B67" s="225"/>
      <c r="C67" s="225"/>
      <c r="D67" s="258" t="s">
        <v>223</v>
      </c>
      <c r="E67" s="264">
        <f t="shared" ref="E67:F67" si="42">SUM(E56:E66)</f>
        <v>117.8715</v>
      </c>
      <c r="F67" s="225">
        <f t="shared" si="42"/>
        <v>117.8715</v>
      </c>
      <c r="G67" s="230">
        <f>($E$67-$F$67)/$E$67</f>
        <v>0</v>
      </c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</row>
    <row r="68">
      <c r="A68" s="228"/>
      <c r="B68" s="225"/>
      <c r="C68" s="225"/>
      <c r="D68" s="258" t="s">
        <v>224</v>
      </c>
      <c r="E68" s="266">
        <f t="shared" ref="E68:F68" si="43">E67+10</f>
        <v>127.8715</v>
      </c>
      <c r="F68" s="266">
        <f t="shared" si="43"/>
        <v>127.8715</v>
      </c>
      <c r="G68" s="230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</row>
    <row r="69">
      <c r="A69" s="228"/>
      <c r="B69" s="225"/>
      <c r="C69" s="225"/>
      <c r="D69" s="260" t="s">
        <v>225</v>
      </c>
      <c r="E69" s="264">
        <f t="shared" ref="E69:F69" si="44">E68*100/40</f>
        <v>319.67875</v>
      </c>
      <c r="F69" s="264">
        <f t="shared" si="44"/>
        <v>319.67875</v>
      </c>
      <c r="G69" s="230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</row>
    <row r="70">
      <c r="A70" s="228"/>
      <c r="B70" s="225"/>
      <c r="C70" s="225"/>
      <c r="D70" s="258" t="s">
        <v>226</v>
      </c>
      <c r="E70" s="264">
        <f>E68/A52</f>
        <v>7.103972222</v>
      </c>
      <c r="F70" s="264">
        <f>F68/A52</f>
        <v>7.103972222</v>
      </c>
      <c r="G70" s="230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</row>
    <row r="71">
      <c r="A71" s="228"/>
      <c r="B71" s="225"/>
      <c r="C71" s="225"/>
      <c r="D71" s="267" t="s">
        <v>227</v>
      </c>
      <c r="E71" s="266">
        <f>E70*100/40</f>
        <v>17.75993056</v>
      </c>
      <c r="F71" s="266">
        <f>$F$70*100/40</f>
        <v>17.75993056</v>
      </c>
      <c r="G71" s="230">
        <f>($E$71-$F$71)/$E$71</f>
        <v>0</v>
      </c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</row>
    <row r="72">
      <c r="A72" s="228"/>
      <c r="B72" s="225"/>
      <c r="C72" s="225"/>
      <c r="D72" s="267" t="s">
        <v>232</v>
      </c>
      <c r="E72" s="268">
        <v>20.0</v>
      </c>
      <c r="F72" s="268">
        <v>20.0</v>
      </c>
      <c r="G72" s="230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</row>
    <row r="73">
      <c r="A73" s="228"/>
      <c r="B73" s="225"/>
      <c r="C73" s="225"/>
      <c r="D73" s="225"/>
      <c r="E73" s="262"/>
      <c r="F73" s="269"/>
      <c r="G73" s="230"/>
      <c r="H73" s="270"/>
      <c r="I73" s="270"/>
      <c r="J73" s="270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</row>
    <row r="74">
      <c r="A74" s="228"/>
      <c r="B74" s="225"/>
      <c r="C74" s="225"/>
      <c r="D74" s="225"/>
      <c r="E74" s="262"/>
      <c r="F74" s="263"/>
      <c r="G74" s="230"/>
      <c r="H74" s="263"/>
      <c r="I74" s="263"/>
      <c r="J74" s="263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</row>
    <row r="75">
      <c r="A75" s="229" t="s">
        <v>36</v>
      </c>
      <c r="B75" s="230" t="s">
        <v>72</v>
      </c>
      <c r="C75" s="230"/>
      <c r="D75" s="225"/>
      <c r="E75" s="262"/>
      <c r="F75" s="263"/>
      <c r="G75" s="230"/>
      <c r="H75" s="263"/>
      <c r="I75" s="263"/>
      <c r="J75" s="263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</row>
    <row r="76">
      <c r="A76" s="265">
        <v>35.0</v>
      </c>
      <c r="B76" s="230" t="s">
        <v>236</v>
      </c>
      <c r="C76" s="225"/>
      <c r="D76" s="225"/>
      <c r="E76" s="262"/>
      <c r="F76" s="263"/>
      <c r="G76" s="230"/>
      <c r="H76" s="263"/>
      <c r="I76" s="263"/>
      <c r="J76" s="263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</row>
    <row r="77">
      <c r="A77" s="265" t="s">
        <v>230</v>
      </c>
      <c r="B77" s="230" t="s">
        <v>215</v>
      </c>
      <c r="C77" s="225"/>
      <c r="D77" s="225"/>
      <c r="E77" s="262"/>
      <c r="F77" s="263"/>
      <c r="G77" s="230"/>
      <c r="H77" s="263"/>
      <c r="I77" s="263"/>
      <c r="J77" s="263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</row>
    <row r="78">
      <c r="A78" s="265" t="s">
        <v>216</v>
      </c>
      <c r="B78" s="230" t="s">
        <v>237</v>
      </c>
      <c r="C78" s="225"/>
      <c r="D78" s="225"/>
      <c r="E78" s="262"/>
      <c r="F78" s="263"/>
      <c r="G78" s="230"/>
      <c r="H78" s="263"/>
      <c r="I78" s="263"/>
      <c r="J78" s="263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</row>
    <row r="79">
      <c r="A79" s="223" t="s">
        <v>218</v>
      </c>
      <c r="B79" s="241" t="s">
        <v>115</v>
      </c>
      <c r="C79" s="241" t="s">
        <v>219</v>
      </c>
      <c r="D79" s="241" t="s">
        <v>116</v>
      </c>
      <c r="E79" s="241" t="s">
        <v>96</v>
      </c>
      <c r="F79" s="241" t="s">
        <v>221</v>
      </c>
      <c r="G79" s="240" t="s">
        <v>222</v>
      </c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</row>
    <row r="80">
      <c r="A80" s="244" t="s">
        <v>140</v>
      </c>
      <c r="B80" s="243">
        <f>VLOOKUP(A80,Lista!$A$3:$E$45,4,FALSE())</f>
        <v>1</v>
      </c>
      <c r="C80" s="230">
        <v>0.27</v>
      </c>
      <c r="D80" s="243">
        <f>VLOOKUP(A80,Lista!$A$3:$E$45,5,FALSE())</f>
        <v>23</v>
      </c>
      <c r="E80" s="225">
        <f t="shared" ref="E80:F80" si="45">($C$80*$D$80)/$B$80</f>
        <v>6.21</v>
      </c>
      <c r="F80" s="225">
        <f t="shared" si="45"/>
        <v>6.21</v>
      </c>
      <c r="G80" s="230">
        <v>0.0</v>
      </c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</row>
    <row r="81">
      <c r="A81" s="244" t="s">
        <v>137</v>
      </c>
      <c r="B81" s="243">
        <f>VLOOKUP(A81,Lista!$A$3:$E$45,4,FALSE())</f>
        <v>1</v>
      </c>
      <c r="C81" s="230">
        <v>0.07</v>
      </c>
      <c r="D81" s="243">
        <f>VLOOKUP(A81,Lista!$A$3:$E$45,5,FALSE())</f>
        <v>21</v>
      </c>
      <c r="E81" s="225">
        <f t="shared" ref="E81:F81" si="46">($C$81*$D$81)/$B$81</f>
        <v>1.47</v>
      </c>
      <c r="F81" s="225">
        <f t="shared" si="46"/>
        <v>1.47</v>
      </c>
      <c r="G81" s="230">
        <v>0.0</v>
      </c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</row>
    <row r="82">
      <c r="A82" s="244" t="s">
        <v>119</v>
      </c>
      <c r="B82" s="243">
        <f>VLOOKUP(A82,Lista!$A$3:$E$45,4,FALSE())</f>
        <v>0.5</v>
      </c>
      <c r="C82" s="230">
        <v>0.13</v>
      </c>
      <c r="D82" s="243">
        <f>VLOOKUP(A82,Lista!$A$3:$E$45,5,FALSE())</f>
        <v>22.25</v>
      </c>
      <c r="E82" s="225">
        <f t="shared" ref="E82:F82" si="47">($C$82*$D$82)/$B$82</f>
        <v>5.785</v>
      </c>
      <c r="F82" s="225">
        <f t="shared" si="47"/>
        <v>5.785</v>
      </c>
      <c r="G82" s="230">
        <v>0.0</v>
      </c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</row>
    <row r="83">
      <c r="A83" s="244" t="s">
        <v>144</v>
      </c>
      <c r="B83" s="243">
        <f>VLOOKUP(A83,Lista!$A$3:$E$45,4,FALSE())</f>
        <v>1</v>
      </c>
      <c r="C83" s="230">
        <v>0.03</v>
      </c>
      <c r="D83" s="243">
        <f>VLOOKUP(A83,Lista!$A$3:$E$45,5,FALSE())</f>
        <v>86</v>
      </c>
      <c r="E83" s="225">
        <f t="shared" ref="E83:F83" si="48">($C$83*$D$83)/$B$83</f>
        <v>2.58</v>
      </c>
      <c r="F83" s="225">
        <f t="shared" si="48"/>
        <v>2.58</v>
      </c>
      <c r="G83" s="230">
        <v>0.0</v>
      </c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</row>
    <row r="84">
      <c r="A84" s="244" t="s">
        <v>157</v>
      </c>
      <c r="B84" s="243">
        <f>VLOOKUP(A84,Lista!$A$3:$E$45,4,FALSE())</f>
        <v>0.65</v>
      </c>
      <c r="C84" s="230">
        <v>0.001</v>
      </c>
      <c r="D84" s="243">
        <f>VLOOKUP(A84,Lista!$A$3:$E$45,5,FALSE())</f>
        <v>14.8</v>
      </c>
      <c r="E84" s="225">
        <f t="shared" ref="E84:F84" si="49">($C$84*$D$84)/$B$84</f>
        <v>0.02276923077</v>
      </c>
      <c r="F84" s="225">
        <f t="shared" si="49"/>
        <v>0.02276923077</v>
      </c>
      <c r="G84" s="230">
        <v>0.0</v>
      </c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</row>
    <row r="85">
      <c r="A85" s="244" t="s">
        <v>149</v>
      </c>
      <c r="B85" s="243">
        <f>VLOOKUP(A85,Lista!$A$3:$E$45,4,FALSE())</f>
        <v>1</v>
      </c>
      <c r="C85" s="230">
        <v>0.25</v>
      </c>
      <c r="D85" s="243">
        <f>VLOOKUP(A85,Lista!$A$3:$E$45,5,FALSE())</f>
        <v>245</v>
      </c>
      <c r="E85" s="225">
        <f t="shared" ref="E85:F85" si="50">($C$85*$D$85)/$B$85</f>
        <v>61.25</v>
      </c>
      <c r="F85" s="225">
        <f t="shared" si="50"/>
        <v>61.25</v>
      </c>
      <c r="G85" s="230">
        <v>0.0</v>
      </c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</row>
    <row r="86">
      <c r="A86" s="244" t="s">
        <v>141</v>
      </c>
      <c r="B86" s="243">
        <f>VLOOKUP(A86,Lista!$A$3:$E$45,4,FALSE())</f>
        <v>30</v>
      </c>
      <c r="C86" s="230">
        <v>1.0</v>
      </c>
      <c r="D86" s="243">
        <f>VLOOKUP(A86,Lista!$A$3:$E$45,5,FALSE())</f>
        <v>91</v>
      </c>
      <c r="E86" s="225">
        <f t="shared" ref="E86:F86" si="51">($C$86*$D$86)/$B$86</f>
        <v>3.033333333</v>
      </c>
      <c r="F86" s="225">
        <f t="shared" si="51"/>
        <v>3.033333333</v>
      </c>
      <c r="G86" s="230">
        <v>0.0</v>
      </c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</row>
    <row r="87">
      <c r="A87" s="244" t="s">
        <v>159</v>
      </c>
      <c r="B87" s="243">
        <f>VLOOKUP(A87,Lista!$A$3:$E$45,4,FALSE())</f>
        <v>0.25</v>
      </c>
      <c r="C87" s="230">
        <v>0.015</v>
      </c>
      <c r="D87" s="243">
        <f>VLOOKUP(A87,Lista!$A$3:$E$45,5,FALSE())</f>
        <v>24.5</v>
      </c>
      <c r="E87" s="225">
        <f t="shared" ref="E87:F87" si="52">($C$87*$D$87)/$B$87</f>
        <v>1.47</v>
      </c>
      <c r="F87" s="225">
        <f t="shared" si="52"/>
        <v>1.47</v>
      </c>
      <c r="G87" s="230">
        <v>0.0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</row>
    <row r="88">
      <c r="A88" s="228"/>
      <c r="B88" s="225"/>
      <c r="C88" s="225"/>
      <c r="D88" s="258" t="s">
        <v>223</v>
      </c>
      <c r="E88" s="264">
        <f t="shared" ref="E88:F88" si="53">SUM(E80:E87)</f>
        <v>81.82110256</v>
      </c>
      <c r="F88" s="225">
        <f t="shared" si="53"/>
        <v>81.82110256</v>
      </c>
      <c r="G88" s="230">
        <f>($E$88-$F$88)/$E$88</f>
        <v>0</v>
      </c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</row>
    <row r="89">
      <c r="A89" s="228"/>
      <c r="B89" s="225"/>
      <c r="C89" s="225"/>
      <c r="D89" s="258" t="s">
        <v>224</v>
      </c>
      <c r="E89" s="266">
        <f t="shared" ref="E89:F89" si="54">E88+10</f>
        <v>91.82110256</v>
      </c>
      <c r="F89" s="266">
        <f t="shared" si="54"/>
        <v>91.82110256</v>
      </c>
      <c r="G89" s="230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</row>
    <row r="90">
      <c r="A90" s="228"/>
      <c r="B90" s="225"/>
      <c r="C90" s="225"/>
      <c r="D90" s="260" t="s">
        <v>225</v>
      </c>
      <c r="E90" s="264">
        <f t="shared" ref="E90:F90" si="55">E89*100/40</f>
        <v>229.5527564</v>
      </c>
      <c r="F90" s="264">
        <f t="shared" si="55"/>
        <v>229.5527564</v>
      </c>
      <c r="G90" s="230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</row>
    <row r="91">
      <c r="A91" s="228"/>
      <c r="B91" s="225"/>
      <c r="C91" s="225"/>
      <c r="D91" s="258" t="s">
        <v>226</v>
      </c>
      <c r="E91" s="264">
        <f>E89/A76</f>
        <v>2.623460073</v>
      </c>
      <c r="F91" s="264">
        <f>F89/A76</f>
        <v>2.623460073</v>
      </c>
      <c r="G91" s="230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</row>
    <row r="92">
      <c r="A92" s="228"/>
      <c r="B92" s="225"/>
      <c r="C92" s="225"/>
      <c r="D92" s="267" t="s">
        <v>227</v>
      </c>
      <c r="E92" s="266">
        <f>E91*100/40</f>
        <v>6.558650183</v>
      </c>
      <c r="F92" s="266">
        <f>$F$91*100/40</f>
        <v>6.558650183</v>
      </c>
      <c r="G92" s="230">
        <f>($E$92-$F$92)/$E$92</f>
        <v>0</v>
      </c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</row>
    <row r="93">
      <c r="A93" s="228"/>
      <c r="B93" s="225"/>
      <c r="C93" s="225"/>
      <c r="D93" s="267" t="s">
        <v>232</v>
      </c>
      <c r="E93" s="266">
        <f t="shared" ref="E93:F93" si="56">ROUNDUP(E92,0)</f>
        <v>7</v>
      </c>
      <c r="F93" s="266">
        <f t="shared" si="56"/>
        <v>7</v>
      </c>
      <c r="G93" s="230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</row>
    <row r="94">
      <c r="A94" s="228"/>
      <c r="B94" s="225"/>
      <c r="C94" s="225"/>
      <c r="D94" s="225"/>
      <c r="E94" s="262"/>
      <c r="F94" s="269"/>
      <c r="G94" s="230"/>
      <c r="H94" s="270"/>
      <c r="I94" s="270"/>
      <c r="J94" s="270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</row>
    <row r="95">
      <c r="A95" s="228"/>
      <c r="B95" s="225"/>
      <c r="C95" s="225"/>
      <c r="D95" s="225"/>
      <c r="E95" s="262"/>
      <c r="F95" s="263"/>
      <c r="G95" s="230"/>
      <c r="H95" s="263"/>
      <c r="I95" s="263"/>
      <c r="J95" s="263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</row>
    <row r="96">
      <c r="A96" s="229" t="s">
        <v>38</v>
      </c>
      <c r="B96" s="230" t="s">
        <v>74</v>
      </c>
      <c r="C96" s="230"/>
      <c r="D96" s="225"/>
      <c r="E96" s="262"/>
      <c r="F96" s="263"/>
      <c r="G96" s="230"/>
      <c r="H96" s="263"/>
      <c r="I96" s="263"/>
      <c r="J96" s="263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</row>
    <row r="97">
      <c r="A97" s="265">
        <v>12.0</v>
      </c>
      <c r="B97" s="230" t="s">
        <v>236</v>
      </c>
      <c r="C97" s="225"/>
      <c r="D97" s="225"/>
      <c r="E97" s="262"/>
      <c r="F97" s="263"/>
      <c r="G97" s="230"/>
      <c r="H97" s="263"/>
      <c r="I97" s="263"/>
      <c r="J97" s="263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</row>
    <row r="98">
      <c r="A98" s="265" t="s">
        <v>230</v>
      </c>
      <c r="B98" s="230" t="s">
        <v>238</v>
      </c>
      <c r="C98" s="225"/>
      <c r="D98" s="225"/>
      <c r="E98" s="262"/>
      <c r="F98" s="263"/>
      <c r="G98" s="230"/>
      <c r="H98" s="263"/>
      <c r="I98" s="263"/>
      <c r="J98" s="263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</row>
    <row r="99">
      <c r="A99" s="265" t="s">
        <v>216</v>
      </c>
      <c r="B99" s="230" t="s">
        <v>237</v>
      </c>
      <c r="C99" s="225"/>
      <c r="D99" s="225"/>
      <c r="E99" s="262"/>
      <c r="F99" s="263"/>
      <c r="G99" s="240"/>
      <c r="H99" s="263"/>
      <c r="I99" s="263"/>
      <c r="J99" s="263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</row>
    <row r="100">
      <c r="A100" s="223" t="s">
        <v>218</v>
      </c>
      <c r="B100" s="241" t="s">
        <v>115</v>
      </c>
      <c r="C100" s="241" t="s">
        <v>219</v>
      </c>
      <c r="D100" s="241" t="s">
        <v>116</v>
      </c>
      <c r="E100" s="241" t="s">
        <v>96</v>
      </c>
      <c r="F100" s="241" t="s">
        <v>221</v>
      </c>
      <c r="G100" s="240" t="s">
        <v>222</v>
      </c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</row>
    <row r="101">
      <c r="A101" s="244" t="s">
        <v>140</v>
      </c>
      <c r="B101" s="243">
        <f>VLOOKUP(A101,Lista!$A$3:$E$45,4,FALSE())</f>
        <v>1</v>
      </c>
      <c r="C101" s="230">
        <v>0.24</v>
      </c>
      <c r="D101" s="243">
        <f>VLOOKUP(A101,Lista!$A$3:$E$45,5,FALSE())</f>
        <v>23</v>
      </c>
      <c r="E101" s="225">
        <f t="shared" ref="E101:F101" si="57">($C$101*$D$101)/$B$101</f>
        <v>5.52</v>
      </c>
      <c r="F101" s="225">
        <f t="shared" si="57"/>
        <v>5.52</v>
      </c>
      <c r="G101" s="230">
        <f t="shared" ref="G101:G110" si="59">(E101-F101)/E101</f>
        <v>0</v>
      </c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</row>
    <row r="102">
      <c r="A102" s="244" t="s">
        <v>154</v>
      </c>
      <c r="B102" s="243">
        <f>VLOOKUP(A102,Lista!$A$3:$E$45,4,FALSE())</f>
        <v>1</v>
      </c>
      <c r="C102" s="230">
        <v>0.015</v>
      </c>
      <c r="D102" s="243">
        <f>VLOOKUP(A102,Lista!$A$3:$E$45,5,FALSE())</f>
        <v>24</v>
      </c>
      <c r="E102" s="225">
        <f t="shared" ref="E102:F102" si="58">($C$102*$D$102)/$B$102</f>
        <v>0.36</v>
      </c>
      <c r="F102" s="225">
        <f t="shared" si="58"/>
        <v>0.36</v>
      </c>
      <c r="G102" s="230">
        <f t="shared" si="59"/>
        <v>0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</row>
    <row r="103">
      <c r="A103" s="244" t="s">
        <v>141</v>
      </c>
      <c r="B103" s="243">
        <f>VLOOKUP(A103,Lista!$A$3:$E$45,4,FALSE())</f>
        <v>30</v>
      </c>
      <c r="C103" s="230">
        <v>3.0</v>
      </c>
      <c r="D103" s="243">
        <f>VLOOKUP(A103,Lista!$A$3:$E$45,5,FALSE())</f>
        <v>91</v>
      </c>
      <c r="E103" s="225">
        <f t="shared" ref="E103:F103" si="60">($C$103*$D$103)/$B$103</f>
        <v>9.1</v>
      </c>
      <c r="F103" s="225">
        <f t="shared" si="60"/>
        <v>9.1</v>
      </c>
      <c r="G103" s="230">
        <f t="shared" si="59"/>
        <v>0</v>
      </c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</row>
    <row r="104">
      <c r="A104" s="244" t="s">
        <v>118</v>
      </c>
      <c r="B104" s="243">
        <f>VLOOKUP(A104,Lista!$A$3:$E$45,4,FALSE())</f>
        <v>1</v>
      </c>
      <c r="C104" s="230">
        <v>0.15</v>
      </c>
      <c r="D104" s="243">
        <f>VLOOKUP(A104,Lista!$A$3:$E$45,5,FALSE())</f>
        <v>22</v>
      </c>
      <c r="E104" s="225">
        <f t="shared" ref="E104:F104" si="61">($C$104*$D$104)/$B$104</f>
        <v>3.3</v>
      </c>
      <c r="F104" s="225">
        <f t="shared" si="61"/>
        <v>3.3</v>
      </c>
      <c r="G104" s="230">
        <f t="shared" si="59"/>
        <v>0</v>
      </c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</row>
    <row r="105">
      <c r="A105" s="244" t="s">
        <v>157</v>
      </c>
      <c r="B105" s="243">
        <f>VLOOKUP(A105,Lista!$A$3:$E$45,4,FALSE())</f>
        <v>0.65</v>
      </c>
      <c r="C105" s="230">
        <v>0.001</v>
      </c>
      <c r="D105" s="243">
        <f>VLOOKUP(A105,Lista!$A$3:$E$45,5,FALSE())</f>
        <v>14.8</v>
      </c>
      <c r="E105" s="225">
        <f t="shared" ref="E105:F105" si="62">($C$105*$D$105)/$B$105</f>
        <v>0.02276923077</v>
      </c>
      <c r="F105" s="225">
        <f t="shared" si="62"/>
        <v>0.02276923077</v>
      </c>
      <c r="G105" s="230">
        <f t="shared" si="59"/>
        <v>0</v>
      </c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</row>
    <row r="106">
      <c r="A106" s="244" t="s">
        <v>159</v>
      </c>
      <c r="B106" s="243">
        <f>VLOOKUP(A106,Lista!$A$3:$E$45,4,FALSE())</f>
        <v>0.25</v>
      </c>
      <c r="C106" s="230">
        <v>0.005</v>
      </c>
      <c r="D106" s="243">
        <f>VLOOKUP(A106,Lista!$A$3:$E$45,5,FALSE())</f>
        <v>24.5</v>
      </c>
      <c r="E106" s="225">
        <f t="shared" ref="E106:F106" si="63">($C$106*$D$106)/$B$106</f>
        <v>0.49</v>
      </c>
      <c r="F106" s="225">
        <f t="shared" si="63"/>
        <v>0.49</v>
      </c>
      <c r="G106" s="230">
        <f t="shared" si="59"/>
        <v>0</v>
      </c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</row>
    <row r="107">
      <c r="A107" s="244" t="s">
        <v>160</v>
      </c>
      <c r="B107" s="243">
        <f>VLOOKUP(A107,Lista!$A$3:$E$45,4,FALSE())</f>
        <v>1</v>
      </c>
      <c r="C107" s="230">
        <f>(0.13+0.005)</f>
        <v>0.135</v>
      </c>
      <c r="D107" s="243">
        <f>VLOOKUP(A107,Lista!$A$3:$E$45,5,FALSE())</f>
        <v>52</v>
      </c>
      <c r="E107" s="225">
        <f>($C$107*$D$107)/$B$107</f>
        <v>7.02</v>
      </c>
      <c r="F107" s="225">
        <f>(0.13*$D$107)/$B$107</f>
        <v>6.76</v>
      </c>
      <c r="G107" s="230">
        <f t="shared" si="59"/>
        <v>0.03703703704</v>
      </c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</row>
    <row r="108">
      <c r="A108" s="244" t="s">
        <v>149</v>
      </c>
      <c r="B108" s="243">
        <f>VLOOKUP(A108,Lista!$A$3:$E$45,4,FALSE())</f>
        <v>1</v>
      </c>
      <c r="C108" s="230">
        <v>0.13</v>
      </c>
      <c r="D108" s="243">
        <f>VLOOKUP(A108,Lista!$A$3:$E$45,5,FALSE())</f>
        <v>245</v>
      </c>
      <c r="E108" s="225">
        <f t="shared" ref="E108:F108" si="64">($C$108*$D$108)/$B$108</f>
        <v>31.85</v>
      </c>
      <c r="F108" s="225">
        <f t="shared" si="64"/>
        <v>31.85</v>
      </c>
      <c r="G108" s="230">
        <f t="shared" si="59"/>
        <v>0</v>
      </c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</row>
    <row r="109">
      <c r="A109" s="244" t="s">
        <v>128</v>
      </c>
      <c r="B109" s="243">
        <f>VLOOKUP(A109,Lista!$A$3:$E$45,4,FALSE())</f>
        <v>0.5</v>
      </c>
      <c r="C109" s="230">
        <v>0.15</v>
      </c>
      <c r="D109" s="243">
        <f>VLOOKUP(A109,Lista!$A$3:$E$45,5,FALSE())</f>
        <v>54</v>
      </c>
      <c r="E109" s="225">
        <f t="shared" ref="E109:F109" si="65">($C$109*$D$109)/$B$109</f>
        <v>16.2</v>
      </c>
      <c r="F109" s="225">
        <f t="shared" si="65"/>
        <v>16.2</v>
      </c>
      <c r="G109" s="230">
        <f t="shared" si="59"/>
        <v>0</v>
      </c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</row>
    <row r="110">
      <c r="A110" s="244" t="s">
        <v>126</v>
      </c>
      <c r="B110" s="243">
        <f>VLOOKUP(A110,Lista!$A$3:$E$45,4,FALSE())</f>
        <v>400</v>
      </c>
      <c r="C110" s="230">
        <v>12.0</v>
      </c>
      <c r="D110" s="243">
        <f>VLOOKUP(A110,Lista!$A$3:$E$45,5,FALSE())</f>
        <v>125</v>
      </c>
      <c r="E110" s="225">
        <f t="shared" ref="E110:F110" si="66">($C$110*$D$110)/$B$110</f>
        <v>3.75</v>
      </c>
      <c r="F110" s="225">
        <f t="shared" si="66"/>
        <v>3.75</v>
      </c>
      <c r="G110" s="230">
        <f t="shared" si="59"/>
        <v>0</v>
      </c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</row>
    <row r="111">
      <c r="A111" s="228"/>
      <c r="B111" s="225"/>
      <c r="C111" s="225"/>
      <c r="D111" s="258" t="s">
        <v>223</v>
      </c>
      <c r="E111" s="264">
        <f t="shared" ref="E111:F111" si="67">SUM(E101:E110)</f>
        <v>77.61276923</v>
      </c>
      <c r="F111" s="225">
        <f t="shared" si="67"/>
        <v>77.35276923</v>
      </c>
      <c r="G111" s="277">
        <f>($E$111-$F$111)/$E$111</f>
        <v>0.003349964221</v>
      </c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</row>
    <row r="112">
      <c r="A112" s="228"/>
      <c r="B112" s="225"/>
      <c r="C112" s="225"/>
      <c r="D112" s="258" t="s">
        <v>224</v>
      </c>
      <c r="E112" s="266">
        <f t="shared" ref="E112:F112" si="68">E111+10</f>
        <v>87.61276923</v>
      </c>
      <c r="F112" s="266">
        <f t="shared" si="68"/>
        <v>87.35276923</v>
      </c>
      <c r="G112" s="230"/>
      <c r="H112" s="228"/>
      <c r="I112" s="228"/>
      <c r="J112" s="228">
        <f>E111/A97</f>
        <v>6.467730769</v>
      </c>
      <c r="K112" s="228">
        <f>F111/A97</f>
        <v>6.446064103</v>
      </c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</row>
    <row r="113">
      <c r="A113" s="228"/>
      <c r="B113" s="225"/>
      <c r="C113" s="225"/>
      <c r="D113" s="260" t="s">
        <v>225</v>
      </c>
      <c r="E113" s="264">
        <f t="shared" ref="E113:F113" si="69">E112*100/40</f>
        <v>219.0319231</v>
      </c>
      <c r="F113" s="264">
        <f t="shared" si="69"/>
        <v>218.3819231</v>
      </c>
      <c r="G113" s="230"/>
      <c r="H113" s="228"/>
      <c r="I113" s="228"/>
      <c r="J113" s="228"/>
      <c r="K113" s="228">
        <f>(J112-K112)/J112</f>
        <v>0.003349964221</v>
      </c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</row>
    <row r="114">
      <c r="A114" s="228"/>
      <c r="B114" s="225"/>
      <c r="C114" s="225"/>
      <c r="D114" s="258" t="s">
        <v>226</v>
      </c>
      <c r="E114" s="264">
        <f>E112/A97</f>
        <v>7.301064103</v>
      </c>
      <c r="F114" s="264">
        <f>F112/A97</f>
        <v>7.279397436</v>
      </c>
      <c r="G114" s="230"/>
      <c r="H114" s="228"/>
      <c r="I114" s="228"/>
      <c r="J114" s="228"/>
      <c r="K114" s="27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</row>
    <row r="115">
      <c r="A115" s="228"/>
      <c r="B115" s="225"/>
      <c r="C115" s="225"/>
      <c r="D115" s="267" t="s">
        <v>227</v>
      </c>
      <c r="E115" s="266">
        <f>E114*100/40</f>
        <v>18.25266026</v>
      </c>
      <c r="F115" s="266">
        <f>$F$114*100/40</f>
        <v>18.19849359</v>
      </c>
      <c r="G115" s="277">
        <f>($E$115-$F$115)/$E$115</f>
        <v>0.00296760395</v>
      </c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</row>
    <row r="116">
      <c r="A116" s="228"/>
      <c r="B116" s="225"/>
      <c r="C116" s="225"/>
      <c r="D116" s="267" t="s">
        <v>232</v>
      </c>
      <c r="E116" s="268">
        <v>20.0</v>
      </c>
      <c r="F116" s="268">
        <v>20.0</v>
      </c>
      <c r="G116" s="230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</row>
    <row r="117">
      <c r="A117" s="228"/>
      <c r="B117" s="225"/>
      <c r="C117" s="225"/>
      <c r="D117" s="225"/>
      <c r="E117" s="262"/>
      <c r="F117" s="269"/>
      <c r="G117" s="230"/>
      <c r="H117" s="270"/>
      <c r="I117" s="270"/>
      <c r="J117" s="270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</row>
    <row r="118">
      <c r="A118" s="228"/>
      <c r="B118" s="225"/>
      <c r="C118" s="225"/>
      <c r="D118" s="225"/>
      <c r="E118" s="262"/>
      <c r="F118" s="263">
        <f>E114-F114</f>
        <v>0.02166666667</v>
      </c>
      <c r="G118" s="227">
        <v>0.0216666666666665</v>
      </c>
      <c r="H118" s="263"/>
      <c r="I118" s="263"/>
      <c r="J118" s="263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</row>
    <row r="119">
      <c r="A119" s="229" t="s">
        <v>97</v>
      </c>
      <c r="B119" s="230" t="s">
        <v>76</v>
      </c>
      <c r="C119" s="230"/>
      <c r="D119" s="225"/>
      <c r="E119" s="262"/>
      <c r="F119" s="263"/>
      <c r="G119" s="230"/>
      <c r="H119" s="263"/>
      <c r="I119" s="263"/>
      <c r="J119" s="263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</row>
    <row r="120">
      <c r="A120" s="265">
        <v>50.0</v>
      </c>
      <c r="B120" s="230" t="s">
        <v>236</v>
      </c>
      <c r="C120" s="225"/>
      <c r="D120" s="225"/>
      <c r="E120" s="262"/>
      <c r="F120" s="263"/>
      <c r="G120" s="230"/>
      <c r="H120" s="263"/>
      <c r="I120" s="263"/>
      <c r="J120" s="263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</row>
    <row r="121">
      <c r="A121" s="265" t="s">
        <v>230</v>
      </c>
      <c r="B121" s="230" t="s">
        <v>239</v>
      </c>
      <c r="C121" s="225"/>
      <c r="D121" s="225"/>
      <c r="E121" s="262"/>
      <c r="F121" s="263"/>
      <c r="G121" s="230"/>
      <c r="H121" s="263"/>
      <c r="I121" s="263"/>
      <c r="J121" s="263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</row>
    <row r="122">
      <c r="A122" s="265" t="s">
        <v>216</v>
      </c>
      <c r="B122" s="230" t="s">
        <v>237</v>
      </c>
      <c r="C122" s="225"/>
      <c r="D122" s="225"/>
      <c r="E122" s="262"/>
      <c r="F122" s="263"/>
      <c r="G122" s="230"/>
      <c r="H122" s="263"/>
      <c r="I122" s="263"/>
      <c r="J122" s="263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</row>
    <row r="123">
      <c r="A123" s="223" t="s">
        <v>218</v>
      </c>
      <c r="B123" s="241" t="s">
        <v>115</v>
      </c>
      <c r="C123" s="241" t="s">
        <v>219</v>
      </c>
      <c r="D123" s="241" t="s">
        <v>116</v>
      </c>
      <c r="E123" s="241" t="s">
        <v>96</v>
      </c>
      <c r="F123" s="241" t="s">
        <v>221</v>
      </c>
      <c r="G123" s="240" t="s">
        <v>222</v>
      </c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</row>
    <row r="124">
      <c r="A124" s="244" t="s">
        <v>151</v>
      </c>
      <c r="B124" s="243">
        <f>VLOOKUP(A124,Lista!$A$3:$E$45,4,FALSE())</f>
        <v>1</v>
      </c>
      <c r="C124" s="230">
        <v>0.25</v>
      </c>
      <c r="D124" s="243">
        <f>VLOOKUP(A124,Lista!$A$3:$E$45,5,FALSE())</f>
        <v>198</v>
      </c>
      <c r="E124" s="225">
        <f t="shared" ref="E124:F124" si="70">($C$124*$D$124)/$B$124</f>
        <v>49.5</v>
      </c>
      <c r="F124" s="225">
        <f t="shared" si="70"/>
        <v>49.5</v>
      </c>
      <c r="G124" s="230">
        <f t="shared" ref="G124:G131" si="72">(E124-F124)/E124</f>
        <v>0</v>
      </c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</row>
    <row r="125">
      <c r="A125" s="244" t="s">
        <v>149</v>
      </c>
      <c r="B125" s="243">
        <f>VLOOKUP(A125,Lista!$A$3:$E$45,4,FALSE())</f>
        <v>1</v>
      </c>
      <c r="C125" s="230">
        <v>0.27</v>
      </c>
      <c r="D125" s="243">
        <f>VLOOKUP(A125,Lista!$A$3:$E$45,5,FALSE())</f>
        <v>245</v>
      </c>
      <c r="E125" s="225">
        <f t="shared" ref="E125:F125" si="71">($C$125*$D$125)/$B$125</f>
        <v>66.15</v>
      </c>
      <c r="F125" s="225">
        <f t="shared" si="71"/>
        <v>66.15</v>
      </c>
      <c r="G125" s="230">
        <f t="shared" si="72"/>
        <v>0</v>
      </c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</row>
    <row r="126">
      <c r="A126" s="244" t="s">
        <v>119</v>
      </c>
      <c r="B126" s="243">
        <f>VLOOKUP(A126,Lista!$A$3:$E$45,4,FALSE())</f>
        <v>0.5</v>
      </c>
      <c r="C126" s="230">
        <v>0.15</v>
      </c>
      <c r="D126" s="243">
        <f>VLOOKUP(A126,Lista!$A$3:$E$45,5,FALSE())</f>
        <v>22.25</v>
      </c>
      <c r="E126" s="225">
        <f t="shared" ref="E126:F126" si="73">($C$126*$D$126)/$B$126</f>
        <v>6.675</v>
      </c>
      <c r="F126" s="225">
        <f t="shared" si="73"/>
        <v>6.675</v>
      </c>
      <c r="G126" s="230">
        <f t="shared" si="72"/>
        <v>0</v>
      </c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</row>
    <row r="127">
      <c r="A127" s="244" t="s">
        <v>157</v>
      </c>
      <c r="B127" s="243">
        <f>VLOOKUP(A127,Lista!$A$3:$E$45,4,FALSE())</f>
        <v>0.65</v>
      </c>
      <c r="C127" s="230">
        <v>0.005</v>
      </c>
      <c r="D127" s="243">
        <f>VLOOKUP(A127,Lista!$A$3:$E$45,5,FALSE())</f>
        <v>14.8</v>
      </c>
      <c r="E127" s="225">
        <f t="shared" ref="E127:F127" si="74">($C$127*$D$127)/$B$127</f>
        <v>0.1138461538</v>
      </c>
      <c r="F127" s="225">
        <f t="shared" si="74"/>
        <v>0.1138461538</v>
      </c>
      <c r="G127" s="230">
        <f t="shared" si="72"/>
        <v>0</v>
      </c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</row>
    <row r="128">
      <c r="A128" s="244" t="s">
        <v>141</v>
      </c>
      <c r="B128" s="243">
        <f>VLOOKUP(A128,Lista!$A$3:$E$45,4,FALSE())</f>
        <v>30</v>
      </c>
      <c r="C128" s="230">
        <v>1.0</v>
      </c>
      <c r="D128" s="243">
        <f>VLOOKUP(A128,Lista!$A$3:$E$45,5,FALSE())</f>
        <v>91</v>
      </c>
      <c r="E128" s="225">
        <f t="shared" ref="E128:F128" si="75">($C$128*$D$128)/$B$128</f>
        <v>3.033333333</v>
      </c>
      <c r="F128" s="225">
        <f t="shared" si="75"/>
        <v>3.033333333</v>
      </c>
      <c r="G128" s="230">
        <f t="shared" si="72"/>
        <v>0</v>
      </c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</row>
    <row r="129">
      <c r="A129" s="244" t="s">
        <v>159</v>
      </c>
      <c r="B129" s="243">
        <f>VLOOKUP(A129,Lista!$A$3:$E$45,4,FALSE())</f>
        <v>0.25</v>
      </c>
      <c r="C129" s="230">
        <v>0.015</v>
      </c>
      <c r="D129" s="243">
        <f>VLOOKUP(A129,Lista!$A$3:$E$45,5,FALSE())</f>
        <v>24.5</v>
      </c>
      <c r="E129" s="225">
        <f t="shared" ref="E129:F129" si="76">($C$129*$D$129)/$B$129</f>
        <v>1.47</v>
      </c>
      <c r="F129" s="225">
        <f t="shared" si="76"/>
        <v>1.47</v>
      </c>
      <c r="G129" s="230">
        <f t="shared" si="72"/>
        <v>0</v>
      </c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</row>
    <row r="130">
      <c r="A130" s="244" t="s">
        <v>140</v>
      </c>
      <c r="B130" s="243">
        <f>VLOOKUP(A130,Lista!$A$3:$E$45,4,FALSE())</f>
        <v>1</v>
      </c>
      <c r="C130" s="230">
        <v>0.5</v>
      </c>
      <c r="D130" s="243">
        <f>VLOOKUP(A130,Lista!$A$3:$E$45,5,FALSE())</f>
        <v>23</v>
      </c>
      <c r="E130" s="225">
        <f t="shared" ref="E130:F130" si="77">($C$130*$D$130)/$B$130</f>
        <v>11.5</v>
      </c>
      <c r="F130" s="225">
        <f t="shared" si="77"/>
        <v>11.5</v>
      </c>
      <c r="G130" s="230">
        <f t="shared" si="72"/>
        <v>0</v>
      </c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</row>
    <row r="131">
      <c r="A131" s="244" t="s">
        <v>137</v>
      </c>
      <c r="B131" s="243">
        <f>VLOOKUP(A131,Lista!$A$3:$E$45,4,FALSE())</f>
        <v>1</v>
      </c>
      <c r="C131" s="230">
        <v>0.05</v>
      </c>
      <c r="D131" s="243">
        <f>VLOOKUP(A131,Lista!$A$3:$E$45,5,FALSE())</f>
        <v>21</v>
      </c>
      <c r="E131" s="225">
        <f t="shared" ref="E131:F131" si="78">($C$131*$D$131)/$B$131</f>
        <v>1.05</v>
      </c>
      <c r="F131" s="225">
        <f t="shared" si="78"/>
        <v>1.05</v>
      </c>
      <c r="G131" s="230">
        <f t="shared" si="72"/>
        <v>0</v>
      </c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</row>
    <row r="132">
      <c r="A132" s="228"/>
      <c r="B132" s="225"/>
      <c r="C132" s="225"/>
      <c r="D132" s="258" t="s">
        <v>223</v>
      </c>
      <c r="E132" s="264">
        <f t="shared" ref="E132:F132" si="79">SUM(E124:E131)</f>
        <v>139.4921795</v>
      </c>
      <c r="F132" s="225">
        <f t="shared" si="79"/>
        <v>139.4921795</v>
      </c>
      <c r="G132" s="230">
        <f>($E$132-$F$132)/$E$132</f>
        <v>0</v>
      </c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</row>
    <row r="133">
      <c r="A133" s="228"/>
      <c r="B133" s="225"/>
      <c r="C133" s="225"/>
      <c r="D133" s="258" t="s">
        <v>224</v>
      </c>
      <c r="E133" s="266">
        <f t="shared" ref="E133:F133" si="80">E132+10</f>
        <v>149.4921795</v>
      </c>
      <c r="F133" s="266">
        <f t="shared" si="80"/>
        <v>149.4921795</v>
      </c>
      <c r="G133" s="230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</row>
    <row r="134">
      <c r="A134" s="228"/>
      <c r="B134" s="225"/>
      <c r="C134" s="225"/>
      <c r="D134" s="260" t="s">
        <v>225</v>
      </c>
      <c r="E134" s="264">
        <f t="shared" ref="E134:F134" si="81">E133*100/40</f>
        <v>373.7304487</v>
      </c>
      <c r="F134" s="264">
        <f t="shared" si="81"/>
        <v>373.7304487</v>
      </c>
      <c r="G134" s="230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</row>
    <row r="135">
      <c r="A135" s="228"/>
      <c r="B135" s="225"/>
      <c r="C135" s="225"/>
      <c r="D135" s="258" t="s">
        <v>226</v>
      </c>
      <c r="E135" s="264">
        <f>E133/A120</f>
        <v>2.98984359</v>
      </c>
      <c r="F135" s="264">
        <f>F133/A120</f>
        <v>2.98984359</v>
      </c>
      <c r="G135" s="230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</row>
    <row r="136">
      <c r="A136" s="228"/>
      <c r="B136" s="225"/>
      <c r="C136" s="225"/>
      <c r="D136" s="267" t="s">
        <v>227</v>
      </c>
      <c r="E136" s="266">
        <f>E135*100/40</f>
        <v>7.474608974</v>
      </c>
      <c r="F136" s="266">
        <f>$F$135*100/40</f>
        <v>7.474608974</v>
      </c>
      <c r="G136" s="230">
        <f>($E$136-$F$136)/$E$136</f>
        <v>0</v>
      </c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</row>
    <row r="137">
      <c r="A137" s="228"/>
      <c r="B137" s="225"/>
      <c r="C137" s="225"/>
      <c r="D137" s="267" t="s">
        <v>232</v>
      </c>
      <c r="E137" s="268">
        <v>7.0</v>
      </c>
      <c r="F137" s="268">
        <v>7.0</v>
      </c>
      <c r="G137" s="230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</row>
    <row r="138">
      <c r="A138" s="228"/>
      <c r="B138" s="225"/>
      <c r="C138" s="225"/>
      <c r="D138" s="225"/>
      <c r="E138" s="262"/>
      <c r="F138" s="269"/>
      <c r="G138" s="230"/>
      <c r="H138" s="270"/>
      <c r="I138" s="270"/>
      <c r="J138" s="270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</row>
    <row r="139">
      <c r="A139" s="228"/>
      <c r="B139" s="225"/>
      <c r="C139" s="225"/>
      <c r="D139" s="225"/>
      <c r="E139" s="262"/>
      <c r="F139" s="263"/>
      <c r="G139" s="230"/>
      <c r="H139" s="263"/>
      <c r="I139" s="263"/>
      <c r="J139" s="263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</row>
    <row r="140">
      <c r="A140" s="229" t="s">
        <v>108</v>
      </c>
      <c r="B140" s="230" t="s">
        <v>78</v>
      </c>
      <c r="C140" s="230"/>
      <c r="D140" s="225"/>
      <c r="E140" s="262"/>
      <c r="F140" s="263"/>
      <c r="G140" s="230"/>
      <c r="H140" s="263"/>
      <c r="I140" s="263"/>
      <c r="J140" s="263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</row>
    <row r="141">
      <c r="A141" s="265">
        <v>18.0</v>
      </c>
      <c r="B141" s="230" t="s">
        <v>240</v>
      </c>
      <c r="C141" s="225"/>
      <c r="D141" s="225"/>
      <c r="E141" s="262"/>
      <c r="F141" s="263"/>
      <c r="G141" s="230"/>
      <c r="H141" s="263"/>
      <c r="I141" s="263"/>
      <c r="J141" s="263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</row>
    <row r="142">
      <c r="A142" s="265" t="s">
        <v>230</v>
      </c>
      <c r="B142" s="230" t="s">
        <v>241</v>
      </c>
      <c r="C142" s="225"/>
      <c r="D142" s="225"/>
      <c r="E142" s="262"/>
      <c r="F142" s="263"/>
      <c r="G142" s="230"/>
      <c r="H142" s="263"/>
      <c r="I142" s="263"/>
      <c r="J142" s="263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</row>
    <row r="143">
      <c r="A143" s="265" t="s">
        <v>216</v>
      </c>
      <c r="B143" s="230" t="s">
        <v>237</v>
      </c>
      <c r="C143" s="225"/>
      <c r="D143" s="225"/>
      <c r="E143" s="262"/>
      <c r="F143" s="263"/>
      <c r="G143" s="230"/>
      <c r="H143" s="263"/>
      <c r="I143" s="263"/>
      <c r="J143" s="263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>
      <c r="A144" s="223" t="s">
        <v>218</v>
      </c>
      <c r="B144" s="241" t="s">
        <v>115</v>
      </c>
      <c r="C144" s="241" t="s">
        <v>219</v>
      </c>
      <c r="D144" s="241" t="s">
        <v>116</v>
      </c>
      <c r="E144" s="241" t="s">
        <v>96</v>
      </c>
      <c r="F144" s="241" t="s">
        <v>221</v>
      </c>
      <c r="G144" s="240" t="s">
        <v>222</v>
      </c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</row>
    <row r="145">
      <c r="A145" s="244" t="s">
        <v>155</v>
      </c>
      <c r="B145" s="243">
        <f>VLOOKUP(A145,Lista!$A$3:$E$45,4,FALSE())</f>
        <v>1</v>
      </c>
      <c r="C145" s="230">
        <v>0.19</v>
      </c>
      <c r="D145" s="243">
        <f>VLOOKUP(A145,Lista!$A$3:$E$45,5,FALSE())</f>
        <v>120</v>
      </c>
      <c r="E145" s="225">
        <f t="shared" ref="E145:F145" si="82">($C$145*$D$145)/$B$145</f>
        <v>22.8</v>
      </c>
      <c r="F145" s="225">
        <f t="shared" si="82"/>
        <v>22.8</v>
      </c>
      <c r="G145" s="230">
        <f t="shared" ref="G145:G154" si="84">(E145-F145)/E145</f>
        <v>0</v>
      </c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</row>
    <row r="146">
      <c r="A146" s="244" t="s">
        <v>145</v>
      </c>
      <c r="B146" s="243">
        <f>VLOOKUP(A146,Lista!$A$3:$E$45,4,FALSE())</f>
        <v>0.36</v>
      </c>
      <c r="C146" s="230">
        <v>0.36</v>
      </c>
      <c r="D146" s="243">
        <f>VLOOKUP(A146,Lista!$A$3:$E$45,5,FALSE())</f>
        <v>18.9</v>
      </c>
      <c r="E146" s="225">
        <f t="shared" ref="E146:F146" si="83">($C$146*$D$146)/$B$146</f>
        <v>18.9</v>
      </c>
      <c r="F146" s="225">
        <f t="shared" si="83"/>
        <v>18.9</v>
      </c>
      <c r="G146" s="230">
        <f t="shared" si="84"/>
        <v>0</v>
      </c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</row>
    <row r="147">
      <c r="A147" s="244" t="s">
        <v>143</v>
      </c>
      <c r="B147" s="243">
        <f>VLOOKUP(A147,Lista!$A$3:$E$45,4,FALSE())</f>
        <v>0.375</v>
      </c>
      <c r="C147" s="230">
        <v>0.375</v>
      </c>
      <c r="D147" s="243">
        <f>VLOOKUP(A147,Lista!$A$3:$E$45,5,FALSE())</f>
        <v>24</v>
      </c>
      <c r="E147" s="225">
        <f t="shared" ref="E147:F147" si="85">($C$147*$D$147)/$B$147</f>
        <v>24</v>
      </c>
      <c r="F147" s="225">
        <f t="shared" si="85"/>
        <v>24</v>
      </c>
      <c r="G147" s="230">
        <f t="shared" si="84"/>
        <v>0</v>
      </c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</row>
    <row r="148">
      <c r="A148" s="244" t="s">
        <v>141</v>
      </c>
      <c r="B148" s="243">
        <f>VLOOKUP(A148,Lista!$A$3:$E$45,4,FALSE())</f>
        <v>30</v>
      </c>
      <c r="C148" s="230">
        <v>6.0</v>
      </c>
      <c r="D148" s="243">
        <f>VLOOKUP(A148,Lista!$A$3:$E$45,5,FALSE())</f>
        <v>91</v>
      </c>
      <c r="E148" s="225">
        <f t="shared" ref="E148:F148" si="86">($C$148*$D$148)/$B$148</f>
        <v>18.2</v>
      </c>
      <c r="F148" s="225">
        <f t="shared" si="86"/>
        <v>18.2</v>
      </c>
      <c r="G148" s="230">
        <f t="shared" si="84"/>
        <v>0</v>
      </c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</row>
    <row r="149">
      <c r="A149" s="244" t="s">
        <v>142</v>
      </c>
      <c r="B149" s="243">
        <f>VLOOKUP(A149,Lista!$A$3:$E$45,4,FALSE())</f>
        <v>1</v>
      </c>
      <c r="C149" s="230">
        <v>0.4</v>
      </c>
      <c r="D149" s="243">
        <f>VLOOKUP(A149,Lista!$A$3:$E$45,5,FALSE())</f>
        <v>27.9</v>
      </c>
      <c r="E149" s="225">
        <f t="shared" ref="E149:F149" si="87">($C$149*$D$149)/$B$149</f>
        <v>11.16</v>
      </c>
      <c r="F149" s="225">
        <f t="shared" si="87"/>
        <v>11.16</v>
      </c>
      <c r="G149" s="230">
        <f t="shared" si="84"/>
        <v>0</v>
      </c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</row>
    <row r="150">
      <c r="A150" s="244" t="s">
        <v>159</v>
      </c>
      <c r="B150" s="243">
        <f>VLOOKUP(A150,Lista!$A$3:$E$45,4,FALSE())</f>
        <v>0.25</v>
      </c>
      <c r="C150" s="230">
        <v>0.015</v>
      </c>
      <c r="D150" s="243">
        <f>VLOOKUP(A150,Lista!$A$3:$E$45,5,FALSE())</f>
        <v>24.5</v>
      </c>
      <c r="E150" s="225">
        <f t="shared" ref="E150:F150" si="88">($C$150*$D$150)/$B$150</f>
        <v>1.47</v>
      </c>
      <c r="F150" s="225">
        <f t="shared" si="88"/>
        <v>1.47</v>
      </c>
      <c r="G150" s="230">
        <f t="shared" si="84"/>
        <v>0</v>
      </c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</row>
    <row r="151">
      <c r="A151" s="244" t="s">
        <v>137</v>
      </c>
      <c r="B151" s="243">
        <f>VLOOKUP(A151,Lista!$A$3:$E$45,4,FALSE())</f>
        <v>1</v>
      </c>
      <c r="C151" s="230">
        <v>0.03</v>
      </c>
      <c r="D151" s="243">
        <f>VLOOKUP(A151,Lista!$A$3:$E$45,5,FALSE())</f>
        <v>21</v>
      </c>
      <c r="E151" s="225">
        <f t="shared" ref="E151:F151" si="89">($C$151*$D$151)/$B$151</f>
        <v>0.63</v>
      </c>
      <c r="F151" s="225">
        <f t="shared" si="89"/>
        <v>0.63</v>
      </c>
      <c r="G151" s="230">
        <f t="shared" si="84"/>
        <v>0</v>
      </c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</row>
    <row r="152">
      <c r="A152" s="244" t="s">
        <v>118</v>
      </c>
      <c r="B152" s="243">
        <f>VLOOKUP(A152,Lista!$A$3:$E$45,4,FALSE())</f>
        <v>1</v>
      </c>
      <c r="C152" s="230">
        <v>0.15</v>
      </c>
      <c r="D152" s="243">
        <f>VLOOKUP(A152,Lista!$A$3:$E$45,5,FALSE())</f>
        <v>22</v>
      </c>
      <c r="E152" s="225">
        <f t="shared" ref="E152:F152" si="90">($C$152*$D$152)/$B$152</f>
        <v>3.3</v>
      </c>
      <c r="F152" s="225">
        <f t="shared" si="90"/>
        <v>3.3</v>
      </c>
      <c r="G152" s="230">
        <f t="shared" si="84"/>
        <v>0</v>
      </c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</row>
    <row r="153">
      <c r="A153" s="244" t="s">
        <v>158</v>
      </c>
      <c r="B153" s="243">
        <f>VLOOKUP(A153,Lista!$A$3:$E$45,4,FALSE())</f>
        <v>20</v>
      </c>
      <c r="C153" s="230">
        <v>18.0</v>
      </c>
      <c r="D153" s="243">
        <f>VLOOKUP(A153,Lista!$A$3:$E$45,5,FALSE())</f>
        <v>36</v>
      </c>
      <c r="E153" s="225">
        <f t="shared" ref="E153:F153" si="91">($C$153*$D$153)/$B$153</f>
        <v>32.4</v>
      </c>
      <c r="F153" s="225">
        <f t="shared" si="91"/>
        <v>32.4</v>
      </c>
      <c r="G153" s="230">
        <f t="shared" si="84"/>
        <v>0</v>
      </c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</row>
    <row r="154">
      <c r="A154" s="244" t="s">
        <v>156</v>
      </c>
      <c r="B154" s="243">
        <f>VLOOKUP(A154,Lista!$A$3:$E$45,4,FALSE())</f>
        <v>1</v>
      </c>
      <c r="C154" s="230">
        <v>18.0</v>
      </c>
      <c r="D154" s="243">
        <f>VLOOKUP(A154,Lista!$A$3:$E$45,5,FALSE())</f>
        <v>3</v>
      </c>
      <c r="E154" s="225">
        <f t="shared" ref="E154:F154" si="92">($C$154*$D$154)/$B$154</f>
        <v>54</v>
      </c>
      <c r="F154" s="225">
        <f t="shared" si="92"/>
        <v>54</v>
      </c>
      <c r="G154" s="230">
        <f t="shared" si="84"/>
        <v>0</v>
      </c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</row>
    <row r="155">
      <c r="A155" s="228"/>
      <c r="B155" s="225"/>
      <c r="C155" s="225"/>
      <c r="D155" s="258" t="s">
        <v>223</v>
      </c>
      <c r="E155" s="264">
        <f t="shared" ref="E155:F155" si="93">SUM(E145:E154)</f>
        <v>186.86</v>
      </c>
      <c r="F155" s="225">
        <f t="shared" si="93"/>
        <v>186.86</v>
      </c>
      <c r="G155" s="230">
        <f>($E$155-$F$155)/$E$155</f>
        <v>0</v>
      </c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</row>
    <row r="156">
      <c r="A156" s="228"/>
      <c r="B156" s="225"/>
      <c r="C156" s="225"/>
      <c r="D156" s="258" t="s">
        <v>224</v>
      </c>
      <c r="E156" s="266">
        <f t="shared" ref="E156:F156" si="94">E155+10</f>
        <v>196.86</v>
      </c>
      <c r="F156" s="266">
        <f t="shared" si="94"/>
        <v>196.86</v>
      </c>
      <c r="G156" s="230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</row>
    <row r="157">
      <c r="A157" s="228"/>
      <c r="B157" s="225"/>
      <c r="C157" s="225"/>
      <c r="D157" s="260" t="s">
        <v>225</v>
      </c>
      <c r="E157" s="264">
        <f t="shared" ref="E157:F157" si="95">E156*100/40</f>
        <v>492.15</v>
      </c>
      <c r="F157" s="264">
        <f t="shared" si="95"/>
        <v>492.15</v>
      </c>
      <c r="G157" s="230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</row>
    <row r="158">
      <c r="A158" s="228"/>
      <c r="B158" s="230"/>
      <c r="C158" s="225"/>
      <c r="D158" s="258" t="s">
        <v>226</v>
      </c>
      <c r="E158" s="264">
        <f>E156/A141</f>
        <v>10.93666667</v>
      </c>
      <c r="F158" s="264">
        <f>F156/A141</f>
        <v>10.93666667</v>
      </c>
      <c r="G158" s="230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</row>
    <row r="159">
      <c r="A159" s="228"/>
      <c r="B159" s="225"/>
      <c r="C159" s="225"/>
      <c r="D159" s="267" t="s">
        <v>227</v>
      </c>
      <c r="E159" s="266">
        <f>E158*100/40</f>
        <v>27.34166667</v>
      </c>
      <c r="F159" s="266">
        <f>$F$158*100/40</f>
        <v>27.34166667</v>
      </c>
      <c r="G159" s="230">
        <f>($E$159-$F$159)/$E$159</f>
        <v>0</v>
      </c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</row>
    <row r="160">
      <c r="A160" s="228"/>
      <c r="B160" s="225"/>
      <c r="C160" s="225"/>
      <c r="D160" s="267" t="s">
        <v>232</v>
      </c>
      <c r="E160" s="268">
        <v>25.0</v>
      </c>
      <c r="F160" s="268">
        <v>25.0</v>
      </c>
      <c r="G160" s="230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</row>
    <row r="161">
      <c r="A161" s="228"/>
      <c r="B161" s="225"/>
      <c r="C161" s="225"/>
      <c r="D161" s="225"/>
      <c r="E161" s="262"/>
      <c r="F161" s="269"/>
      <c r="G161" s="230"/>
      <c r="H161" s="270"/>
      <c r="I161" s="270"/>
      <c r="J161" s="270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>
      <c r="A162" s="228"/>
      <c r="B162" s="225"/>
      <c r="C162" s="225"/>
      <c r="D162" s="225"/>
      <c r="E162" s="262"/>
      <c r="F162" s="263"/>
      <c r="G162" s="230"/>
      <c r="H162" s="263"/>
      <c r="I162" s="263"/>
      <c r="J162" s="263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>
      <c r="A163" s="229" t="s">
        <v>109</v>
      </c>
      <c r="B163" s="230" t="s">
        <v>79</v>
      </c>
      <c r="C163" s="230"/>
      <c r="D163" s="225"/>
      <c r="E163" s="262"/>
      <c r="F163" s="263"/>
      <c r="G163" s="230"/>
      <c r="H163" s="263"/>
      <c r="I163" s="263"/>
      <c r="J163" s="263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>
      <c r="A164" s="265">
        <v>14.0</v>
      </c>
      <c r="B164" s="230" t="s">
        <v>229</v>
      </c>
      <c r="C164" s="225"/>
      <c r="D164" s="225"/>
      <c r="E164" s="262"/>
      <c r="F164" s="263"/>
      <c r="G164" s="230"/>
      <c r="H164" s="263"/>
      <c r="I164" s="263"/>
      <c r="J164" s="263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>
      <c r="A165" s="265" t="s">
        <v>230</v>
      </c>
      <c r="B165" s="230" t="s">
        <v>242</v>
      </c>
      <c r="C165" s="225"/>
      <c r="D165" s="225"/>
      <c r="E165" s="262"/>
      <c r="F165" s="263"/>
      <c r="G165" s="230"/>
      <c r="H165" s="263"/>
      <c r="I165" s="263"/>
      <c r="J165" s="263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>
      <c r="A166" s="265" t="s">
        <v>216</v>
      </c>
      <c r="B166" s="230" t="s">
        <v>237</v>
      </c>
      <c r="C166" s="225"/>
      <c r="D166" s="225"/>
      <c r="E166" s="262"/>
      <c r="F166" s="263"/>
      <c r="G166" s="230"/>
      <c r="H166" s="263"/>
      <c r="I166" s="263"/>
      <c r="J166" s="263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>
      <c r="A167" s="223" t="s">
        <v>218</v>
      </c>
      <c r="B167" s="241" t="s">
        <v>115</v>
      </c>
      <c r="C167" s="241" t="s">
        <v>219</v>
      </c>
      <c r="D167" s="241" t="s">
        <v>116</v>
      </c>
      <c r="E167" s="241" t="s">
        <v>96</v>
      </c>
      <c r="F167" s="241" t="s">
        <v>221</v>
      </c>
      <c r="G167" s="240" t="s">
        <v>222</v>
      </c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</row>
    <row r="168">
      <c r="A168" s="244" t="s">
        <v>140</v>
      </c>
      <c r="B168" s="243">
        <f>VLOOKUP(A168,Lista!$A$3:$E$45,4,FALSE())</f>
        <v>1</v>
      </c>
      <c r="C168" s="230">
        <v>0.22</v>
      </c>
      <c r="D168" s="243">
        <f>VLOOKUP(A168,Lista!$A$3:$E$45,5,FALSE())</f>
        <v>23</v>
      </c>
      <c r="E168" s="225">
        <f t="shared" ref="E168:F168" si="96">($C$168*$D$168)/$B$168</f>
        <v>5.06</v>
      </c>
      <c r="F168" s="225">
        <f t="shared" si="96"/>
        <v>5.06</v>
      </c>
      <c r="G168" s="230">
        <f t="shared" ref="G168:G179" si="98">(E168-F168)/E168</f>
        <v>0</v>
      </c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</row>
    <row r="169">
      <c r="A169" s="244" t="s">
        <v>132</v>
      </c>
      <c r="B169" s="243">
        <f>VLOOKUP(A169,Lista!$A$3:$E$45,4,FALSE())</f>
        <v>0.25</v>
      </c>
      <c r="C169" s="230">
        <v>0.045</v>
      </c>
      <c r="D169" s="243">
        <f>VLOOKUP(A169,Lista!$A$3:$E$45,5,FALSE())</f>
        <v>90</v>
      </c>
      <c r="E169" s="225">
        <f t="shared" ref="E169:F169" si="97">($C$169*$D$169)/$B$169</f>
        <v>16.2</v>
      </c>
      <c r="F169" s="225">
        <f t="shared" si="97"/>
        <v>16.2</v>
      </c>
      <c r="G169" s="230">
        <f t="shared" si="98"/>
        <v>0</v>
      </c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</row>
    <row r="170">
      <c r="A170" s="244" t="s">
        <v>154</v>
      </c>
      <c r="B170" s="243">
        <f>VLOOKUP(A170,Lista!$A$3:$E$45,4,FALSE())</f>
        <v>1</v>
      </c>
      <c r="C170" s="230">
        <v>0.005</v>
      </c>
      <c r="D170" s="243">
        <f>VLOOKUP(A170,Lista!$A$3:$E$45,5,FALSE())</f>
        <v>24</v>
      </c>
      <c r="E170" s="225">
        <f t="shared" ref="E170:F170" si="99">($C$170*$D$170)/$B$170</f>
        <v>0.12</v>
      </c>
      <c r="F170" s="225">
        <f t="shared" si="99"/>
        <v>0.12</v>
      </c>
      <c r="G170" s="230">
        <f t="shared" si="98"/>
        <v>0</v>
      </c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</row>
    <row r="171">
      <c r="A171" s="244" t="s">
        <v>157</v>
      </c>
      <c r="B171" s="243">
        <f>VLOOKUP(A171,Lista!$A$3:$E$45,4,FALSE())</f>
        <v>0.65</v>
      </c>
      <c r="C171" s="230">
        <v>0.003</v>
      </c>
      <c r="D171" s="243">
        <f>VLOOKUP(A171,Lista!$A$3:$E$45,5,FALSE())</f>
        <v>14.8</v>
      </c>
      <c r="E171" s="225">
        <f t="shared" ref="E171:F171" si="100">($C$171*$D$171)/$B$171</f>
        <v>0.06830769231</v>
      </c>
      <c r="F171" s="225">
        <f t="shared" si="100"/>
        <v>0.06830769231</v>
      </c>
      <c r="G171" s="230">
        <f t="shared" si="98"/>
        <v>0</v>
      </c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</row>
    <row r="172">
      <c r="A172" s="244" t="s">
        <v>118</v>
      </c>
      <c r="B172" s="243">
        <f>VLOOKUP(A172,Lista!$A$3:$E$45,4,FALSE())</f>
        <v>1</v>
      </c>
      <c r="C172" s="230">
        <v>0.25</v>
      </c>
      <c r="D172" s="243">
        <f>VLOOKUP(A172,Lista!$A$3:$E$45,5,FALSE())</f>
        <v>22</v>
      </c>
      <c r="E172" s="225">
        <f t="shared" ref="E172:F172" si="101">($C$172*$D$172)/$B$172</f>
        <v>5.5</v>
      </c>
      <c r="F172" s="225">
        <f t="shared" si="101"/>
        <v>5.5</v>
      </c>
      <c r="G172" s="230">
        <f t="shared" si="98"/>
        <v>0</v>
      </c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</row>
    <row r="173">
      <c r="A173" s="244" t="s">
        <v>149</v>
      </c>
      <c r="B173" s="243">
        <f>VLOOKUP(A173,Lista!$A$3:$E$45,4,FALSE())</f>
        <v>1</v>
      </c>
      <c r="C173" s="230">
        <v>0.1</v>
      </c>
      <c r="D173" s="243">
        <f>VLOOKUP(A173,Lista!$A$3:$E$45,5,FALSE())</f>
        <v>245</v>
      </c>
      <c r="E173" s="225">
        <f t="shared" ref="E173:F173" si="102">($C$173*$D$173)/$B$173</f>
        <v>24.5</v>
      </c>
      <c r="F173" s="225">
        <f t="shared" si="102"/>
        <v>24.5</v>
      </c>
      <c r="G173" s="230">
        <f t="shared" si="98"/>
        <v>0</v>
      </c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</row>
    <row r="174">
      <c r="A174" s="244" t="s">
        <v>159</v>
      </c>
      <c r="B174" s="243">
        <f>VLOOKUP(A174,Lista!$A$3:$E$45,4,FALSE())</f>
        <v>0.25</v>
      </c>
      <c r="C174" s="230">
        <v>0.015</v>
      </c>
      <c r="D174" s="243">
        <f>VLOOKUP(A174,Lista!$A$3:$E$45,5,FALSE())</f>
        <v>24.5</v>
      </c>
      <c r="E174" s="225">
        <f t="shared" ref="E174:F174" si="103">($C$174*$D$174)/$B$174</f>
        <v>1.47</v>
      </c>
      <c r="F174" s="225">
        <f t="shared" si="103"/>
        <v>1.47</v>
      </c>
      <c r="G174" s="230">
        <f t="shared" si="98"/>
        <v>0</v>
      </c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</row>
    <row r="175">
      <c r="A175" s="244" t="s">
        <v>141</v>
      </c>
      <c r="B175" s="243">
        <f>VLOOKUP(A175,Lista!$A$3:$E$45,4,FALSE())</f>
        <v>30</v>
      </c>
      <c r="C175" s="230">
        <v>2.0</v>
      </c>
      <c r="D175" s="243">
        <f>VLOOKUP(A175,Lista!$A$3:$E$45,5,FALSE())</f>
        <v>91</v>
      </c>
      <c r="E175" s="225">
        <f t="shared" ref="E175:F175" si="104">($C$175*$D$175)/$B$175</f>
        <v>6.066666667</v>
      </c>
      <c r="F175" s="225">
        <f t="shared" si="104"/>
        <v>6.066666667</v>
      </c>
      <c r="G175" s="230">
        <f t="shared" si="98"/>
        <v>0</v>
      </c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</row>
    <row r="176">
      <c r="A176" s="244" t="s">
        <v>142</v>
      </c>
      <c r="B176" s="243">
        <f>VLOOKUP(A176,Lista!$A$3:$E$45,4,FALSE())</f>
        <v>1</v>
      </c>
      <c r="C176" s="230">
        <v>0.06</v>
      </c>
      <c r="D176" s="243">
        <f>VLOOKUP(A176,Lista!$A$3:$E$45,5,FALSE())</f>
        <v>27.9</v>
      </c>
      <c r="E176" s="225">
        <f t="shared" ref="E176:F176" si="105">($C$176*$D$176)/$B$176</f>
        <v>1.674</v>
      </c>
      <c r="F176" s="225">
        <f t="shared" si="105"/>
        <v>1.674</v>
      </c>
      <c r="G176" s="230">
        <f t="shared" si="98"/>
        <v>0</v>
      </c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</row>
    <row r="177">
      <c r="A177" s="244" t="s">
        <v>160</v>
      </c>
      <c r="B177" s="243">
        <f>VLOOKUP(A177,Lista!$A$3:$E$45,4,FALSE())</f>
        <v>1</v>
      </c>
      <c r="C177" s="230">
        <f>(0.2+0.005)</f>
        <v>0.205</v>
      </c>
      <c r="D177" s="243">
        <f>VLOOKUP(A177,Lista!$A$3:$E$45,5,FALSE())</f>
        <v>52</v>
      </c>
      <c r="E177" s="225">
        <f>($C$177*$D$177)/$B$177</f>
        <v>10.66</v>
      </c>
      <c r="F177" s="225">
        <f>(0.2*$D$177)/$B$177</f>
        <v>10.4</v>
      </c>
      <c r="G177" s="230">
        <f t="shared" si="98"/>
        <v>0.0243902439</v>
      </c>
      <c r="H177" s="228"/>
      <c r="I177" s="244">
        <f>(D177*C177/B177)*(1+G177)</f>
        <v>10.92</v>
      </c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</row>
    <row r="178">
      <c r="A178" s="244" t="s">
        <v>128</v>
      </c>
      <c r="B178" s="243">
        <f>VLOOKUP(A178,Lista!$A$3:$E$45,4,FALSE())</f>
        <v>0.5</v>
      </c>
      <c r="C178" s="230">
        <v>0.1</v>
      </c>
      <c r="D178" s="243">
        <f>VLOOKUP(A178,Lista!$A$3:$E$45,5,FALSE())</f>
        <v>54</v>
      </c>
      <c r="E178" s="225">
        <f t="shared" ref="E178:F178" si="106">($C$178*$D$178)/$B$178</f>
        <v>10.8</v>
      </c>
      <c r="F178" s="225">
        <f t="shared" si="106"/>
        <v>10.8</v>
      </c>
      <c r="G178" s="230">
        <f t="shared" si="98"/>
        <v>0</v>
      </c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</row>
    <row r="179">
      <c r="A179" s="244" t="s">
        <v>125</v>
      </c>
      <c r="B179" s="243">
        <f>VLOOKUP(A179,Lista!$A$3:$E$45,4,FALSE())</f>
        <v>400</v>
      </c>
      <c r="C179" s="230">
        <v>14.0</v>
      </c>
      <c r="D179" s="243">
        <f>VLOOKUP(A179,Lista!$A$3:$E$45,5,FALSE())</f>
        <v>95</v>
      </c>
      <c r="E179" s="225">
        <f t="shared" ref="E179:F179" si="107">($C$179*$D$179)/$B$179</f>
        <v>3.325</v>
      </c>
      <c r="F179" s="225">
        <f t="shared" si="107"/>
        <v>3.325</v>
      </c>
      <c r="G179" s="230">
        <f t="shared" si="98"/>
        <v>0</v>
      </c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</row>
    <row r="180">
      <c r="A180" s="228"/>
      <c r="B180" s="225"/>
      <c r="C180" s="225"/>
      <c r="D180" s="258" t="s">
        <v>223</v>
      </c>
      <c r="E180" s="264">
        <f t="shared" ref="E180:F180" si="108">SUM(E168:E179)</f>
        <v>85.44397436</v>
      </c>
      <c r="F180" s="225">
        <f t="shared" si="108"/>
        <v>85.18397436</v>
      </c>
      <c r="G180" s="230">
        <f>($E$180-$F$180)/$E$180</f>
        <v>0.003042929615</v>
      </c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</row>
    <row r="181">
      <c r="A181" s="228"/>
      <c r="B181" s="225"/>
      <c r="C181" s="225"/>
      <c r="D181" s="258" t="s">
        <v>224</v>
      </c>
      <c r="E181" s="266">
        <f t="shared" ref="E181:F181" si="109">E180+10+E179</f>
        <v>98.76897436</v>
      </c>
      <c r="F181" s="266">
        <f t="shared" si="109"/>
        <v>98.50897436</v>
      </c>
      <c r="G181" s="230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</row>
    <row r="182">
      <c r="A182" s="228"/>
      <c r="B182" s="225"/>
      <c r="C182" s="225"/>
      <c r="D182" s="260" t="s">
        <v>225</v>
      </c>
      <c r="E182" s="264">
        <f t="shared" ref="E182:F182" si="110">E181*100/40</f>
        <v>246.9224359</v>
      </c>
      <c r="F182" s="264">
        <f t="shared" si="110"/>
        <v>246.2724359</v>
      </c>
      <c r="G182" s="230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</row>
    <row r="183">
      <c r="A183" s="228"/>
      <c r="B183" s="225"/>
      <c r="C183" s="225"/>
      <c r="D183" s="258" t="s">
        <v>226</v>
      </c>
      <c r="E183" s="264">
        <f>E181/A164</f>
        <v>7.05492674</v>
      </c>
      <c r="F183" s="264">
        <f>F181/A164</f>
        <v>7.036355311</v>
      </c>
      <c r="G183" s="230"/>
      <c r="H183" s="282"/>
      <c r="I183" s="278"/>
      <c r="J183" s="27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</row>
    <row r="184">
      <c r="A184" s="228"/>
      <c r="B184" s="225"/>
      <c r="C184" s="225"/>
      <c r="D184" s="267" t="s">
        <v>227</v>
      </c>
      <c r="E184" s="266">
        <f>E183*100/40</f>
        <v>17.63731685</v>
      </c>
      <c r="F184" s="266">
        <f>$F$183*100/40</f>
        <v>17.59088828</v>
      </c>
      <c r="G184" s="277">
        <f>($E$184-$F$184)/$E$184</f>
        <v>0.002632405588</v>
      </c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</row>
    <row r="185">
      <c r="A185" s="228"/>
      <c r="B185" s="225"/>
      <c r="C185" s="225"/>
      <c r="D185" s="267" t="s">
        <v>232</v>
      </c>
      <c r="E185" s="268">
        <v>20.0</v>
      </c>
      <c r="F185" s="268">
        <v>20.0</v>
      </c>
      <c r="G185" s="230"/>
      <c r="H185" s="228"/>
      <c r="I185" s="225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</row>
    <row r="186">
      <c r="A186" s="228"/>
      <c r="B186" s="225"/>
      <c r="C186" s="225"/>
      <c r="D186" s="225"/>
      <c r="E186" s="262"/>
      <c r="F186" s="269"/>
      <c r="G186" s="230"/>
      <c r="H186" s="270"/>
      <c r="I186" s="270"/>
      <c r="J186" s="270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</row>
    <row r="187">
      <c r="A187" s="244" t="s">
        <v>243</v>
      </c>
      <c r="B187" s="225"/>
      <c r="C187" s="225"/>
      <c r="D187" s="225"/>
      <c r="E187" s="262"/>
      <c r="F187" s="263"/>
      <c r="G187" s="230"/>
      <c r="H187" s="263"/>
      <c r="I187" s="263"/>
      <c r="J187" s="263"/>
      <c r="K187" s="228"/>
      <c r="L187" s="283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</row>
    <row r="188">
      <c r="A188" s="223" t="s">
        <v>0</v>
      </c>
      <c r="B188" s="284" t="s">
        <v>244</v>
      </c>
      <c r="C188" s="284" t="s">
        <v>245</v>
      </c>
      <c r="D188" s="284" t="s">
        <v>2</v>
      </c>
      <c r="E188" s="284" t="s">
        <v>3</v>
      </c>
      <c r="F188" s="284" t="s">
        <v>246</v>
      </c>
      <c r="G188" s="284" t="s">
        <v>247</v>
      </c>
      <c r="H188" s="284" t="s">
        <v>248</v>
      </c>
      <c r="I188" s="284" t="s">
        <v>249</v>
      </c>
      <c r="J188" s="284"/>
      <c r="K188" s="283" t="s">
        <v>4</v>
      </c>
      <c r="L188" s="283" t="s">
        <v>31</v>
      </c>
      <c r="M188" s="223" t="s">
        <v>8</v>
      </c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</row>
    <row r="189">
      <c r="A189" s="285" t="s">
        <v>66</v>
      </c>
      <c r="B189" s="285" t="s">
        <v>34</v>
      </c>
      <c r="C189" s="29">
        <f>'Maestro de productos 2024'!$A$4</f>
        <v>32</v>
      </c>
      <c r="D189" s="14">
        <f>'Maestro de productos 2024'!$E$23</f>
        <v>10</v>
      </c>
      <c r="E189" s="14">
        <f>'Maestro de productos 2024'!$E$21</f>
        <v>3.337551282</v>
      </c>
      <c r="F189" s="14">
        <f>F21</f>
        <v>3.337551282</v>
      </c>
      <c r="G189" s="14">
        <v>565.0</v>
      </c>
      <c r="H189" s="14">
        <f>SUMIF('Base de datos transacciones'!$A$2:$A$78,$A189,'Base de datos transacciones'!$I$2:$I$78)</f>
        <v>11</v>
      </c>
      <c r="I189" s="14">
        <f t="shared" ref="I189:I196" si="111">H189*E189</f>
        <v>36.7130641</v>
      </c>
      <c r="J189" s="14"/>
      <c r="K189" s="14">
        <f t="shared" ref="K189:K196" si="112">(D189-E189)</f>
        <v>6.662448718</v>
      </c>
      <c r="L189" s="49">
        <v>0.271373679154659</v>
      </c>
      <c r="M189" s="225">
        <v>3764.283525641026</v>
      </c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</row>
    <row r="190">
      <c r="A190" s="285" t="s">
        <v>68</v>
      </c>
      <c r="B190" s="285" t="s">
        <v>37</v>
      </c>
      <c r="C190" s="29">
        <f>'Maestro de productos 2024'!$A$27</f>
        <v>16</v>
      </c>
      <c r="D190" s="14">
        <f>'Maestro de productos 2024'!$E$48</f>
        <v>20</v>
      </c>
      <c r="E190" s="14">
        <f>'Maestro de productos 2024'!$E$46</f>
        <v>7.609146242</v>
      </c>
      <c r="F190" s="14">
        <f>F46</f>
        <v>7.046090686</v>
      </c>
      <c r="G190" s="14">
        <v>155.0</v>
      </c>
      <c r="H190" s="14">
        <f>SUMIF('Base de datos transacciones'!$A$2:$A$78,$A190,'Base de datos transacciones'!$I$2:$I$78)</f>
        <v>5</v>
      </c>
      <c r="I190" s="14">
        <f t="shared" si="111"/>
        <v>38.04573121</v>
      </c>
      <c r="J190" s="14"/>
      <c r="K190" s="14">
        <f t="shared" si="112"/>
        <v>12.39085376</v>
      </c>
      <c r="L190" s="49">
        <v>0.074447646493756</v>
      </c>
      <c r="M190" s="225">
        <v>1920.58233251634</v>
      </c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</row>
    <row r="191">
      <c r="A191" s="285" t="s">
        <v>70</v>
      </c>
      <c r="B191" s="285" t="s">
        <v>35</v>
      </c>
      <c r="C191" s="29">
        <f>'Maestro de productos 2024'!$A$52</f>
        <v>18</v>
      </c>
      <c r="D191" s="14">
        <f>'Maestro de productos 2024'!$E$72</f>
        <v>20</v>
      </c>
      <c r="E191" s="14">
        <f>'Maestro de productos 2024'!$E$70</f>
        <v>7.103972222</v>
      </c>
      <c r="F191" s="14">
        <f>F70</f>
        <v>7.103972222</v>
      </c>
      <c r="G191" s="14">
        <v>247.0</v>
      </c>
      <c r="H191" s="14">
        <f>SUMIF('Base de datos transacciones'!$A$2:$A$78,$A191,'Base de datos transacciones'!$I$2:$I$78)</f>
        <v>5</v>
      </c>
      <c r="I191" s="14">
        <f t="shared" si="111"/>
        <v>35.51986111</v>
      </c>
      <c r="J191" s="14"/>
      <c r="K191" s="14">
        <f t="shared" si="112"/>
        <v>12.89602778</v>
      </c>
      <c r="L191" s="49">
        <v>0.1186359269932757</v>
      </c>
      <c r="M191" s="225">
        <v>3185.318861111111</v>
      </c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</row>
    <row r="192">
      <c r="A192" s="285" t="s">
        <v>72</v>
      </c>
      <c r="B192" s="285" t="s">
        <v>36</v>
      </c>
      <c r="C192" s="29">
        <f>'Maestro de productos 2024'!$A$76</f>
        <v>35</v>
      </c>
      <c r="D192" s="14">
        <f>'Maestro de productos 2024'!$E$93</f>
        <v>7</v>
      </c>
      <c r="E192" s="14">
        <f>'Maestro de productos 2024'!$E$91</f>
        <v>2.623460073</v>
      </c>
      <c r="F192" s="14">
        <f>F91</f>
        <v>2.623460073</v>
      </c>
      <c r="G192" s="14">
        <v>294.0</v>
      </c>
      <c r="H192" s="14">
        <f>SUMIF('Base de datos transacciones'!$A$2:$A$78,$A192,'Base de datos transacciones'!$I$2:$I$78)</f>
        <v>21</v>
      </c>
      <c r="I192" s="14">
        <f t="shared" si="111"/>
        <v>55.09266154</v>
      </c>
      <c r="J192" s="14"/>
      <c r="K192" s="14">
        <f t="shared" si="112"/>
        <v>4.376539927</v>
      </c>
      <c r="L192" s="49">
        <v>0.14121037463976946</v>
      </c>
      <c r="M192" s="225">
        <v>1286.7027384615385</v>
      </c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</row>
    <row r="193">
      <c r="A193" s="285" t="s">
        <v>74</v>
      </c>
      <c r="B193" s="285" t="s">
        <v>38</v>
      </c>
      <c r="C193" s="29">
        <f>'Maestro de productos 2024'!$A$97</f>
        <v>12</v>
      </c>
      <c r="D193" s="14">
        <f>'Maestro de productos 2024'!$E$116</f>
        <v>20</v>
      </c>
      <c r="E193" s="14">
        <f>'Maestro de productos 2024'!$E$114</f>
        <v>7.301064103</v>
      </c>
      <c r="F193" s="14">
        <f>F114</f>
        <v>7.279397436</v>
      </c>
      <c r="G193" s="14">
        <v>312.0</v>
      </c>
      <c r="H193" s="14">
        <f>SUMIF('Base de datos transacciones'!$A$2:$A$78,$A193,'Base de datos transacciones'!$I$2:$I$78)</f>
        <v>0</v>
      </c>
      <c r="I193" s="14">
        <f t="shared" si="111"/>
        <v>0</v>
      </c>
      <c r="J193" s="14"/>
      <c r="K193" s="14">
        <f t="shared" si="112"/>
        <v>12.6989359</v>
      </c>
      <c r="L193" s="49">
        <v>0.14985590778097982</v>
      </c>
      <c r="M193" s="225">
        <v>3962.068</v>
      </c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</row>
    <row r="194">
      <c r="A194" s="285" t="s">
        <v>76</v>
      </c>
      <c r="B194" s="285" t="s">
        <v>97</v>
      </c>
      <c r="C194" s="29">
        <f>'Maestro de productos 2024'!$A$120</f>
        <v>50</v>
      </c>
      <c r="D194" s="14">
        <f>'Maestro de productos 2024'!$E$137</f>
        <v>7</v>
      </c>
      <c r="E194" s="14">
        <f>'Maestro de productos 2024'!$E$135</f>
        <v>2.98984359</v>
      </c>
      <c r="F194" s="14">
        <f>F135</f>
        <v>2.98984359</v>
      </c>
      <c r="G194" s="14">
        <v>384.0</v>
      </c>
      <c r="H194" s="14">
        <f>SUMIF('Base de datos transacciones'!$A$2:$A$78,$A194,'Base de datos transacciones'!$I$2:$I$78)</f>
        <v>16</v>
      </c>
      <c r="I194" s="14">
        <f t="shared" si="111"/>
        <v>47.83749744</v>
      </c>
      <c r="J194" s="14"/>
      <c r="K194" s="14">
        <f t="shared" si="112"/>
        <v>4.01015641</v>
      </c>
      <c r="L194" s="49">
        <v>0.1844380403458213</v>
      </c>
      <c r="M194" s="225">
        <v>1539.9000615384614</v>
      </c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</row>
    <row r="195">
      <c r="A195" s="285" t="s">
        <v>78</v>
      </c>
      <c r="B195" s="285" t="s">
        <v>108</v>
      </c>
      <c r="C195" s="29">
        <f>'Maestro de productos 2024'!$A$141</f>
        <v>18</v>
      </c>
      <c r="D195" s="14">
        <f>'Maestro de productos 2024'!$E$160</f>
        <v>25</v>
      </c>
      <c r="E195" s="14">
        <f>'Maestro de productos 2024'!$E$158</f>
        <v>10.93666667</v>
      </c>
      <c r="F195" s="14">
        <f>F158</f>
        <v>10.93666667</v>
      </c>
      <c r="G195" s="14">
        <v>83.0</v>
      </c>
      <c r="H195" s="14">
        <f>SUMIF('Base de datos transacciones'!$A$2:$A$78,$A195,'Base de datos transacciones'!$I$2:$I$78)</f>
        <v>7</v>
      </c>
      <c r="I195" s="14">
        <f t="shared" si="111"/>
        <v>76.55666667</v>
      </c>
      <c r="J195" s="14"/>
      <c r="K195" s="14">
        <f t="shared" si="112"/>
        <v>14.06333333</v>
      </c>
      <c r="L195" s="49">
        <v>0.039865513928914506</v>
      </c>
      <c r="M195" s="225">
        <v>1167.2566666666667</v>
      </c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</row>
    <row r="196">
      <c r="A196" s="285" t="s">
        <v>79</v>
      </c>
      <c r="B196" s="285" t="s">
        <v>109</v>
      </c>
      <c r="C196" s="29">
        <f>'Maestro de productos 2024'!$A$164</f>
        <v>14</v>
      </c>
      <c r="D196" s="14">
        <f>'Maestro de productos 2024'!$E$185</f>
        <v>20</v>
      </c>
      <c r="E196" s="14">
        <f>'Maestro de productos 2024'!$E$183</f>
        <v>7.05492674</v>
      </c>
      <c r="F196" s="14">
        <f>F183</f>
        <v>7.036355311</v>
      </c>
      <c r="G196" s="14">
        <v>42.0</v>
      </c>
      <c r="H196" s="14">
        <f>SUMIF('Base de datos transacciones'!$A$2:$A$78,$A196,'Base de datos transacciones'!$I$2:$I$78)</f>
        <v>0</v>
      </c>
      <c r="I196" s="14">
        <f t="shared" si="111"/>
        <v>0</v>
      </c>
      <c r="J196" s="14"/>
      <c r="K196" s="14">
        <f t="shared" si="112"/>
        <v>12.94507326</v>
      </c>
      <c r="L196" s="49">
        <v>0.020172910662824207</v>
      </c>
      <c r="M196" s="225">
        <v>543.6930769230769</v>
      </c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</row>
    <row r="197">
      <c r="A197" s="228"/>
      <c r="B197" s="225"/>
      <c r="C197" s="225"/>
      <c r="D197" s="225"/>
      <c r="E197" s="262"/>
      <c r="F197" s="321"/>
      <c r="G197" s="14">
        <f>SUM(G189:G196)</f>
        <v>2082</v>
      </c>
      <c r="H197" s="263"/>
      <c r="I197" s="263"/>
      <c r="J197" s="263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</row>
    <row r="198">
      <c r="A198" s="228"/>
      <c r="B198" s="225"/>
      <c r="C198" s="225"/>
      <c r="D198" s="225"/>
      <c r="E198" s="262"/>
      <c r="F198" s="225">
        <f>AVERAGE(G189:G196)</f>
        <v>260.25</v>
      </c>
      <c r="G198" s="230">
        <f>(AVERAGE(G189:G196))*0.5</f>
        <v>130.125</v>
      </c>
      <c r="H198" s="263"/>
      <c r="I198" s="263"/>
      <c r="J198" s="263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</row>
    <row r="199">
      <c r="A199" s="228"/>
      <c r="B199" s="225"/>
      <c r="C199" s="230"/>
      <c r="D199" s="49">
        <f t="shared" ref="D199:E199" si="113">AVERAGE(D189:D196)</f>
        <v>16.125</v>
      </c>
      <c r="E199" s="262">
        <f t="shared" si="113"/>
        <v>6.119578865</v>
      </c>
      <c r="F199" s="324"/>
      <c r="G199" s="263"/>
      <c r="H199" s="263"/>
      <c r="I199" s="263"/>
      <c r="J199" s="263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</row>
    <row r="200">
      <c r="A200" s="228"/>
      <c r="B200" s="225"/>
      <c r="C200" s="225"/>
      <c r="E200" s="33"/>
      <c r="F200" s="324"/>
      <c r="G200" s="263"/>
      <c r="H200" s="263"/>
      <c r="I200" s="263"/>
      <c r="J200" s="263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</row>
    <row r="201">
      <c r="A201" s="228"/>
      <c r="B201" s="225"/>
      <c r="F201" s="263"/>
      <c r="G201" s="263"/>
      <c r="H201" s="263"/>
      <c r="I201" s="263"/>
      <c r="J201" s="263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</row>
    <row r="202">
      <c r="A202" s="228"/>
      <c r="B202" s="225"/>
      <c r="F202" s="263"/>
      <c r="G202" s="263"/>
      <c r="H202" s="263"/>
      <c r="I202" s="263"/>
      <c r="J202" s="263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</row>
    <row r="203">
      <c r="A203" s="228"/>
      <c r="B203" s="225"/>
      <c r="F203" s="263"/>
      <c r="G203" s="263"/>
      <c r="H203" s="334"/>
      <c r="I203" s="334"/>
      <c r="J203" s="334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</row>
    <row r="204">
      <c r="A204" s="228"/>
      <c r="B204" s="225"/>
      <c r="F204" s="263"/>
      <c r="G204" s="263"/>
      <c r="H204" s="263"/>
      <c r="I204" s="263"/>
      <c r="J204" s="263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</row>
    <row r="205">
      <c r="A205" s="228"/>
      <c r="B205" s="225"/>
      <c r="F205" s="263"/>
      <c r="G205" s="263"/>
      <c r="H205" s="263"/>
      <c r="I205" s="263"/>
      <c r="J205" s="263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</row>
    <row r="206">
      <c r="A206" s="228"/>
      <c r="B206" s="225"/>
      <c r="F206" s="263"/>
      <c r="G206" s="263"/>
      <c r="H206" s="263"/>
      <c r="I206" s="263"/>
      <c r="J206" s="263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</row>
    <row r="207">
      <c r="A207" s="228"/>
      <c r="B207" s="225"/>
      <c r="F207" s="263"/>
      <c r="G207" s="263"/>
      <c r="H207" s="263"/>
      <c r="I207" s="263"/>
      <c r="J207" s="263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</row>
    <row r="208">
      <c r="A208" s="228"/>
      <c r="B208" s="225"/>
      <c r="F208" s="263"/>
      <c r="G208" s="263"/>
      <c r="H208" s="263"/>
      <c r="I208" s="263"/>
      <c r="J208" s="263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</row>
    <row r="209">
      <c r="A209" s="228"/>
      <c r="B209" s="225"/>
      <c r="C209" s="230"/>
      <c r="D209" s="230"/>
      <c r="E209" s="262"/>
      <c r="F209" s="263"/>
      <c r="G209" s="263"/>
      <c r="H209" s="263"/>
      <c r="I209" s="263"/>
      <c r="J209" s="263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</row>
    <row r="210">
      <c r="A210" s="228"/>
      <c r="B210" s="225"/>
      <c r="C210" s="230"/>
      <c r="D210" s="230"/>
      <c r="E210" s="262"/>
      <c r="F210" s="263"/>
      <c r="G210" s="263"/>
      <c r="H210" s="263"/>
      <c r="I210" s="263"/>
      <c r="J210" s="263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</row>
    <row r="211">
      <c r="A211" s="228"/>
      <c r="B211" s="225"/>
      <c r="C211" s="225"/>
      <c r="D211" s="225"/>
      <c r="E211" s="262"/>
      <c r="F211" s="263"/>
      <c r="G211" s="263"/>
      <c r="H211" s="263"/>
      <c r="I211" s="263"/>
      <c r="J211" s="263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</row>
    <row r="212">
      <c r="A212" s="228"/>
      <c r="B212" s="225"/>
      <c r="C212" s="225"/>
      <c r="D212" s="225"/>
      <c r="E212" s="262"/>
      <c r="F212" s="263"/>
      <c r="G212" s="263"/>
      <c r="H212" s="263"/>
      <c r="I212" s="263"/>
      <c r="J212" s="263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</row>
    <row r="213">
      <c r="A213" s="228"/>
      <c r="B213" s="225"/>
      <c r="C213" s="225"/>
      <c r="D213" s="225"/>
      <c r="E213" s="262"/>
      <c r="F213" s="263"/>
      <c r="G213" s="263"/>
      <c r="H213" s="263"/>
      <c r="I213" s="263"/>
      <c r="J213" s="263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</row>
    <row r="214">
      <c r="A214" s="228"/>
      <c r="B214" s="225"/>
      <c r="C214" s="225"/>
      <c r="D214" s="225"/>
      <c r="E214" s="262"/>
      <c r="F214" s="263"/>
      <c r="G214" s="263"/>
      <c r="H214" s="263"/>
      <c r="I214" s="263"/>
      <c r="J214" s="263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</row>
    <row r="215">
      <c r="A215" s="228"/>
      <c r="B215" s="225"/>
      <c r="C215" s="225"/>
      <c r="D215" s="225"/>
      <c r="E215" s="262"/>
      <c r="F215" s="263"/>
      <c r="G215" s="263"/>
      <c r="H215" s="263"/>
      <c r="I215" s="263"/>
      <c r="J215" s="263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</row>
    <row r="216">
      <c r="A216" s="228"/>
      <c r="B216" s="225"/>
      <c r="C216" s="225"/>
      <c r="D216" s="225"/>
      <c r="E216" s="262"/>
      <c r="F216" s="263"/>
      <c r="G216" s="263"/>
      <c r="H216" s="263"/>
      <c r="I216" s="263"/>
      <c r="J216" s="263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</row>
    <row r="217">
      <c r="A217" s="228"/>
      <c r="B217" s="225"/>
      <c r="C217" s="225"/>
      <c r="D217" s="225"/>
      <c r="E217" s="262"/>
      <c r="F217" s="263"/>
      <c r="G217" s="263"/>
      <c r="H217" s="263"/>
      <c r="I217" s="263"/>
      <c r="J217" s="263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</row>
    <row r="218">
      <c r="A218" s="228"/>
      <c r="B218" s="225"/>
      <c r="C218" s="225"/>
      <c r="D218" s="225"/>
      <c r="E218" s="262"/>
      <c r="F218" s="263"/>
      <c r="G218" s="263"/>
      <c r="H218" s="263"/>
      <c r="I218" s="263"/>
      <c r="J218" s="263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</row>
    <row r="219">
      <c r="A219" s="228"/>
      <c r="B219" s="225"/>
      <c r="C219" s="225"/>
      <c r="D219" s="225"/>
      <c r="E219" s="262"/>
      <c r="F219" s="263"/>
      <c r="G219" s="263"/>
      <c r="H219" s="263"/>
      <c r="I219" s="263"/>
      <c r="J219" s="263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</row>
    <row r="220">
      <c r="A220" s="228"/>
      <c r="B220" s="225"/>
      <c r="C220" s="225"/>
      <c r="D220" s="225"/>
      <c r="E220" s="262"/>
      <c r="F220" s="263"/>
      <c r="G220" s="263"/>
      <c r="H220" s="263"/>
      <c r="I220" s="263"/>
      <c r="J220" s="263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</row>
    <row r="221">
      <c r="A221" s="228"/>
      <c r="B221" s="225"/>
      <c r="C221" s="225"/>
      <c r="D221" s="225"/>
      <c r="E221" s="262"/>
      <c r="F221" s="263"/>
      <c r="G221" s="263"/>
      <c r="H221" s="263"/>
      <c r="I221" s="263"/>
      <c r="J221" s="263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</row>
    <row r="222">
      <c r="A222" s="228"/>
      <c r="B222" s="225"/>
      <c r="C222" s="225"/>
      <c r="D222" s="225"/>
      <c r="E222" s="262"/>
      <c r="F222" s="263"/>
      <c r="G222" s="263"/>
      <c r="H222" s="263"/>
      <c r="I222" s="263"/>
      <c r="J222" s="263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</row>
    <row r="223">
      <c r="A223" s="228"/>
      <c r="B223" s="225"/>
      <c r="C223" s="225"/>
      <c r="D223" s="225"/>
      <c r="E223" s="262"/>
      <c r="F223" s="263"/>
      <c r="G223" s="263"/>
      <c r="H223" s="263"/>
      <c r="I223" s="263"/>
      <c r="J223" s="263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</row>
    <row r="224">
      <c r="A224" s="228"/>
      <c r="B224" s="225"/>
      <c r="C224" s="225"/>
      <c r="D224" s="225"/>
      <c r="E224" s="262"/>
      <c r="F224" s="263"/>
      <c r="G224" s="263"/>
      <c r="H224" s="263"/>
      <c r="I224" s="263"/>
      <c r="J224" s="263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</row>
    <row r="225">
      <c r="A225" s="228"/>
      <c r="B225" s="225"/>
      <c r="C225" s="225"/>
      <c r="D225" s="225"/>
      <c r="E225" s="262"/>
      <c r="F225" s="263"/>
      <c r="G225" s="263"/>
      <c r="H225" s="263"/>
      <c r="I225" s="263"/>
      <c r="J225" s="263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</row>
    <row r="226">
      <c r="A226" s="228"/>
      <c r="B226" s="225"/>
      <c r="C226" s="225"/>
      <c r="D226" s="225"/>
      <c r="E226" s="262"/>
      <c r="F226" s="263"/>
      <c r="G226" s="263"/>
      <c r="H226" s="263"/>
      <c r="I226" s="263"/>
      <c r="J226" s="263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</row>
    <row r="227">
      <c r="A227" s="228"/>
      <c r="B227" s="225"/>
      <c r="C227" s="225"/>
      <c r="D227" s="225"/>
      <c r="E227" s="262"/>
      <c r="F227" s="263"/>
      <c r="G227" s="263"/>
      <c r="H227" s="263"/>
      <c r="I227" s="263"/>
      <c r="J227" s="263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</row>
    <row r="228">
      <c r="A228" s="228"/>
      <c r="B228" s="225"/>
      <c r="C228" s="225"/>
      <c r="D228" s="225"/>
      <c r="E228" s="262"/>
      <c r="F228" s="263"/>
      <c r="G228" s="263"/>
      <c r="H228" s="263"/>
      <c r="I228" s="263"/>
      <c r="J228" s="263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</row>
    <row r="229">
      <c r="A229" s="228"/>
      <c r="B229" s="225"/>
      <c r="C229" s="225"/>
      <c r="D229" s="225"/>
      <c r="E229" s="262"/>
      <c r="F229" s="263"/>
      <c r="G229" s="263"/>
      <c r="H229" s="263"/>
      <c r="I229" s="263"/>
      <c r="J229" s="263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</row>
    <row r="230">
      <c r="A230" s="228"/>
      <c r="B230" s="225"/>
      <c r="C230" s="225"/>
      <c r="D230" s="225"/>
      <c r="E230" s="262"/>
      <c r="F230" s="263"/>
      <c r="G230" s="263"/>
      <c r="H230" s="263"/>
      <c r="I230" s="263"/>
      <c r="J230" s="263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</row>
    <row r="231">
      <c r="A231" s="228"/>
      <c r="B231" s="225"/>
      <c r="C231" s="225"/>
      <c r="D231" s="225"/>
      <c r="E231" s="262"/>
      <c r="F231" s="263"/>
      <c r="G231" s="263"/>
      <c r="H231" s="263"/>
      <c r="I231" s="263"/>
      <c r="J231" s="263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</row>
    <row r="232">
      <c r="A232" s="228"/>
      <c r="B232" s="225"/>
      <c r="C232" s="225"/>
      <c r="D232" s="225"/>
      <c r="E232" s="262"/>
      <c r="F232" s="263"/>
      <c r="G232" s="263"/>
      <c r="H232" s="263"/>
      <c r="I232" s="263"/>
      <c r="J232" s="263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</row>
    <row r="233">
      <c r="A233" s="228"/>
      <c r="B233" s="225"/>
      <c r="C233" s="225"/>
      <c r="D233" s="225"/>
      <c r="E233" s="262"/>
      <c r="F233" s="263"/>
      <c r="G233" s="263"/>
      <c r="H233" s="263"/>
      <c r="I233" s="263"/>
      <c r="J233" s="263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</row>
    <row r="234">
      <c r="A234" s="228"/>
      <c r="B234" s="225"/>
      <c r="C234" s="225"/>
      <c r="D234" s="225"/>
      <c r="E234" s="262"/>
      <c r="F234" s="263"/>
      <c r="G234" s="263"/>
      <c r="H234" s="263"/>
      <c r="I234" s="263"/>
      <c r="J234" s="263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</row>
    <row r="235">
      <c r="A235" s="228"/>
      <c r="B235" s="225"/>
      <c r="C235" s="225"/>
      <c r="D235" s="225"/>
      <c r="E235" s="262"/>
      <c r="F235" s="263"/>
      <c r="G235" s="263"/>
      <c r="H235" s="263"/>
      <c r="I235" s="263"/>
      <c r="J235" s="263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</row>
    <row r="236">
      <c r="A236" s="228"/>
      <c r="B236" s="225"/>
      <c r="C236" s="225"/>
      <c r="D236" s="225"/>
      <c r="E236" s="262"/>
      <c r="F236" s="263"/>
      <c r="G236" s="263"/>
      <c r="H236" s="263"/>
      <c r="I236" s="263"/>
      <c r="J236" s="263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</row>
    <row r="237">
      <c r="A237" s="228"/>
      <c r="B237" s="225"/>
      <c r="C237" s="225"/>
      <c r="D237" s="225"/>
      <c r="E237" s="262"/>
      <c r="F237" s="263"/>
      <c r="G237" s="263"/>
      <c r="H237" s="263"/>
      <c r="I237" s="263"/>
      <c r="J237" s="263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</row>
    <row r="238">
      <c r="A238" s="228"/>
      <c r="B238" s="225"/>
      <c r="C238" s="225"/>
      <c r="D238" s="225"/>
      <c r="E238" s="262"/>
      <c r="F238" s="263"/>
      <c r="G238" s="263"/>
      <c r="H238" s="263"/>
      <c r="I238" s="263"/>
      <c r="J238" s="263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</row>
    <row r="239">
      <c r="A239" s="228"/>
      <c r="B239" s="225"/>
      <c r="C239" s="225"/>
      <c r="D239" s="225"/>
      <c r="E239" s="262"/>
      <c r="F239" s="263"/>
      <c r="G239" s="263"/>
      <c r="H239" s="263"/>
      <c r="I239" s="263"/>
      <c r="J239" s="263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</row>
    <row r="240">
      <c r="A240" s="228"/>
      <c r="B240" s="225"/>
      <c r="C240" s="225"/>
      <c r="D240" s="225"/>
      <c r="E240" s="262"/>
      <c r="F240" s="263"/>
      <c r="G240" s="263"/>
      <c r="H240" s="263"/>
      <c r="I240" s="263"/>
      <c r="J240" s="263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</row>
    <row r="241">
      <c r="A241" s="228"/>
      <c r="B241" s="225"/>
      <c r="C241" s="225"/>
      <c r="D241" s="225"/>
      <c r="E241" s="262"/>
      <c r="F241" s="263"/>
      <c r="G241" s="263"/>
      <c r="H241" s="263"/>
      <c r="I241" s="263"/>
      <c r="J241" s="263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</row>
    <row r="242">
      <c r="A242" s="228"/>
      <c r="B242" s="225"/>
      <c r="C242" s="225"/>
      <c r="D242" s="225"/>
      <c r="E242" s="262"/>
      <c r="F242" s="263"/>
      <c r="G242" s="263"/>
      <c r="H242" s="263"/>
      <c r="I242" s="263"/>
      <c r="J242" s="263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</row>
    <row r="243">
      <c r="A243" s="228"/>
      <c r="B243" s="225"/>
      <c r="C243" s="225"/>
      <c r="D243" s="225"/>
      <c r="E243" s="262"/>
      <c r="F243" s="263"/>
      <c r="G243" s="263"/>
      <c r="H243" s="263"/>
      <c r="I243" s="263"/>
      <c r="J243" s="263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</row>
    <row r="244">
      <c r="A244" s="228"/>
      <c r="B244" s="225"/>
      <c r="C244" s="225"/>
      <c r="D244" s="225"/>
      <c r="E244" s="262"/>
      <c r="F244" s="263"/>
      <c r="G244" s="263"/>
      <c r="H244" s="263"/>
      <c r="I244" s="263"/>
      <c r="J244" s="263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</row>
    <row r="245">
      <c r="A245" s="228"/>
      <c r="B245" s="225"/>
      <c r="C245" s="225"/>
      <c r="D245" s="225"/>
      <c r="E245" s="262"/>
      <c r="F245" s="263"/>
      <c r="G245" s="263"/>
      <c r="H245" s="263"/>
      <c r="I245" s="263"/>
      <c r="J245" s="263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</row>
    <row r="246">
      <c r="A246" s="228"/>
      <c r="B246" s="225"/>
      <c r="C246" s="225"/>
      <c r="D246" s="225"/>
      <c r="E246" s="262"/>
      <c r="F246" s="263"/>
      <c r="G246" s="263"/>
      <c r="H246" s="263"/>
      <c r="I246" s="263"/>
      <c r="J246" s="263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</row>
    <row r="247">
      <c r="A247" s="228"/>
      <c r="B247" s="225"/>
      <c r="C247" s="225"/>
      <c r="D247" s="225"/>
      <c r="E247" s="262"/>
      <c r="F247" s="263"/>
      <c r="G247" s="263"/>
      <c r="H247" s="263"/>
      <c r="I247" s="263"/>
      <c r="J247" s="263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</row>
    <row r="248">
      <c r="A248" s="228"/>
      <c r="B248" s="225"/>
      <c r="C248" s="225"/>
      <c r="D248" s="225"/>
      <c r="E248" s="262"/>
      <c r="F248" s="263"/>
      <c r="G248" s="263"/>
      <c r="H248" s="263"/>
      <c r="I248" s="263"/>
      <c r="J248" s="263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</row>
    <row r="249">
      <c r="A249" s="228"/>
      <c r="B249" s="225"/>
      <c r="C249" s="225"/>
      <c r="D249" s="225"/>
      <c r="E249" s="262"/>
      <c r="F249" s="263"/>
      <c r="G249" s="263"/>
      <c r="H249" s="263"/>
      <c r="I249" s="263"/>
      <c r="J249" s="263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</row>
    <row r="250">
      <c r="A250" s="228"/>
      <c r="B250" s="225"/>
      <c r="C250" s="225"/>
      <c r="D250" s="225"/>
      <c r="E250" s="262"/>
      <c r="F250" s="263"/>
      <c r="G250" s="263"/>
      <c r="H250" s="263"/>
      <c r="I250" s="263"/>
      <c r="J250" s="263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</row>
    <row r="251">
      <c r="A251" s="228"/>
      <c r="B251" s="225"/>
      <c r="C251" s="225"/>
      <c r="D251" s="225"/>
      <c r="E251" s="262"/>
      <c r="F251" s="263"/>
      <c r="G251" s="263"/>
      <c r="H251" s="263"/>
      <c r="I251" s="263"/>
      <c r="J251" s="263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</row>
    <row r="252">
      <c r="A252" s="228"/>
      <c r="B252" s="225"/>
      <c r="C252" s="225"/>
      <c r="D252" s="225"/>
      <c r="E252" s="262"/>
      <c r="F252" s="263"/>
      <c r="G252" s="263"/>
      <c r="H252" s="263"/>
      <c r="I252" s="263"/>
      <c r="J252" s="263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</row>
    <row r="253">
      <c r="A253" s="228"/>
      <c r="B253" s="225"/>
      <c r="C253" s="225"/>
      <c r="D253" s="225"/>
      <c r="E253" s="262"/>
      <c r="F253" s="263"/>
      <c r="G253" s="263"/>
      <c r="H253" s="263"/>
      <c r="I253" s="263"/>
      <c r="J253" s="263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</row>
    <row r="254">
      <c r="A254" s="228"/>
      <c r="B254" s="225"/>
      <c r="C254" s="225"/>
      <c r="D254" s="225"/>
      <c r="E254" s="262"/>
      <c r="F254" s="263"/>
      <c r="G254" s="263"/>
      <c r="H254" s="263"/>
      <c r="I254" s="263"/>
      <c r="J254" s="263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</row>
    <row r="255">
      <c r="A255" s="228"/>
      <c r="B255" s="225"/>
      <c r="C255" s="225"/>
      <c r="D255" s="225"/>
      <c r="E255" s="262"/>
      <c r="F255" s="263"/>
      <c r="G255" s="263"/>
      <c r="H255" s="263"/>
      <c r="I255" s="263"/>
      <c r="J255" s="263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</row>
    <row r="256">
      <c r="A256" s="228"/>
      <c r="B256" s="225"/>
      <c r="C256" s="225"/>
      <c r="D256" s="225"/>
      <c r="E256" s="262"/>
      <c r="F256" s="263"/>
      <c r="G256" s="263"/>
      <c r="H256" s="263"/>
      <c r="I256" s="263"/>
      <c r="J256" s="263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</row>
    <row r="257">
      <c r="A257" s="228"/>
      <c r="B257" s="225"/>
      <c r="C257" s="225"/>
      <c r="D257" s="225"/>
      <c r="E257" s="262"/>
      <c r="F257" s="263"/>
      <c r="G257" s="263"/>
      <c r="H257" s="263"/>
      <c r="I257" s="263"/>
      <c r="J257" s="263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</row>
    <row r="258">
      <c r="A258" s="228"/>
      <c r="B258" s="225"/>
      <c r="C258" s="225"/>
      <c r="D258" s="225"/>
      <c r="E258" s="262"/>
      <c r="F258" s="263"/>
      <c r="G258" s="263"/>
      <c r="H258" s="263"/>
      <c r="I258" s="263"/>
      <c r="J258" s="263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</row>
    <row r="259">
      <c r="A259" s="228"/>
      <c r="B259" s="225"/>
      <c r="C259" s="225"/>
      <c r="D259" s="225"/>
      <c r="E259" s="262"/>
      <c r="F259" s="263"/>
      <c r="G259" s="263"/>
      <c r="H259" s="263"/>
      <c r="I259" s="263"/>
      <c r="J259" s="263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</row>
    <row r="260">
      <c r="A260" s="228"/>
      <c r="B260" s="225"/>
      <c r="C260" s="225"/>
      <c r="D260" s="225"/>
      <c r="E260" s="262"/>
      <c r="F260" s="263"/>
      <c r="G260" s="263"/>
      <c r="H260" s="263"/>
      <c r="I260" s="263"/>
      <c r="J260" s="263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</row>
    <row r="261">
      <c r="A261" s="228"/>
      <c r="B261" s="225"/>
      <c r="C261" s="225"/>
      <c r="D261" s="225"/>
      <c r="E261" s="262"/>
      <c r="F261" s="263"/>
      <c r="G261" s="263"/>
      <c r="H261" s="263"/>
      <c r="I261" s="263"/>
      <c r="J261" s="263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</row>
    <row r="262">
      <c r="A262" s="228"/>
      <c r="B262" s="225"/>
      <c r="C262" s="225"/>
      <c r="D262" s="225"/>
      <c r="E262" s="262"/>
      <c r="F262" s="263"/>
      <c r="G262" s="263"/>
      <c r="H262" s="263"/>
      <c r="I262" s="263"/>
      <c r="J262" s="263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</row>
    <row r="263">
      <c r="A263" s="228"/>
      <c r="B263" s="225"/>
      <c r="C263" s="225"/>
      <c r="D263" s="225"/>
      <c r="E263" s="262"/>
      <c r="F263" s="263"/>
      <c r="G263" s="263"/>
      <c r="H263" s="263"/>
      <c r="I263" s="263"/>
      <c r="J263" s="263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</row>
    <row r="264">
      <c r="A264" s="228"/>
      <c r="B264" s="225"/>
      <c r="C264" s="225"/>
      <c r="D264" s="225"/>
      <c r="E264" s="262"/>
      <c r="F264" s="263"/>
      <c r="G264" s="263"/>
      <c r="H264" s="263"/>
      <c r="I264" s="263"/>
      <c r="J264" s="263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</row>
    <row r="265">
      <c r="A265" s="228"/>
      <c r="B265" s="225"/>
      <c r="C265" s="225"/>
      <c r="D265" s="225"/>
      <c r="E265" s="262"/>
      <c r="F265" s="263"/>
      <c r="G265" s="263"/>
      <c r="H265" s="263"/>
      <c r="I265" s="263"/>
      <c r="J265" s="263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</row>
    <row r="266">
      <c r="A266" s="228"/>
      <c r="B266" s="225"/>
      <c r="C266" s="225"/>
      <c r="D266" s="225"/>
      <c r="E266" s="262"/>
      <c r="F266" s="263"/>
      <c r="G266" s="263"/>
      <c r="H266" s="263"/>
      <c r="I266" s="263"/>
      <c r="J266" s="263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</row>
    <row r="267">
      <c r="A267" s="228"/>
      <c r="B267" s="225"/>
      <c r="C267" s="225"/>
      <c r="D267" s="225"/>
      <c r="E267" s="262"/>
      <c r="F267" s="263"/>
      <c r="G267" s="263"/>
      <c r="H267" s="263"/>
      <c r="I267" s="263"/>
      <c r="J267" s="263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</row>
    <row r="268">
      <c r="A268" s="228"/>
      <c r="B268" s="225"/>
      <c r="C268" s="225"/>
      <c r="D268" s="225"/>
      <c r="E268" s="262"/>
      <c r="F268" s="263"/>
      <c r="G268" s="263"/>
      <c r="H268" s="263"/>
      <c r="I268" s="263"/>
      <c r="J268" s="263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</row>
    <row r="269">
      <c r="A269" s="228"/>
      <c r="B269" s="225"/>
      <c r="C269" s="225"/>
      <c r="D269" s="225"/>
      <c r="E269" s="262"/>
      <c r="F269" s="263"/>
      <c r="G269" s="263"/>
      <c r="H269" s="263"/>
      <c r="I269" s="263"/>
      <c r="J269" s="263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</row>
    <row r="270">
      <c r="A270" s="228"/>
      <c r="B270" s="225"/>
      <c r="C270" s="225"/>
      <c r="D270" s="225"/>
      <c r="E270" s="262"/>
      <c r="F270" s="263"/>
      <c r="G270" s="263"/>
      <c r="H270" s="263"/>
      <c r="I270" s="263"/>
      <c r="J270" s="263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</row>
    <row r="271">
      <c r="A271" s="228"/>
      <c r="B271" s="225"/>
      <c r="C271" s="225"/>
      <c r="D271" s="225"/>
      <c r="E271" s="262"/>
      <c r="F271" s="263"/>
      <c r="G271" s="263"/>
      <c r="H271" s="263"/>
      <c r="I271" s="263"/>
      <c r="J271" s="263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</row>
    <row r="272">
      <c r="A272" s="228"/>
      <c r="B272" s="225"/>
      <c r="C272" s="225"/>
      <c r="D272" s="225"/>
      <c r="E272" s="262"/>
      <c r="F272" s="263"/>
      <c r="G272" s="263"/>
      <c r="H272" s="263"/>
      <c r="I272" s="263"/>
      <c r="J272" s="263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</row>
    <row r="273">
      <c r="A273" s="228"/>
      <c r="B273" s="225"/>
      <c r="C273" s="225"/>
      <c r="D273" s="225"/>
      <c r="E273" s="262"/>
      <c r="F273" s="263"/>
      <c r="G273" s="263"/>
      <c r="H273" s="263"/>
      <c r="I273" s="263"/>
      <c r="J273" s="263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</row>
    <row r="274">
      <c r="A274" s="228"/>
      <c r="B274" s="225"/>
      <c r="C274" s="225"/>
      <c r="D274" s="225"/>
      <c r="E274" s="262"/>
      <c r="F274" s="263"/>
      <c r="G274" s="263"/>
      <c r="H274" s="263"/>
      <c r="I274" s="263"/>
      <c r="J274" s="263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</row>
    <row r="275">
      <c r="A275" s="228"/>
      <c r="B275" s="225"/>
      <c r="C275" s="225"/>
      <c r="D275" s="225"/>
      <c r="E275" s="262"/>
      <c r="F275" s="263"/>
      <c r="G275" s="263"/>
      <c r="H275" s="263"/>
      <c r="I275" s="263"/>
      <c r="J275" s="263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</row>
    <row r="276">
      <c r="A276" s="228"/>
      <c r="B276" s="225"/>
      <c r="C276" s="225"/>
      <c r="D276" s="225"/>
      <c r="E276" s="262"/>
      <c r="F276" s="263"/>
      <c r="G276" s="263"/>
      <c r="H276" s="263"/>
      <c r="I276" s="263"/>
      <c r="J276" s="263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</row>
    <row r="277">
      <c r="A277" s="228"/>
      <c r="B277" s="225"/>
      <c r="C277" s="225"/>
      <c r="D277" s="225"/>
      <c r="E277" s="262"/>
      <c r="F277" s="263"/>
      <c r="G277" s="263"/>
      <c r="H277" s="263"/>
      <c r="I277" s="263"/>
      <c r="J277" s="263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</row>
    <row r="278">
      <c r="A278" s="228"/>
      <c r="B278" s="225"/>
      <c r="C278" s="225"/>
      <c r="D278" s="225"/>
      <c r="E278" s="262"/>
      <c r="F278" s="263"/>
      <c r="G278" s="263"/>
      <c r="H278" s="263"/>
      <c r="I278" s="263"/>
      <c r="J278" s="263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</row>
    <row r="279">
      <c r="A279" s="228"/>
      <c r="B279" s="225"/>
      <c r="C279" s="225"/>
      <c r="D279" s="225"/>
      <c r="E279" s="262"/>
      <c r="F279" s="263"/>
      <c r="G279" s="263"/>
      <c r="H279" s="263"/>
      <c r="I279" s="263"/>
      <c r="J279" s="263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</row>
    <row r="280">
      <c r="A280" s="228"/>
      <c r="B280" s="225"/>
      <c r="C280" s="225"/>
      <c r="D280" s="225"/>
      <c r="E280" s="262"/>
      <c r="F280" s="263"/>
      <c r="G280" s="263"/>
      <c r="H280" s="263"/>
      <c r="I280" s="263"/>
      <c r="J280" s="263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</row>
    <row r="281">
      <c r="A281" s="228"/>
      <c r="B281" s="225"/>
      <c r="C281" s="225"/>
      <c r="D281" s="225"/>
      <c r="E281" s="262"/>
      <c r="F281" s="263"/>
      <c r="G281" s="263"/>
      <c r="H281" s="263"/>
      <c r="I281" s="263"/>
      <c r="J281" s="263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</row>
    <row r="282">
      <c r="A282" s="228"/>
      <c r="B282" s="225"/>
      <c r="C282" s="225"/>
      <c r="D282" s="225"/>
      <c r="E282" s="262"/>
      <c r="F282" s="263"/>
      <c r="G282" s="263"/>
      <c r="H282" s="263"/>
      <c r="I282" s="263"/>
      <c r="J282" s="263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</row>
    <row r="283">
      <c r="A283" s="228"/>
      <c r="B283" s="225"/>
      <c r="C283" s="225"/>
      <c r="D283" s="225"/>
      <c r="E283" s="262"/>
      <c r="F283" s="263"/>
      <c r="G283" s="263"/>
      <c r="H283" s="263"/>
      <c r="I283" s="263"/>
      <c r="J283" s="263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</row>
    <row r="284">
      <c r="A284" s="228"/>
      <c r="B284" s="225"/>
      <c r="C284" s="225"/>
      <c r="D284" s="225"/>
      <c r="E284" s="262"/>
      <c r="F284" s="263"/>
      <c r="G284" s="263"/>
      <c r="H284" s="263"/>
      <c r="I284" s="263"/>
      <c r="J284" s="263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</row>
    <row r="285">
      <c r="A285" s="228"/>
      <c r="B285" s="225"/>
      <c r="C285" s="225"/>
      <c r="D285" s="225"/>
      <c r="E285" s="262"/>
      <c r="F285" s="263"/>
      <c r="G285" s="263"/>
      <c r="H285" s="263"/>
      <c r="I285" s="263"/>
      <c r="J285" s="263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</row>
    <row r="286">
      <c r="A286" s="228"/>
      <c r="B286" s="225"/>
      <c r="C286" s="225"/>
      <c r="D286" s="225"/>
      <c r="E286" s="262"/>
      <c r="F286" s="263"/>
      <c r="G286" s="263"/>
      <c r="H286" s="263"/>
      <c r="I286" s="263"/>
      <c r="J286" s="263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</row>
    <row r="287">
      <c r="A287" s="228"/>
      <c r="B287" s="225"/>
      <c r="C287" s="225"/>
      <c r="D287" s="225"/>
      <c r="E287" s="262"/>
      <c r="F287" s="263"/>
      <c r="G287" s="263"/>
      <c r="H287" s="263"/>
      <c r="I287" s="263"/>
      <c r="J287" s="263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</row>
    <row r="288">
      <c r="A288" s="228"/>
      <c r="B288" s="225"/>
      <c r="C288" s="225"/>
      <c r="D288" s="225"/>
      <c r="E288" s="262"/>
      <c r="F288" s="263"/>
      <c r="G288" s="263"/>
      <c r="H288" s="263"/>
      <c r="I288" s="263"/>
      <c r="J288" s="263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</row>
    <row r="289">
      <c r="A289" s="228"/>
      <c r="B289" s="225"/>
      <c r="C289" s="225"/>
      <c r="D289" s="225"/>
      <c r="E289" s="262"/>
      <c r="F289" s="263"/>
      <c r="G289" s="263"/>
      <c r="H289" s="263"/>
      <c r="I289" s="263"/>
      <c r="J289" s="263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</row>
    <row r="290">
      <c r="A290" s="228"/>
      <c r="B290" s="225"/>
      <c r="C290" s="225"/>
      <c r="D290" s="225"/>
      <c r="E290" s="262"/>
      <c r="F290" s="263"/>
      <c r="G290" s="263"/>
      <c r="H290" s="263"/>
      <c r="I290" s="263"/>
      <c r="J290" s="263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</row>
    <row r="291">
      <c r="A291" s="228"/>
      <c r="B291" s="225"/>
      <c r="C291" s="225"/>
      <c r="D291" s="225"/>
      <c r="E291" s="262"/>
      <c r="F291" s="263"/>
      <c r="G291" s="263"/>
      <c r="H291" s="263"/>
      <c r="I291" s="263"/>
      <c r="J291" s="263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</row>
    <row r="292">
      <c r="A292" s="228"/>
      <c r="B292" s="225"/>
      <c r="C292" s="225"/>
      <c r="D292" s="225"/>
      <c r="E292" s="262"/>
      <c r="F292" s="263"/>
      <c r="G292" s="263"/>
      <c r="H292" s="263"/>
      <c r="I292" s="263"/>
      <c r="J292" s="263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</row>
    <row r="293">
      <c r="A293" s="228"/>
      <c r="B293" s="225"/>
      <c r="C293" s="225"/>
      <c r="D293" s="225"/>
      <c r="E293" s="262"/>
      <c r="F293" s="263"/>
      <c r="G293" s="263"/>
      <c r="H293" s="263"/>
      <c r="I293" s="263"/>
      <c r="J293" s="263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</row>
    <row r="294">
      <c r="A294" s="228"/>
      <c r="B294" s="225"/>
      <c r="C294" s="225"/>
      <c r="D294" s="225"/>
      <c r="E294" s="262"/>
      <c r="F294" s="263"/>
      <c r="G294" s="263"/>
      <c r="H294" s="263"/>
      <c r="I294" s="263"/>
      <c r="J294" s="263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</row>
    <row r="295">
      <c r="A295" s="228"/>
      <c r="B295" s="225"/>
      <c r="C295" s="225"/>
      <c r="D295" s="225"/>
      <c r="E295" s="262"/>
      <c r="F295" s="263"/>
      <c r="G295" s="263"/>
      <c r="H295" s="263"/>
      <c r="I295" s="263"/>
      <c r="J295" s="263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</row>
    <row r="296">
      <c r="A296" s="228"/>
      <c r="B296" s="225"/>
      <c r="C296" s="225"/>
      <c r="D296" s="225"/>
      <c r="E296" s="262"/>
      <c r="F296" s="263"/>
      <c r="G296" s="263"/>
      <c r="H296" s="263"/>
      <c r="I296" s="263"/>
      <c r="J296" s="263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</row>
    <row r="297">
      <c r="A297" s="228"/>
      <c r="B297" s="225"/>
      <c r="C297" s="225"/>
      <c r="D297" s="225"/>
      <c r="E297" s="262"/>
      <c r="F297" s="263"/>
      <c r="G297" s="263"/>
      <c r="H297" s="263"/>
      <c r="I297" s="263"/>
      <c r="J297" s="263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</row>
    <row r="298">
      <c r="A298" s="228"/>
      <c r="B298" s="225"/>
      <c r="C298" s="225"/>
      <c r="D298" s="225"/>
      <c r="E298" s="262"/>
      <c r="F298" s="263"/>
      <c r="G298" s="263"/>
      <c r="H298" s="263"/>
      <c r="I298" s="263"/>
      <c r="J298" s="263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</row>
    <row r="299">
      <c r="A299" s="228"/>
      <c r="B299" s="225"/>
      <c r="C299" s="225"/>
      <c r="D299" s="225"/>
      <c r="E299" s="262"/>
      <c r="F299" s="263"/>
      <c r="G299" s="263"/>
      <c r="H299" s="263"/>
      <c r="I299" s="263"/>
      <c r="J299" s="263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</row>
    <row r="300">
      <c r="A300" s="228"/>
      <c r="B300" s="225"/>
      <c r="C300" s="225"/>
      <c r="D300" s="225"/>
      <c r="E300" s="262"/>
      <c r="F300" s="263"/>
      <c r="G300" s="263"/>
      <c r="H300" s="263"/>
      <c r="I300" s="263"/>
      <c r="J300" s="263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</row>
    <row r="301">
      <c r="A301" s="228"/>
      <c r="B301" s="225"/>
      <c r="C301" s="225"/>
      <c r="D301" s="225"/>
      <c r="E301" s="262"/>
      <c r="F301" s="263"/>
      <c r="G301" s="263"/>
      <c r="H301" s="263"/>
      <c r="I301" s="263"/>
      <c r="J301" s="263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</row>
    <row r="302">
      <c r="A302" s="228"/>
      <c r="B302" s="225"/>
      <c r="C302" s="225"/>
      <c r="D302" s="225"/>
      <c r="E302" s="262"/>
      <c r="F302" s="263"/>
      <c r="G302" s="263"/>
      <c r="H302" s="263"/>
      <c r="I302" s="263"/>
      <c r="J302" s="263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</row>
    <row r="303">
      <c r="A303" s="228"/>
      <c r="B303" s="225"/>
      <c r="C303" s="225"/>
      <c r="D303" s="225"/>
      <c r="E303" s="262"/>
      <c r="F303" s="263"/>
      <c r="G303" s="263"/>
      <c r="H303" s="263"/>
      <c r="I303" s="263"/>
      <c r="J303" s="263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</row>
    <row r="304">
      <c r="A304" s="228"/>
      <c r="B304" s="225"/>
      <c r="C304" s="225"/>
      <c r="D304" s="225"/>
      <c r="E304" s="262"/>
      <c r="F304" s="263"/>
      <c r="G304" s="263"/>
      <c r="H304" s="263"/>
      <c r="I304" s="263"/>
      <c r="J304" s="263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</row>
    <row r="305">
      <c r="A305" s="228"/>
      <c r="B305" s="225"/>
      <c r="C305" s="225"/>
      <c r="D305" s="225"/>
      <c r="E305" s="262"/>
      <c r="F305" s="263"/>
      <c r="G305" s="263"/>
      <c r="H305" s="263"/>
      <c r="I305" s="263"/>
      <c r="J305" s="263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</row>
    <row r="306">
      <c r="A306" s="228"/>
      <c r="B306" s="225"/>
      <c r="C306" s="225"/>
      <c r="D306" s="225"/>
      <c r="E306" s="262"/>
      <c r="F306" s="263"/>
      <c r="G306" s="263"/>
      <c r="H306" s="263"/>
      <c r="I306" s="263"/>
      <c r="J306" s="263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</row>
    <row r="307">
      <c r="A307" s="228"/>
      <c r="B307" s="225"/>
      <c r="C307" s="225"/>
      <c r="D307" s="225"/>
      <c r="E307" s="262"/>
      <c r="F307" s="263"/>
      <c r="G307" s="263"/>
      <c r="H307" s="263"/>
      <c r="I307" s="263"/>
      <c r="J307" s="263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</row>
    <row r="308">
      <c r="A308" s="228"/>
      <c r="B308" s="225"/>
      <c r="C308" s="225"/>
      <c r="D308" s="225"/>
      <c r="E308" s="262"/>
      <c r="F308" s="263"/>
      <c r="G308" s="263"/>
      <c r="H308" s="263"/>
      <c r="I308" s="263"/>
      <c r="J308" s="263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</row>
    <row r="309">
      <c r="A309" s="228"/>
      <c r="B309" s="225"/>
      <c r="C309" s="225"/>
      <c r="D309" s="225"/>
      <c r="E309" s="262"/>
      <c r="F309" s="263"/>
      <c r="G309" s="263"/>
      <c r="H309" s="263"/>
      <c r="I309" s="263"/>
      <c r="J309" s="263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</row>
    <row r="310">
      <c r="A310" s="228"/>
      <c r="B310" s="225"/>
      <c r="C310" s="225"/>
      <c r="D310" s="225"/>
      <c r="E310" s="262"/>
      <c r="F310" s="263"/>
      <c r="G310" s="263"/>
      <c r="H310" s="263"/>
      <c r="I310" s="263"/>
      <c r="J310" s="263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</row>
    <row r="311">
      <c r="A311" s="228"/>
      <c r="B311" s="225"/>
      <c r="C311" s="225"/>
      <c r="D311" s="225"/>
      <c r="E311" s="262"/>
      <c r="F311" s="263"/>
      <c r="G311" s="263"/>
      <c r="H311" s="263"/>
      <c r="I311" s="263"/>
      <c r="J311" s="263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</row>
    <row r="312">
      <c r="A312" s="228"/>
      <c r="B312" s="225"/>
      <c r="C312" s="225"/>
      <c r="D312" s="225"/>
      <c r="E312" s="262"/>
      <c r="F312" s="263"/>
      <c r="G312" s="263"/>
      <c r="H312" s="263"/>
      <c r="I312" s="263"/>
      <c r="J312" s="263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</row>
    <row r="313">
      <c r="A313" s="228"/>
      <c r="B313" s="225"/>
      <c r="C313" s="225"/>
      <c r="D313" s="225"/>
      <c r="E313" s="262"/>
      <c r="F313" s="263"/>
      <c r="G313" s="263"/>
      <c r="H313" s="263"/>
      <c r="I313" s="263"/>
      <c r="J313" s="263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</row>
    <row r="314">
      <c r="A314" s="228"/>
      <c r="B314" s="225"/>
      <c r="C314" s="225"/>
      <c r="D314" s="225"/>
      <c r="E314" s="262"/>
      <c r="F314" s="263"/>
      <c r="G314" s="263"/>
      <c r="H314" s="263"/>
      <c r="I314" s="263"/>
      <c r="J314" s="263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</row>
    <row r="315">
      <c r="A315" s="228"/>
      <c r="B315" s="225"/>
      <c r="C315" s="225"/>
      <c r="D315" s="225"/>
      <c r="E315" s="262"/>
      <c r="F315" s="263"/>
      <c r="G315" s="263"/>
      <c r="H315" s="263"/>
      <c r="I315" s="263"/>
      <c r="J315" s="263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</row>
    <row r="316">
      <c r="A316" s="228"/>
      <c r="B316" s="225"/>
      <c r="C316" s="225"/>
      <c r="D316" s="225"/>
      <c r="E316" s="262"/>
      <c r="F316" s="263"/>
      <c r="G316" s="263"/>
      <c r="H316" s="263"/>
      <c r="I316" s="263"/>
      <c r="J316" s="263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</row>
    <row r="317">
      <c r="A317" s="228"/>
      <c r="B317" s="225"/>
      <c r="C317" s="225"/>
      <c r="D317" s="225"/>
      <c r="E317" s="262"/>
      <c r="F317" s="263"/>
      <c r="G317" s="263"/>
      <c r="H317" s="263"/>
      <c r="I317" s="263"/>
      <c r="J317" s="263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</row>
    <row r="318">
      <c r="A318" s="228"/>
      <c r="B318" s="225"/>
      <c r="C318" s="225"/>
      <c r="D318" s="225"/>
      <c r="E318" s="262"/>
      <c r="F318" s="263"/>
      <c r="G318" s="263"/>
      <c r="H318" s="263"/>
      <c r="I318" s="263"/>
      <c r="J318" s="263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</row>
    <row r="319">
      <c r="A319" s="228"/>
      <c r="B319" s="225"/>
      <c r="C319" s="225"/>
      <c r="D319" s="225"/>
      <c r="E319" s="262"/>
      <c r="F319" s="263"/>
      <c r="G319" s="263"/>
      <c r="H319" s="263"/>
      <c r="I319" s="263"/>
      <c r="J319" s="263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</row>
    <row r="320">
      <c r="A320" s="228"/>
      <c r="B320" s="225"/>
      <c r="C320" s="225"/>
      <c r="D320" s="225"/>
      <c r="E320" s="262"/>
      <c r="F320" s="263"/>
      <c r="G320" s="263"/>
      <c r="H320" s="263"/>
      <c r="I320" s="263"/>
      <c r="J320" s="263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</row>
    <row r="321">
      <c r="A321" s="228"/>
      <c r="B321" s="225"/>
      <c r="C321" s="225"/>
      <c r="D321" s="225"/>
      <c r="E321" s="262"/>
      <c r="F321" s="263"/>
      <c r="G321" s="263"/>
      <c r="H321" s="263"/>
      <c r="I321" s="263"/>
      <c r="J321" s="263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</row>
    <row r="322">
      <c r="A322" s="228"/>
      <c r="B322" s="225"/>
      <c r="C322" s="225"/>
      <c r="D322" s="225"/>
      <c r="E322" s="262"/>
      <c r="F322" s="263"/>
      <c r="G322" s="263"/>
      <c r="H322" s="263"/>
      <c r="I322" s="263"/>
      <c r="J322" s="263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</row>
    <row r="323">
      <c r="A323" s="228"/>
      <c r="B323" s="225"/>
      <c r="C323" s="225"/>
      <c r="D323" s="225"/>
      <c r="E323" s="262"/>
      <c r="F323" s="263"/>
      <c r="G323" s="263"/>
      <c r="H323" s="263"/>
      <c r="I323" s="263"/>
      <c r="J323" s="263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</row>
    <row r="324">
      <c r="A324" s="228"/>
      <c r="B324" s="225"/>
      <c r="C324" s="225"/>
      <c r="D324" s="225"/>
      <c r="E324" s="262"/>
      <c r="F324" s="263"/>
      <c r="G324" s="263"/>
      <c r="H324" s="263"/>
      <c r="I324" s="263"/>
      <c r="J324" s="263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</row>
    <row r="325">
      <c r="A325" s="228"/>
      <c r="B325" s="225"/>
      <c r="C325" s="225"/>
      <c r="D325" s="225"/>
      <c r="E325" s="262"/>
      <c r="F325" s="263"/>
      <c r="G325" s="263"/>
      <c r="H325" s="263"/>
      <c r="I325" s="263"/>
      <c r="J325" s="263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</row>
    <row r="326">
      <c r="A326" s="228"/>
      <c r="B326" s="225"/>
      <c r="C326" s="225"/>
      <c r="D326" s="225"/>
      <c r="E326" s="262"/>
      <c r="F326" s="263"/>
      <c r="G326" s="263"/>
      <c r="H326" s="263"/>
      <c r="I326" s="263"/>
      <c r="J326" s="263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</row>
    <row r="327">
      <c r="A327" s="228"/>
      <c r="B327" s="225"/>
      <c r="C327" s="225"/>
      <c r="D327" s="225"/>
      <c r="E327" s="262"/>
      <c r="F327" s="263"/>
      <c r="G327" s="263"/>
      <c r="H327" s="263"/>
      <c r="I327" s="263"/>
      <c r="J327" s="263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</row>
    <row r="328">
      <c r="A328" s="228"/>
      <c r="B328" s="225"/>
      <c r="C328" s="225"/>
      <c r="D328" s="225"/>
      <c r="E328" s="262"/>
      <c r="F328" s="263"/>
      <c r="G328" s="263"/>
      <c r="H328" s="263"/>
      <c r="I328" s="263"/>
      <c r="J328" s="263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</row>
    <row r="329">
      <c r="A329" s="228"/>
      <c r="B329" s="225"/>
      <c r="C329" s="225"/>
      <c r="D329" s="225"/>
      <c r="E329" s="262"/>
      <c r="F329" s="263"/>
      <c r="G329" s="263"/>
      <c r="H329" s="263"/>
      <c r="I329" s="263"/>
      <c r="J329" s="263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</row>
    <row r="330">
      <c r="A330" s="228"/>
      <c r="B330" s="225"/>
      <c r="C330" s="225"/>
      <c r="D330" s="225"/>
      <c r="E330" s="262"/>
      <c r="F330" s="263"/>
      <c r="G330" s="263"/>
      <c r="H330" s="263"/>
      <c r="I330" s="263"/>
      <c r="J330" s="263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</row>
    <row r="331">
      <c r="A331" s="228"/>
      <c r="B331" s="225"/>
      <c r="C331" s="225"/>
      <c r="D331" s="225"/>
      <c r="E331" s="262"/>
      <c r="F331" s="263"/>
      <c r="G331" s="263"/>
      <c r="H331" s="263"/>
      <c r="I331" s="263"/>
      <c r="J331" s="263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</row>
    <row r="332">
      <c r="A332" s="228"/>
      <c r="B332" s="225"/>
      <c r="C332" s="225"/>
      <c r="D332" s="225"/>
      <c r="E332" s="262"/>
      <c r="F332" s="263"/>
      <c r="G332" s="263"/>
      <c r="H332" s="263"/>
      <c r="I332" s="263"/>
      <c r="J332" s="263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</row>
    <row r="333">
      <c r="A333" s="228"/>
      <c r="B333" s="225"/>
      <c r="C333" s="225"/>
      <c r="D333" s="225"/>
      <c r="E333" s="262"/>
      <c r="F333" s="263"/>
      <c r="G333" s="263"/>
      <c r="H333" s="263"/>
      <c r="I333" s="263"/>
      <c r="J333" s="263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</row>
    <row r="334">
      <c r="A334" s="228"/>
      <c r="B334" s="225"/>
      <c r="C334" s="225"/>
      <c r="D334" s="225"/>
      <c r="E334" s="262"/>
      <c r="F334" s="263"/>
      <c r="G334" s="263"/>
      <c r="H334" s="263"/>
      <c r="I334" s="263"/>
      <c r="J334" s="263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</row>
    <row r="335">
      <c r="A335" s="228"/>
      <c r="B335" s="225"/>
      <c r="C335" s="225"/>
      <c r="D335" s="225"/>
      <c r="E335" s="262"/>
      <c r="F335" s="263"/>
      <c r="G335" s="263"/>
      <c r="H335" s="263"/>
      <c r="I335" s="263"/>
      <c r="J335" s="263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</row>
    <row r="336">
      <c r="A336" s="228"/>
      <c r="B336" s="225"/>
      <c r="C336" s="225"/>
      <c r="D336" s="225"/>
      <c r="E336" s="262"/>
      <c r="F336" s="263"/>
      <c r="G336" s="263"/>
      <c r="H336" s="263"/>
      <c r="I336" s="263"/>
      <c r="J336" s="263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</row>
    <row r="337">
      <c r="A337" s="228"/>
      <c r="B337" s="225"/>
      <c r="C337" s="225"/>
      <c r="D337" s="225"/>
      <c r="E337" s="262"/>
      <c r="F337" s="263"/>
      <c r="G337" s="263"/>
      <c r="H337" s="263"/>
      <c r="I337" s="263"/>
      <c r="J337" s="263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</row>
    <row r="338">
      <c r="A338" s="228"/>
      <c r="B338" s="225"/>
      <c r="C338" s="225"/>
      <c r="D338" s="225"/>
      <c r="E338" s="262"/>
      <c r="F338" s="263"/>
      <c r="G338" s="263"/>
      <c r="H338" s="263"/>
      <c r="I338" s="263"/>
      <c r="J338" s="263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</row>
    <row r="339">
      <c r="A339" s="228"/>
      <c r="B339" s="225"/>
      <c r="C339" s="225"/>
      <c r="D339" s="225"/>
      <c r="E339" s="262"/>
      <c r="F339" s="263"/>
      <c r="G339" s="263"/>
      <c r="H339" s="263"/>
      <c r="I339" s="263"/>
      <c r="J339" s="263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</row>
    <row r="340">
      <c r="A340" s="228"/>
      <c r="B340" s="225"/>
      <c r="C340" s="225"/>
      <c r="D340" s="225"/>
      <c r="E340" s="262"/>
      <c r="F340" s="263"/>
      <c r="G340" s="263"/>
      <c r="H340" s="263"/>
      <c r="I340" s="263"/>
      <c r="J340" s="263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</row>
    <row r="341">
      <c r="A341" s="228"/>
      <c r="B341" s="225"/>
      <c r="C341" s="225"/>
      <c r="D341" s="225"/>
      <c r="E341" s="262"/>
      <c r="F341" s="263"/>
      <c r="G341" s="263"/>
      <c r="H341" s="263"/>
      <c r="I341" s="263"/>
      <c r="J341" s="263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</row>
    <row r="342">
      <c r="A342" s="228"/>
      <c r="B342" s="225"/>
      <c r="C342" s="225"/>
      <c r="D342" s="225"/>
      <c r="E342" s="262"/>
      <c r="F342" s="263"/>
      <c r="G342" s="263"/>
      <c r="H342" s="263"/>
      <c r="I342" s="263"/>
      <c r="J342" s="263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</row>
    <row r="343">
      <c r="A343" s="228"/>
      <c r="B343" s="225"/>
      <c r="C343" s="225"/>
      <c r="D343" s="225"/>
      <c r="E343" s="262"/>
      <c r="F343" s="263"/>
      <c r="G343" s="263"/>
      <c r="H343" s="263"/>
      <c r="I343" s="263"/>
      <c r="J343" s="263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</row>
    <row r="344">
      <c r="A344" s="228"/>
      <c r="B344" s="225"/>
      <c r="C344" s="225"/>
      <c r="D344" s="225"/>
      <c r="E344" s="262"/>
      <c r="F344" s="263"/>
      <c r="G344" s="263"/>
      <c r="H344" s="263"/>
      <c r="I344" s="263"/>
      <c r="J344" s="263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</row>
    <row r="345">
      <c r="A345" s="228"/>
      <c r="B345" s="225"/>
      <c r="C345" s="225"/>
      <c r="D345" s="225"/>
      <c r="E345" s="262"/>
      <c r="F345" s="263"/>
      <c r="G345" s="263"/>
      <c r="H345" s="263"/>
      <c r="I345" s="263"/>
      <c r="J345" s="263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</row>
    <row r="346">
      <c r="A346" s="228"/>
      <c r="B346" s="225"/>
      <c r="C346" s="225"/>
      <c r="D346" s="225"/>
      <c r="E346" s="262"/>
      <c r="F346" s="263"/>
      <c r="G346" s="263"/>
      <c r="H346" s="263"/>
      <c r="I346" s="263"/>
      <c r="J346" s="263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</row>
    <row r="347">
      <c r="A347" s="228"/>
      <c r="B347" s="225"/>
      <c r="C347" s="225"/>
      <c r="D347" s="225"/>
      <c r="E347" s="262"/>
      <c r="F347" s="263"/>
      <c r="G347" s="263"/>
      <c r="H347" s="263"/>
      <c r="I347" s="263"/>
      <c r="J347" s="263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</row>
    <row r="348">
      <c r="A348" s="228"/>
      <c r="B348" s="225"/>
      <c r="C348" s="225"/>
      <c r="D348" s="225"/>
      <c r="E348" s="262"/>
      <c r="F348" s="263"/>
      <c r="G348" s="263"/>
      <c r="H348" s="263"/>
      <c r="I348" s="263"/>
      <c r="J348" s="263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</row>
    <row r="349">
      <c r="A349" s="228"/>
      <c r="B349" s="225"/>
      <c r="C349" s="225"/>
      <c r="D349" s="225"/>
      <c r="E349" s="262"/>
      <c r="F349" s="263"/>
      <c r="G349" s="263"/>
      <c r="H349" s="263"/>
      <c r="I349" s="263"/>
      <c r="J349" s="263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</row>
    <row r="350">
      <c r="A350" s="228"/>
      <c r="B350" s="225"/>
      <c r="C350" s="225"/>
      <c r="D350" s="225"/>
      <c r="E350" s="262"/>
      <c r="F350" s="263"/>
      <c r="G350" s="263"/>
      <c r="H350" s="263"/>
      <c r="I350" s="263"/>
      <c r="J350" s="263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</row>
    <row r="351">
      <c r="A351" s="228"/>
      <c r="B351" s="225"/>
      <c r="C351" s="225"/>
      <c r="D351" s="225"/>
      <c r="E351" s="262"/>
      <c r="F351" s="263"/>
      <c r="G351" s="263"/>
      <c r="H351" s="263"/>
      <c r="I351" s="263"/>
      <c r="J351" s="263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</row>
    <row r="352">
      <c r="A352" s="228"/>
      <c r="B352" s="225"/>
      <c r="C352" s="225"/>
      <c r="D352" s="225"/>
      <c r="E352" s="262"/>
      <c r="F352" s="263"/>
      <c r="G352" s="263"/>
      <c r="H352" s="263"/>
      <c r="I352" s="263"/>
      <c r="J352" s="263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</row>
    <row r="353">
      <c r="A353" s="228"/>
      <c r="B353" s="225"/>
      <c r="C353" s="225"/>
      <c r="D353" s="225"/>
      <c r="E353" s="262"/>
      <c r="F353" s="263"/>
      <c r="G353" s="263"/>
      <c r="H353" s="263"/>
      <c r="I353" s="263"/>
      <c r="J353" s="263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</row>
    <row r="354">
      <c r="A354" s="228"/>
      <c r="B354" s="225"/>
      <c r="C354" s="225"/>
      <c r="D354" s="225"/>
      <c r="E354" s="262"/>
      <c r="F354" s="263"/>
      <c r="G354" s="263"/>
      <c r="H354" s="263"/>
      <c r="I354" s="263"/>
      <c r="J354" s="263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</row>
    <row r="355">
      <c r="A355" s="228"/>
      <c r="B355" s="225"/>
      <c r="C355" s="225"/>
      <c r="D355" s="225"/>
      <c r="E355" s="262"/>
      <c r="F355" s="263"/>
      <c r="G355" s="263"/>
      <c r="H355" s="263"/>
      <c r="I355" s="263"/>
      <c r="J355" s="263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</row>
    <row r="356">
      <c r="A356" s="228"/>
      <c r="B356" s="225"/>
      <c r="C356" s="225"/>
      <c r="D356" s="225"/>
      <c r="E356" s="262"/>
      <c r="F356" s="263"/>
      <c r="G356" s="263"/>
      <c r="H356" s="263"/>
      <c r="I356" s="263"/>
      <c r="J356" s="263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</row>
    <row r="357">
      <c r="A357" s="228"/>
      <c r="B357" s="225"/>
      <c r="C357" s="225"/>
      <c r="D357" s="225"/>
      <c r="E357" s="262"/>
      <c r="F357" s="263"/>
      <c r="G357" s="263"/>
      <c r="H357" s="263"/>
      <c r="I357" s="263"/>
      <c r="J357" s="263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</row>
    <row r="358">
      <c r="A358" s="228"/>
      <c r="B358" s="225"/>
      <c r="C358" s="225"/>
      <c r="D358" s="225"/>
      <c r="E358" s="262"/>
      <c r="F358" s="263"/>
      <c r="G358" s="263"/>
      <c r="H358" s="263"/>
      <c r="I358" s="263"/>
      <c r="J358" s="263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</row>
    <row r="359">
      <c r="A359" s="228"/>
      <c r="B359" s="225"/>
      <c r="C359" s="225"/>
      <c r="D359" s="225"/>
      <c r="E359" s="262"/>
      <c r="F359" s="263"/>
      <c r="G359" s="263"/>
      <c r="H359" s="263"/>
      <c r="I359" s="263"/>
      <c r="J359" s="263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</row>
    <row r="360">
      <c r="A360" s="228"/>
      <c r="B360" s="225"/>
      <c r="C360" s="225"/>
      <c r="D360" s="225"/>
      <c r="E360" s="262"/>
      <c r="F360" s="263"/>
      <c r="G360" s="263"/>
      <c r="H360" s="263"/>
      <c r="I360" s="263"/>
      <c r="J360" s="263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</row>
    <row r="361">
      <c r="A361" s="228"/>
      <c r="B361" s="225"/>
      <c r="C361" s="225"/>
      <c r="D361" s="225"/>
      <c r="E361" s="262"/>
      <c r="F361" s="263"/>
      <c r="G361" s="263"/>
      <c r="H361" s="263"/>
      <c r="I361" s="263"/>
      <c r="J361" s="263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</row>
    <row r="362">
      <c r="A362" s="228"/>
      <c r="B362" s="225"/>
      <c r="C362" s="225"/>
      <c r="D362" s="225"/>
      <c r="E362" s="262"/>
      <c r="F362" s="263"/>
      <c r="G362" s="263"/>
      <c r="H362" s="263"/>
      <c r="I362" s="263"/>
      <c r="J362" s="263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</row>
    <row r="363">
      <c r="A363" s="228"/>
      <c r="B363" s="225"/>
      <c r="C363" s="225"/>
      <c r="D363" s="225"/>
      <c r="E363" s="262"/>
      <c r="F363" s="263"/>
      <c r="G363" s="263"/>
      <c r="H363" s="263"/>
      <c r="I363" s="263"/>
      <c r="J363" s="263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</row>
    <row r="364">
      <c r="A364" s="228"/>
      <c r="B364" s="225"/>
      <c r="C364" s="225"/>
      <c r="D364" s="225"/>
      <c r="E364" s="262"/>
      <c r="F364" s="263"/>
      <c r="G364" s="263"/>
      <c r="H364" s="263"/>
      <c r="I364" s="263"/>
      <c r="J364" s="263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</row>
    <row r="365">
      <c r="A365" s="228"/>
      <c r="B365" s="225"/>
      <c r="C365" s="225"/>
      <c r="D365" s="225"/>
      <c r="E365" s="262"/>
      <c r="F365" s="263"/>
      <c r="G365" s="263"/>
      <c r="H365" s="263"/>
      <c r="I365" s="263"/>
      <c r="J365" s="263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</row>
    <row r="366">
      <c r="A366" s="228"/>
      <c r="B366" s="225"/>
      <c r="C366" s="225"/>
      <c r="D366" s="225"/>
      <c r="E366" s="262"/>
      <c r="F366" s="263"/>
      <c r="G366" s="263"/>
      <c r="H366" s="263"/>
      <c r="I366" s="263"/>
      <c r="J366" s="263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</row>
    <row r="367">
      <c r="A367" s="228"/>
      <c r="B367" s="225"/>
      <c r="C367" s="225"/>
      <c r="D367" s="225"/>
      <c r="E367" s="262"/>
      <c r="F367" s="263"/>
      <c r="G367" s="263"/>
      <c r="H367" s="263"/>
      <c r="I367" s="263"/>
      <c r="J367" s="263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</row>
    <row r="368">
      <c r="A368" s="228"/>
      <c r="B368" s="225"/>
      <c r="C368" s="225"/>
      <c r="D368" s="225"/>
      <c r="E368" s="262"/>
      <c r="F368" s="263"/>
      <c r="G368" s="263"/>
      <c r="H368" s="263"/>
      <c r="I368" s="263"/>
      <c r="J368" s="263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</row>
    <row r="369">
      <c r="A369" s="228"/>
      <c r="B369" s="225"/>
      <c r="C369" s="225"/>
      <c r="D369" s="225"/>
      <c r="E369" s="262"/>
      <c r="F369" s="263"/>
      <c r="G369" s="263"/>
      <c r="H369" s="263"/>
      <c r="I369" s="263"/>
      <c r="J369" s="263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</row>
    <row r="370">
      <c r="A370" s="228"/>
      <c r="B370" s="225"/>
      <c r="C370" s="225"/>
      <c r="D370" s="225"/>
      <c r="E370" s="262"/>
      <c r="F370" s="263"/>
      <c r="G370" s="263"/>
      <c r="H370" s="263"/>
      <c r="I370" s="263"/>
      <c r="J370" s="263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</row>
    <row r="371">
      <c r="A371" s="228"/>
      <c r="B371" s="225"/>
      <c r="C371" s="225"/>
      <c r="D371" s="225"/>
      <c r="E371" s="262"/>
      <c r="F371" s="263"/>
      <c r="G371" s="263"/>
      <c r="H371" s="263"/>
      <c r="I371" s="263"/>
      <c r="J371" s="263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</row>
    <row r="372">
      <c r="A372" s="228"/>
      <c r="B372" s="225"/>
      <c r="C372" s="225"/>
      <c r="D372" s="225"/>
      <c r="E372" s="262"/>
      <c r="F372" s="263"/>
      <c r="G372" s="263"/>
      <c r="H372" s="263"/>
      <c r="I372" s="263"/>
      <c r="J372" s="263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</row>
    <row r="373">
      <c r="A373" s="228"/>
      <c r="B373" s="225"/>
      <c r="C373" s="225"/>
      <c r="D373" s="225"/>
      <c r="E373" s="262"/>
      <c r="F373" s="263"/>
      <c r="G373" s="263"/>
      <c r="H373" s="263"/>
      <c r="I373" s="263"/>
      <c r="J373" s="263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</row>
    <row r="374">
      <c r="A374" s="228"/>
      <c r="B374" s="225"/>
      <c r="C374" s="225"/>
      <c r="D374" s="225"/>
      <c r="E374" s="262"/>
      <c r="F374" s="263"/>
      <c r="G374" s="263"/>
      <c r="H374" s="263"/>
      <c r="I374" s="263"/>
      <c r="J374" s="263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</row>
    <row r="375">
      <c r="A375" s="228"/>
      <c r="B375" s="225"/>
      <c r="C375" s="225"/>
      <c r="D375" s="225"/>
      <c r="E375" s="262"/>
      <c r="F375" s="263"/>
      <c r="G375" s="263"/>
      <c r="H375" s="263"/>
      <c r="I375" s="263"/>
      <c r="J375" s="263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</row>
    <row r="376">
      <c r="A376" s="228"/>
      <c r="B376" s="225"/>
      <c r="C376" s="225"/>
      <c r="D376" s="225"/>
      <c r="E376" s="262"/>
      <c r="F376" s="263"/>
      <c r="G376" s="263"/>
      <c r="H376" s="263"/>
      <c r="I376" s="263"/>
      <c r="J376" s="263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</row>
    <row r="377">
      <c r="A377" s="228"/>
      <c r="B377" s="225"/>
      <c r="C377" s="225"/>
      <c r="D377" s="225"/>
      <c r="E377" s="262"/>
      <c r="F377" s="263"/>
      <c r="G377" s="263"/>
      <c r="H377" s="263"/>
      <c r="I377" s="263"/>
      <c r="J377" s="263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</row>
    <row r="378">
      <c r="A378" s="228"/>
      <c r="B378" s="225"/>
      <c r="C378" s="225"/>
      <c r="D378" s="225"/>
      <c r="E378" s="262"/>
      <c r="F378" s="263"/>
      <c r="G378" s="263"/>
      <c r="H378" s="263"/>
      <c r="I378" s="263"/>
      <c r="J378" s="263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</row>
    <row r="379">
      <c r="A379" s="228"/>
      <c r="B379" s="225"/>
      <c r="C379" s="225"/>
      <c r="D379" s="225"/>
      <c r="E379" s="262"/>
      <c r="F379" s="263"/>
      <c r="G379" s="263"/>
      <c r="H379" s="263"/>
      <c r="I379" s="263"/>
      <c r="J379" s="263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</row>
    <row r="380">
      <c r="A380" s="228"/>
      <c r="B380" s="225"/>
      <c r="C380" s="225"/>
      <c r="D380" s="225"/>
      <c r="E380" s="262"/>
      <c r="F380" s="263"/>
      <c r="G380" s="263"/>
      <c r="H380" s="263"/>
      <c r="I380" s="263"/>
      <c r="J380" s="263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</row>
    <row r="381">
      <c r="A381" s="228"/>
      <c r="B381" s="225"/>
      <c r="C381" s="225"/>
      <c r="D381" s="225"/>
      <c r="E381" s="262"/>
      <c r="F381" s="263"/>
      <c r="G381" s="263"/>
      <c r="H381" s="263"/>
      <c r="I381" s="263"/>
      <c r="J381" s="263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</row>
    <row r="382">
      <c r="A382" s="228"/>
      <c r="B382" s="225"/>
      <c r="C382" s="225"/>
      <c r="D382" s="225"/>
      <c r="E382" s="262"/>
      <c r="F382" s="263"/>
      <c r="G382" s="263"/>
      <c r="H382" s="263"/>
      <c r="I382" s="263"/>
      <c r="J382" s="263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</row>
    <row r="383">
      <c r="A383" s="228"/>
      <c r="B383" s="225"/>
      <c r="C383" s="225"/>
      <c r="D383" s="225"/>
      <c r="E383" s="262"/>
      <c r="F383" s="263"/>
      <c r="G383" s="263"/>
      <c r="H383" s="263"/>
      <c r="I383" s="263"/>
      <c r="J383" s="263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</row>
    <row r="384">
      <c r="A384" s="228"/>
      <c r="B384" s="225"/>
      <c r="C384" s="225"/>
      <c r="D384" s="225"/>
      <c r="E384" s="262"/>
      <c r="F384" s="263"/>
      <c r="G384" s="263"/>
      <c r="H384" s="263"/>
      <c r="I384" s="263"/>
      <c r="J384" s="263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</row>
    <row r="385">
      <c r="A385" s="228"/>
      <c r="B385" s="225"/>
      <c r="C385" s="225"/>
      <c r="D385" s="225"/>
      <c r="E385" s="262"/>
      <c r="F385" s="263"/>
      <c r="G385" s="263"/>
      <c r="H385" s="263"/>
      <c r="I385" s="263"/>
      <c r="J385" s="263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</row>
    <row r="386">
      <c r="A386" s="228"/>
      <c r="B386" s="225"/>
      <c r="C386" s="225"/>
      <c r="D386" s="225"/>
      <c r="E386" s="262"/>
      <c r="F386" s="263"/>
      <c r="G386" s="263"/>
      <c r="H386" s="263"/>
      <c r="I386" s="263"/>
      <c r="J386" s="263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</row>
    <row r="387">
      <c r="A387" s="228"/>
      <c r="B387" s="225"/>
      <c r="C387" s="225"/>
      <c r="D387" s="225"/>
      <c r="E387" s="262"/>
      <c r="F387" s="263"/>
      <c r="G387" s="263"/>
      <c r="H387" s="263"/>
      <c r="I387" s="263"/>
      <c r="J387" s="263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</row>
    <row r="388">
      <c r="A388" s="228"/>
      <c r="B388" s="225"/>
      <c r="C388" s="225"/>
      <c r="D388" s="225"/>
      <c r="E388" s="262"/>
      <c r="F388" s="263"/>
      <c r="G388" s="263"/>
      <c r="H388" s="263"/>
      <c r="I388" s="263"/>
      <c r="J388" s="263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</row>
    <row r="389">
      <c r="A389" s="228"/>
      <c r="B389" s="225"/>
      <c r="C389" s="225"/>
      <c r="D389" s="225"/>
      <c r="E389" s="262"/>
      <c r="F389" s="263"/>
      <c r="G389" s="263"/>
      <c r="H389" s="263"/>
      <c r="I389" s="263"/>
      <c r="J389" s="263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</row>
    <row r="390">
      <c r="A390" s="228"/>
      <c r="B390" s="225"/>
      <c r="C390" s="225"/>
      <c r="D390" s="225"/>
      <c r="E390" s="262"/>
      <c r="F390" s="263"/>
      <c r="G390" s="263"/>
      <c r="H390" s="263"/>
      <c r="I390" s="263"/>
      <c r="J390" s="263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</row>
    <row r="391">
      <c r="A391" s="228"/>
      <c r="B391" s="225"/>
      <c r="C391" s="225"/>
      <c r="D391" s="225"/>
      <c r="E391" s="262"/>
      <c r="F391" s="263"/>
      <c r="G391" s="263"/>
      <c r="H391" s="263"/>
      <c r="I391" s="263"/>
      <c r="J391" s="263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</row>
    <row r="392">
      <c r="A392" s="228"/>
      <c r="B392" s="225"/>
      <c r="C392" s="225"/>
      <c r="D392" s="225"/>
      <c r="E392" s="262"/>
      <c r="F392" s="263"/>
      <c r="G392" s="263"/>
      <c r="H392" s="263"/>
      <c r="I392" s="263"/>
      <c r="J392" s="263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</row>
    <row r="393">
      <c r="A393" s="228"/>
      <c r="B393" s="225"/>
      <c r="C393" s="225"/>
      <c r="D393" s="225"/>
      <c r="E393" s="262"/>
      <c r="F393" s="263"/>
      <c r="G393" s="263"/>
      <c r="H393" s="263"/>
      <c r="I393" s="263"/>
      <c r="J393" s="263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</row>
    <row r="394">
      <c r="A394" s="228"/>
      <c r="B394" s="225"/>
      <c r="C394" s="225"/>
      <c r="D394" s="225"/>
      <c r="E394" s="262"/>
      <c r="F394" s="263"/>
      <c r="G394" s="263"/>
      <c r="H394" s="263"/>
      <c r="I394" s="263"/>
      <c r="J394" s="263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</row>
    <row r="395">
      <c r="A395" s="228"/>
      <c r="B395" s="225"/>
      <c r="C395" s="225"/>
      <c r="D395" s="225"/>
      <c r="E395" s="262"/>
      <c r="F395" s="263"/>
      <c r="G395" s="263"/>
      <c r="H395" s="263"/>
      <c r="I395" s="263"/>
      <c r="J395" s="263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</row>
    <row r="396">
      <c r="A396" s="228"/>
      <c r="B396" s="225"/>
      <c r="C396" s="225"/>
      <c r="D396" s="225"/>
      <c r="E396" s="262"/>
      <c r="F396" s="263"/>
      <c r="G396" s="263"/>
      <c r="H396" s="263"/>
      <c r="I396" s="263"/>
      <c r="J396" s="263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</row>
    <row r="397">
      <c r="A397" s="228"/>
      <c r="B397" s="225"/>
      <c r="C397" s="225"/>
      <c r="D397" s="225"/>
      <c r="E397" s="262"/>
      <c r="F397" s="263"/>
      <c r="G397" s="263"/>
      <c r="H397" s="263"/>
      <c r="I397" s="263"/>
      <c r="J397" s="263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</row>
    <row r="398">
      <c r="A398" s="228"/>
      <c r="B398" s="225"/>
      <c r="C398" s="225"/>
      <c r="D398" s="225"/>
      <c r="E398" s="262"/>
      <c r="F398" s="263"/>
      <c r="G398" s="263"/>
      <c r="H398" s="263"/>
      <c r="I398" s="263"/>
      <c r="J398" s="263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</row>
    <row r="399">
      <c r="A399" s="228"/>
      <c r="B399" s="225"/>
      <c r="C399" s="225"/>
      <c r="D399" s="225"/>
      <c r="E399" s="262"/>
      <c r="F399" s="263"/>
      <c r="G399" s="263"/>
      <c r="H399" s="263"/>
      <c r="I399" s="263"/>
      <c r="J399" s="263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</row>
    <row r="400">
      <c r="A400" s="228"/>
      <c r="B400" s="225"/>
      <c r="C400" s="225"/>
      <c r="D400" s="225"/>
      <c r="E400" s="262"/>
      <c r="F400" s="263"/>
      <c r="G400" s="263"/>
      <c r="H400" s="263"/>
      <c r="I400" s="263"/>
      <c r="J400" s="263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</row>
    <row r="401">
      <c r="A401" s="228"/>
      <c r="B401" s="225"/>
      <c r="C401" s="225"/>
      <c r="D401" s="225"/>
      <c r="E401" s="262"/>
      <c r="F401" s="263"/>
      <c r="G401" s="263"/>
      <c r="H401" s="263"/>
      <c r="I401" s="263"/>
      <c r="J401" s="263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</row>
    <row r="402">
      <c r="A402" s="228"/>
      <c r="B402" s="225"/>
      <c r="C402" s="225"/>
      <c r="D402" s="225"/>
      <c r="E402" s="262"/>
      <c r="F402" s="263"/>
      <c r="G402" s="263"/>
      <c r="H402" s="263"/>
      <c r="I402" s="263"/>
      <c r="J402" s="263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</row>
    <row r="403">
      <c r="A403" s="228"/>
      <c r="B403" s="225"/>
      <c r="C403" s="225"/>
      <c r="D403" s="225"/>
      <c r="E403" s="262"/>
      <c r="F403" s="263"/>
      <c r="G403" s="263"/>
      <c r="H403" s="263"/>
      <c r="I403" s="263"/>
      <c r="J403" s="263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</row>
    <row r="404">
      <c r="A404" s="228"/>
      <c r="B404" s="225"/>
      <c r="C404" s="225"/>
      <c r="D404" s="225"/>
      <c r="E404" s="262"/>
      <c r="F404" s="263"/>
      <c r="G404" s="263"/>
      <c r="H404" s="263"/>
      <c r="I404" s="263"/>
      <c r="J404" s="263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</row>
    <row r="405">
      <c r="A405" s="228"/>
      <c r="B405" s="225"/>
      <c r="C405" s="225"/>
      <c r="D405" s="225"/>
      <c r="E405" s="262"/>
      <c r="F405" s="263"/>
      <c r="G405" s="263"/>
      <c r="H405" s="263"/>
      <c r="I405" s="263"/>
      <c r="J405" s="263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</row>
    <row r="406">
      <c r="A406" s="228"/>
      <c r="B406" s="225"/>
      <c r="C406" s="225"/>
      <c r="D406" s="225"/>
      <c r="E406" s="262"/>
      <c r="F406" s="263"/>
      <c r="G406" s="263"/>
      <c r="H406" s="263"/>
      <c r="I406" s="263"/>
      <c r="J406" s="263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</row>
    <row r="407">
      <c r="A407" s="228"/>
      <c r="B407" s="225"/>
      <c r="C407" s="225"/>
      <c r="D407" s="225"/>
      <c r="E407" s="262"/>
      <c r="F407" s="263"/>
      <c r="G407" s="263"/>
      <c r="H407" s="263"/>
      <c r="I407" s="263"/>
      <c r="J407" s="263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</row>
    <row r="408">
      <c r="A408" s="228"/>
      <c r="B408" s="225"/>
      <c r="C408" s="225"/>
      <c r="D408" s="225"/>
      <c r="E408" s="262"/>
      <c r="F408" s="263"/>
      <c r="G408" s="263"/>
      <c r="H408" s="263"/>
      <c r="I408" s="263"/>
      <c r="J408" s="263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</row>
    <row r="409">
      <c r="A409" s="228"/>
      <c r="B409" s="225"/>
      <c r="C409" s="225"/>
      <c r="D409" s="225"/>
      <c r="E409" s="262"/>
      <c r="F409" s="263"/>
      <c r="G409" s="263"/>
      <c r="H409" s="263"/>
      <c r="I409" s="263"/>
      <c r="J409" s="263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</row>
    <row r="410">
      <c r="A410" s="228"/>
      <c r="B410" s="225"/>
      <c r="C410" s="225"/>
      <c r="D410" s="225"/>
      <c r="E410" s="262"/>
      <c r="F410" s="263"/>
      <c r="G410" s="263"/>
      <c r="H410" s="263"/>
      <c r="I410" s="263"/>
      <c r="J410" s="263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</row>
    <row r="411">
      <c r="A411" s="228"/>
      <c r="B411" s="225"/>
      <c r="C411" s="225"/>
      <c r="D411" s="225"/>
      <c r="E411" s="262"/>
      <c r="F411" s="263"/>
      <c r="G411" s="263"/>
      <c r="H411" s="263"/>
      <c r="I411" s="263"/>
      <c r="J411" s="263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</row>
    <row r="412">
      <c r="A412" s="228"/>
      <c r="B412" s="225"/>
      <c r="C412" s="225"/>
      <c r="D412" s="225"/>
      <c r="E412" s="262"/>
      <c r="F412" s="263"/>
      <c r="G412" s="263"/>
      <c r="H412" s="263"/>
      <c r="I412" s="263"/>
      <c r="J412" s="263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</row>
    <row r="413">
      <c r="A413" s="228"/>
      <c r="B413" s="225"/>
      <c r="C413" s="225"/>
      <c r="D413" s="225"/>
      <c r="E413" s="262"/>
      <c r="F413" s="263"/>
      <c r="G413" s="263"/>
      <c r="H413" s="263"/>
      <c r="I413" s="263"/>
      <c r="J413" s="263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</row>
    <row r="414">
      <c r="A414" s="228"/>
      <c r="B414" s="225"/>
      <c r="C414" s="225"/>
      <c r="D414" s="225"/>
      <c r="E414" s="262"/>
      <c r="F414" s="263"/>
      <c r="G414" s="263"/>
      <c r="H414" s="263"/>
      <c r="I414" s="263"/>
      <c r="J414" s="263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</row>
    <row r="415">
      <c r="A415" s="228"/>
      <c r="B415" s="225"/>
      <c r="C415" s="225"/>
      <c r="D415" s="225"/>
      <c r="E415" s="262"/>
      <c r="F415" s="263"/>
      <c r="G415" s="263"/>
      <c r="H415" s="263"/>
      <c r="I415" s="263"/>
      <c r="J415" s="263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</row>
    <row r="416">
      <c r="A416" s="228"/>
      <c r="B416" s="225"/>
      <c r="C416" s="225"/>
      <c r="D416" s="225"/>
      <c r="E416" s="262"/>
      <c r="F416" s="263"/>
      <c r="G416" s="263"/>
      <c r="H416" s="263"/>
      <c r="I416" s="263"/>
      <c r="J416" s="263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</row>
    <row r="417">
      <c r="A417" s="228"/>
      <c r="B417" s="225"/>
      <c r="C417" s="225"/>
      <c r="D417" s="225"/>
      <c r="E417" s="262"/>
      <c r="F417" s="263"/>
      <c r="G417" s="263"/>
      <c r="H417" s="263"/>
      <c r="I417" s="263"/>
      <c r="J417" s="263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</row>
    <row r="418">
      <c r="A418" s="228"/>
      <c r="B418" s="225"/>
      <c r="C418" s="225"/>
      <c r="D418" s="225"/>
      <c r="E418" s="262"/>
      <c r="F418" s="263"/>
      <c r="G418" s="263"/>
      <c r="H418" s="263"/>
      <c r="I418" s="263"/>
      <c r="J418" s="263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</row>
    <row r="419">
      <c r="A419" s="228"/>
      <c r="B419" s="225"/>
      <c r="C419" s="225"/>
      <c r="D419" s="225"/>
      <c r="E419" s="262"/>
      <c r="F419" s="263"/>
      <c r="G419" s="263"/>
      <c r="H419" s="263"/>
      <c r="I419" s="263"/>
      <c r="J419" s="263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</row>
    <row r="420">
      <c r="A420" s="228"/>
      <c r="B420" s="225"/>
      <c r="C420" s="225"/>
      <c r="D420" s="225"/>
      <c r="E420" s="262"/>
      <c r="F420" s="263"/>
      <c r="G420" s="263"/>
      <c r="H420" s="263"/>
      <c r="I420" s="263"/>
      <c r="J420" s="263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</row>
    <row r="421">
      <c r="A421" s="228"/>
      <c r="B421" s="225"/>
      <c r="C421" s="225"/>
      <c r="D421" s="225"/>
      <c r="E421" s="262"/>
      <c r="F421" s="263"/>
      <c r="G421" s="263"/>
      <c r="H421" s="263"/>
      <c r="I421" s="263"/>
      <c r="J421" s="263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</row>
    <row r="422">
      <c r="A422" s="228"/>
      <c r="B422" s="225"/>
      <c r="C422" s="225"/>
      <c r="D422" s="225"/>
      <c r="E422" s="262"/>
      <c r="F422" s="263"/>
      <c r="G422" s="263"/>
      <c r="H422" s="263"/>
      <c r="I422" s="263"/>
      <c r="J422" s="263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</row>
    <row r="423">
      <c r="A423" s="228"/>
      <c r="B423" s="225"/>
      <c r="C423" s="225"/>
      <c r="D423" s="225"/>
      <c r="E423" s="262"/>
      <c r="F423" s="263"/>
      <c r="G423" s="263"/>
      <c r="H423" s="263"/>
      <c r="I423" s="263"/>
      <c r="J423" s="263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</row>
    <row r="424">
      <c r="A424" s="228"/>
      <c r="B424" s="225"/>
      <c r="C424" s="225"/>
      <c r="D424" s="225"/>
      <c r="E424" s="262"/>
      <c r="F424" s="263"/>
      <c r="G424" s="263"/>
      <c r="H424" s="263"/>
      <c r="I424" s="263"/>
      <c r="J424" s="263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</row>
    <row r="425">
      <c r="A425" s="228"/>
      <c r="B425" s="225"/>
      <c r="C425" s="225"/>
      <c r="D425" s="225"/>
      <c r="E425" s="262"/>
      <c r="F425" s="263"/>
      <c r="G425" s="263"/>
      <c r="H425" s="263"/>
      <c r="I425" s="263"/>
      <c r="J425" s="263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</row>
    <row r="426">
      <c r="A426" s="228"/>
      <c r="B426" s="225"/>
      <c r="C426" s="225"/>
      <c r="D426" s="225"/>
      <c r="E426" s="262"/>
      <c r="F426" s="263"/>
      <c r="G426" s="263"/>
      <c r="H426" s="263"/>
      <c r="I426" s="263"/>
      <c r="J426" s="263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</row>
    <row r="427">
      <c r="A427" s="228"/>
      <c r="B427" s="225"/>
      <c r="C427" s="225"/>
      <c r="D427" s="225"/>
      <c r="E427" s="262"/>
      <c r="F427" s="263"/>
      <c r="G427" s="263"/>
      <c r="H427" s="263"/>
      <c r="I427" s="263"/>
      <c r="J427" s="263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</row>
    <row r="428">
      <c r="A428" s="228"/>
      <c r="B428" s="225"/>
      <c r="C428" s="225"/>
      <c r="D428" s="225"/>
      <c r="E428" s="262"/>
      <c r="F428" s="263"/>
      <c r="G428" s="263"/>
      <c r="H428" s="263"/>
      <c r="I428" s="263"/>
      <c r="J428" s="263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</row>
    <row r="429">
      <c r="A429" s="228"/>
      <c r="B429" s="225"/>
      <c r="C429" s="225"/>
      <c r="D429" s="225"/>
      <c r="E429" s="262"/>
      <c r="F429" s="263"/>
      <c r="G429" s="263"/>
      <c r="H429" s="263"/>
      <c r="I429" s="263"/>
      <c r="J429" s="263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</row>
    <row r="430">
      <c r="A430" s="228"/>
      <c r="B430" s="225"/>
      <c r="C430" s="225"/>
      <c r="D430" s="225"/>
      <c r="E430" s="262"/>
      <c r="F430" s="263"/>
      <c r="G430" s="263"/>
      <c r="H430" s="263"/>
      <c r="I430" s="263"/>
      <c r="J430" s="263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</row>
    <row r="431">
      <c r="A431" s="228"/>
      <c r="B431" s="225"/>
      <c r="C431" s="225"/>
      <c r="D431" s="225"/>
      <c r="E431" s="262"/>
      <c r="F431" s="263"/>
      <c r="G431" s="263"/>
      <c r="H431" s="263"/>
      <c r="I431" s="263"/>
      <c r="J431" s="263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</row>
    <row r="432">
      <c r="A432" s="228"/>
      <c r="B432" s="225"/>
      <c r="C432" s="225"/>
      <c r="D432" s="225"/>
      <c r="E432" s="262"/>
      <c r="F432" s="263"/>
      <c r="G432" s="263"/>
      <c r="H432" s="263"/>
      <c r="I432" s="263"/>
      <c r="J432" s="263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</row>
    <row r="433">
      <c r="A433" s="228"/>
      <c r="B433" s="225"/>
      <c r="C433" s="225"/>
      <c r="D433" s="225"/>
      <c r="E433" s="262"/>
      <c r="F433" s="263"/>
      <c r="G433" s="263"/>
      <c r="H433" s="263"/>
      <c r="I433" s="263"/>
      <c r="J433" s="263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</row>
    <row r="434">
      <c r="A434" s="228"/>
      <c r="B434" s="225"/>
      <c r="C434" s="225"/>
      <c r="D434" s="225"/>
      <c r="E434" s="262"/>
      <c r="F434" s="263"/>
      <c r="G434" s="263"/>
      <c r="H434" s="263"/>
      <c r="I434" s="263"/>
      <c r="J434" s="263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</row>
    <row r="435">
      <c r="A435" s="228"/>
      <c r="B435" s="225"/>
      <c r="C435" s="225"/>
      <c r="D435" s="225"/>
      <c r="E435" s="262"/>
      <c r="F435" s="263"/>
      <c r="G435" s="263"/>
      <c r="H435" s="263"/>
      <c r="I435" s="263"/>
      <c r="J435" s="263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</row>
    <row r="436">
      <c r="A436" s="228"/>
      <c r="B436" s="225"/>
      <c r="C436" s="225"/>
      <c r="D436" s="225"/>
      <c r="E436" s="262"/>
      <c r="F436" s="263"/>
      <c r="G436" s="263"/>
      <c r="H436" s="263"/>
      <c r="I436" s="263"/>
      <c r="J436" s="263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</row>
    <row r="437">
      <c r="A437" s="228"/>
      <c r="B437" s="225"/>
      <c r="C437" s="225"/>
      <c r="D437" s="225"/>
      <c r="E437" s="262"/>
      <c r="F437" s="263"/>
      <c r="G437" s="263"/>
      <c r="H437" s="263"/>
      <c r="I437" s="263"/>
      <c r="J437" s="263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</row>
    <row r="438">
      <c r="A438" s="228"/>
      <c r="B438" s="225"/>
      <c r="C438" s="225"/>
      <c r="D438" s="225"/>
      <c r="E438" s="262"/>
      <c r="F438" s="263"/>
      <c r="G438" s="263"/>
      <c r="H438" s="263"/>
      <c r="I438" s="263"/>
      <c r="J438" s="263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</row>
    <row r="439">
      <c r="A439" s="228"/>
      <c r="B439" s="225"/>
      <c r="C439" s="225"/>
      <c r="D439" s="225"/>
      <c r="E439" s="262"/>
      <c r="F439" s="263"/>
      <c r="G439" s="263"/>
      <c r="H439" s="263"/>
      <c r="I439" s="263"/>
      <c r="J439" s="263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</row>
    <row r="440">
      <c r="A440" s="228"/>
      <c r="B440" s="225"/>
      <c r="C440" s="225"/>
      <c r="D440" s="225"/>
      <c r="E440" s="262"/>
      <c r="F440" s="263"/>
      <c r="G440" s="263"/>
      <c r="H440" s="263"/>
      <c r="I440" s="263"/>
      <c r="J440" s="263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</row>
    <row r="441">
      <c r="A441" s="228"/>
      <c r="B441" s="225"/>
      <c r="C441" s="225"/>
      <c r="D441" s="225"/>
      <c r="E441" s="262"/>
      <c r="F441" s="263"/>
      <c r="G441" s="263"/>
      <c r="H441" s="263"/>
      <c r="I441" s="263"/>
      <c r="J441" s="263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</row>
    <row r="442">
      <c r="A442" s="228"/>
      <c r="B442" s="225"/>
      <c r="C442" s="225"/>
      <c r="D442" s="225"/>
      <c r="E442" s="262"/>
      <c r="F442" s="263"/>
      <c r="G442" s="263"/>
      <c r="H442" s="263"/>
      <c r="I442" s="263"/>
      <c r="J442" s="263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</row>
    <row r="443">
      <c r="A443" s="228"/>
      <c r="B443" s="225"/>
      <c r="C443" s="225"/>
      <c r="D443" s="225"/>
      <c r="E443" s="262"/>
      <c r="F443" s="263"/>
      <c r="G443" s="263"/>
      <c r="H443" s="263"/>
      <c r="I443" s="263"/>
      <c r="J443" s="263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</row>
    <row r="444">
      <c r="A444" s="228"/>
      <c r="B444" s="225"/>
      <c r="C444" s="225"/>
      <c r="D444" s="225"/>
      <c r="E444" s="262"/>
      <c r="F444" s="263"/>
      <c r="G444" s="263"/>
      <c r="H444" s="263"/>
      <c r="I444" s="263"/>
      <c r="J444" s="263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</row>
    <row r="445">
      <c r="A445" s="228"/>
      <c r="B445" s="225"/>
      <c r="C445" s="225"/>
      <c r="D445" s="225"/>
      <c r="E445" s="262"/>
      <c r="F445" s="263"/>
      <c r="G445" s="263"/>
      <c r="H445" s="263"/>
      <c r="I445" s="263"/>
      <c r="J445" s="263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</row>
    <row r="446">
      <c r="A446" s="228"/>
      <c r="B446" s="225"/>
      <c r="C446" s="225"/>
      <c r="D446" s="225"/>
      <c r="E446" s="262"/>
      <c r="F446" s="263"/>
      <c r="G446" s="263"/>
      <c r="H446" s="263"/>
      <c r="I446" s="263"/>
      <c r="J446" s="263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</row>
    <row r="447">
      <c r="A447" s="228"/>
      <c r="B447" s="225"/>
      <c r="C447" s="225"/>
      <c r="D447" s="225"/>
      <c r="E447" s="262"/>
      <c r="F447" s="263"/>
      <c r="G447" s="263"/>
      <c r="H447" s="263"/>
      <c r="I447" s="263"/>
      <c r="J447" s="263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</row>
    <row r="448">
      <c r="A448" s="228"/>
      <c r="B448" s="225"/>
      <c r="C448" s="225"/>
      <c r="D448" s="225"/>
      <c r="E448" s="262"/>
      <c r="F448" s="263"/>
      <c r="G448" s="263"/>
      <c r="H448" s="263"/>
      <c r="I448" s="263"/>
      <c r="J448" s="263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</row>
    <row r="449">
      <c r="A449" s="228"/>
      <c r="B449" s="225"/>
      <c r="C449" s="225"/>
      <c r="D449" s="225"/>
      <c r="E449" s="262"/>
      <c r="F449" s="263"/>
      <c r="G449" s="263"/>
      <c r="H449" s="263"/>
      <c r="I449" s="263"/>
      <c r="J449" s="263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</row>
    <row r="450">
      <c r="A450" s="228"/>
      <c r="B450" s="225"/>
      <c r="C450" s="225"/>
      <c r="D450" s="225"/>
      <c r="E450" s="262"/>
      <c r="F450" s="263"/>
      <c r="G450" s="263"/>
      <c r="H450" s="263"/>
      <c r="I450" s="263"/>
      <c r="J450" s="263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</row>
    <row r="451">
      <c r="A451" s="228"/>
      <c r="B451" s="225"/>
      <c r="C451" s="225"/>
      <c r="D451" s="225"/>
      <c r="E451" s="262"/>
      <c r="F451" s="263"/>
      <c r="G451" s="263"/>
      <c r="H451" s="263"/>
      <c r="I451" s="263"/>
      <c r="J451" s="263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</row>
    <row r="452">
      <c r="A452" s="228"/>
      <c r="B452" s="225"/>
      <c r="C452" s="225"/>
      <c r="D452" s="225"/>
      <c r="E452" s="262"/>
      <c r="F452" s="263"/>
      <c r="G452" s="263"/>
      <c r="H452" s="263"/>
      <c r="I452" s="263"/>
      <c r="J452" s="263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</row>
    <row r="453">
      <c r="A453" s="228"/>
      <c r="B453" s="225"/>
      <c r="C453" s="225"/>
      <c r="D453" s="225"/>
      <c r="E453" s="262"/>
      <c r="F453" s="263"/>
      <c r="G453" s="263"/>
      <c r="H453" s="263"/>
      <c r="I453" s="263"/>
      <c r="J453" s="263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</row>
    <row r="454">
      <c r="A454" s="228"/>
      <c r="B454" s="225"/>
      <c r="C454" s="225"/>
      <c r="D454" s="225"/>
      <c r="E454" s="262"/>
      <c r="F454" s="263"/>
      <c r="G454" s="263"/>
      <c r="H454" s="263"/>
      <c r="I454" s="263"/>
      <c r="J454" s="263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</row>
    <row r="455">
      <c r="A455" s="228"/>
      <c r="B455" s="225"/>
      <c r="C455" s="225"/>
      <c r="D455" s="225"/>
      <c r="E455" s="262"/>
      <c r="F455" s="263"/>
      <c r="G455" s="263"/>
      <c r="H455" s="263"/>
      <c r="I455" s="263"/>
      <c r="J455" s="263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</row>
    <row r="456">
      <c r="A456" s="228"/>
      <c r="B456" s="225"/>
      <c r="C456" s="225"/>
      <c r="D456" s="225"/>
      <c r="E456" s="262"/>
      <c r="F456" s="263"/>
      <c r="G456" s="263"/>
      <c r="H456" s="263"/>
      <c r="I456" s="263"/>
      <c r="J456" s="263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</row>
    <row r="457">
      <c r="A457" s="228"/>
      <c r="B457" s="225"/>
      <c r="C457" s="225"/>
      <c r="D457" s="225"/>
      <c r="E457" s="262"/>
      <c r="F457" s="263"/>
      <c r="G457" s="263"/>
      <c r="H457" s="263"/>
      <c r="I457" s="263"/>
      <c r="J457" s="263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</row>
    <row r="458">
      <c r="A458" s="228"/>
      <c r="B458" s="225"/>
      <c r="C458" s="225"/>
      <c r="D458" s="225"/>
      <c r="E458" s="262"/>
      <c r="F458" s="263"/>
      <c r="G458" s="263"/>
      <c r="H458" s="263"/>
      <c r="I458" s="263"/>
      <c r="J458" s="263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</row>
    <row r="459">
      <c r="A459" s="228"/>
      <c r="B459" s="225"/>
      <c r="C459" s="225"/>
      <c r="D459" s="225"/>
      <c r="E459" s="262"/>
      <c r="F459" s="263"/>
      <c r="G459" s="263"/>
      <c r="H459" s="263"/>
      <c r="I459" s="263"/>
      <c r="J459" s="263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</row>
    <row r="460">
      <c r="A460" s="228"/>
      <c r="B460" s="225"/>
      <c r="C460" s="225"/>
      <c r="D460" s="225"/>
      <c r="E460" s="262"/>
      <c r="F460" s="263"/>
      <c r="G460" s="263"/>
      <c r="H460" s="263"/>
      <c r="I460" s="263"/>
      <c r="J460" s="263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</row>
    <row r="461">
      <c r="A461" s="228"/>
      <c r="B461" s="225"/>
      <c r="C461" s="225"/>
      <c r="D461" s="225"/>
      <c r="E461" s="262"/>
      <c r="F461" s="263"/>
      <c r="G461" s="263"/>
      <c r="H461" s="263"/>
      <c r="I461" s="263"/>
      <c r="J461" s="263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</row>
    <row r="462">
      <c r="A462" s="228"/>
      <c r="B462" s="225"/>
      <c r="C462" s="225"/>
      <c r="D462" s="225"/>
      <c r="E462" s="262"/>
      <c r="F462" s="263"/>
      <c r="G462" s="263"/>
      <c r="H462" s="263"/>
      <c r="I462" s="263"/>
      <c r="J462" s="263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</row>
    <row r="463">
      <c r="A463" s="228"/>
      <c r="B463" s="225"/>
      <c r="C463" s="225"/>
      <c r="D463" s="225"/>
      <c r="E463" s="262"/>
      <c r="F463" s="263"/>
      <c r="G463" s="263"/>
      <c r="H463" s="263"/>
      <c r="I463" s="263"/>
      <c r="J463" s="263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</row>
    <row r="464">
      <c r="A464" s="228"/>
      <c r="B464" s="225"/>
      <c r="C464" s="225"/>
      <c r="D464" s="225"/>
      <c r="E464" s="262"/>
      <c r="F464" s="263"/>
      <c r="G464" s="263"/>
      <c r="H464" s="263"/>
      <c r="I464" s="263"/>
      <c r="J464" s="263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</row>
    <row r="465">
      <c r="A465" s="228"/>
      <c r="B465" s="225"/>
      <c r="C465" s="225"/>
      <c r="D465" s="225"/>
      <c r="E465" s="262"/>
      <c r="F465" s="263"/>
      <c r="G465" s="263"/>
      <c r="H465" s="263"/>
      <c r="I465" s="263"/>
      <c r="J465" s="263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</row>
    <row r="466">
      <c r="A466" s="228"/>
      <c r="B466" s="225"/>
      <c r="C466" s="225"/>
      <c r="D466" s="225"/>
      <c r="E466" s="262"/>
      <c r="F466" s="263"/>
      <c r="G466" s="263"/>
      <c r="H466" s="263"/>
      <c r="I466" s="263"/>
      <c r="J466" s="263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</row>
    <row r="467">
      <c r="A467" s="228"/>
      <c r="B467" s="225"/>
      <c r="C467" s="225"/>
      <c r="D467" s="225"/>
      <c r="E467" s="262"/>
      <c r="F467" s="263"/>
      <c r="G467" s="263"/>
      <c r="H467" s="263"/>
      <c r="I467" s="263"/>
      <c r="J467" s="263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</row>
    <row r="468">
      <c r="A468" s="228"/>
      <c r="B468" s="225"/>
      <c r="C468" s="225"/>
      <c r="D468" s="225"/>
      <c r="E468" s="262"/>
      <c r="F468" s="263"/>
      <c r="G468" s="263"/>
      <c r="H468" s="263"/>
      <c r="I468" s="263"/>
      <c r="J468" s="263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</row>
    <row r="469">
      <c r="A469" s="228"/>
      <c r="B469" s="225"/>
      <c r="C469" s="225"/>
      <c r="D469" s="225"/>
      <c r="E469" s="262"/>
      <c r="F469" s="263"/>
      <c r="G469" s="263"/>
      <c r="H469" s="263"/>
      <c r="I469" s="263"/>
      <c r="J469" s="263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</row>
    <row r="470">
      <c r="A470" s="228"/>
      <c r="B470" s="225"/>
      <c r="C470" s="225"/>
      <c r="D470" s="225"/>
      <c r="E470" s="262"/>
      <c r="F470" s="263"/>
      <c r="G470" s="263"/>
      <c r="H470" s="263"/>
      <c r="I470" s="263"/>
      <c r="J470" s="263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</row>
    <row r="471">
      <c r="A471" s="228"/>
      <c r="B471" s="225"/>
      <c r="C471" s="225"/>
      <c r="D471" s="225"/>
      <c r="E471" s="262"/>
      <c r="F471" s="263"/>
      <c r="G471" s="263"/>
      <c r="H471" s="263"/>
      <c r="I471" s="263"/>
      <c r="J471" s="263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</row>
    <row r="472">
      <c r="A472" s="228"/>
      <c r="B472" s="225"/>
      <c r="C472" s="225"/>
      <c r="D472" s="225"/>
      <c r="E472" s="262"/>
      <c r="F472" s="263"/>
      <c r="G472" s="263"/>
      <c r="H472" s="263"/>
      <c r="I472" s="263"/>
      <c r="J472" s="263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</row>
    <row r="473">
      <c r="A473" s="228"/>
      <c r="B473" s="225"/>
      <c r="C473" s="225"/>
      <c r="D473" s="225"/>
      <c r="E473" s="262"/>
      <c r="F473" s="263"/>
      <c r="G473" s="263"/>
      <c r="H473" s="263"/>
      <c r="I473" s="263"/>
      <c r="J473" s="263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</row>
    <row r="474">
      <c r="A474" s="228"/>
      <c r="B474" s="225"/>
      <c r="C474" s="225"/>
      <c r="D474" s="225"/>
      <c r="E474" s="262"/>
      <c r="F474" s="263"/>
      <c r="G474" s="263"/>
      <c r="H474" s="263"/>
      <c r="I474" s="263"/>
      <c r="J474" s="263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</row>
    <row r="475">
      <c r="A475" s="228"/>
      <c r="B475" s="225"/>
      <c r="C475" s="225"/>
      <c r="D475" s="225"/>
      <c r="E475" s="262"/>
      <c r="F475" s="263"/>
      <c r="G475" s="263"/>
      <c r="H475" s="263"/>
      <c r="I475" s="263"/>
      <c r="J475" s="263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</row>
    <row r="476">
      <c r="A476" s="228"/>
      <c r="B476" s="225"/>
      <c r="C476" s="225"/>
      <c r="D476" s="225"/>
      <c r="E476" s="262"/>
      <c r="F476" s="263"/>
      <c r="G476" s="263"/>
      <c r="H476" s="263"/>
      <c r="I476" s="263"/>
      <c r="J476" s="263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</row>
    <row r="477">
      <c r="A477" s="228"/>
      <c r="B477" s="225"/>
      <c r="C477" s="225"/>
      <c r="D477" s="225"/>
      <c r="E477" s="262"/>
      <c r="F477" s="263"/>
      <c r="G477" s="263"/>
      <c r="H477" s="263"/>
      <c r="I477" s="263"/>
      <c r="J477" s="263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</row>
    <row r="478">
      <c r="A478" s="228"/>
      <c r="B478" s="225"/>
      <c r="C478" s="225"/>
      <c r="D478" s="225"/>
      <c r="E478" s="262"/>
      <c r="F478" s="263"/>
      <c r="G478" s="263"/>
      <c r="H478" s="263"/>
      <c r="I478" s="263"/>
      <c r="J478" s="263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</row>
    <row r="479">
      <c r="A479" s="228"/>
      <c r="B479" s="225"/>
      <c r="C479" s="225"/>
      <c r="D479" s="225"/>
      <c r="E479" s="262"/>
      <c r="F479" s="263"/>
      <c r="G479" s="263"/>
      <c r="H479" s="263"/>
      <c r="I479" s="263"/>
      <c r="J479" s="263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</row>
    <row r="480">
      <c r="A480" s="228"/>
      <c r="B480" s="225"/>
      <c r="C480" s="225"/>
      <c r="D480" s="225"/>
      <c r="E480" s="262"/>
      <c r="F480" s="263"/>
      <c r="G480" s="263"/>
      <c r="H480" s="263"/>
      <c r="I480" s="263"/>
      <c r="J480" s="263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</row>
    <row r="481">
      <c r="A481" s="228"/>
      <c r="B481" s="225"/>
      <c r="C481" s="225"/>
      <c r="D481" s="225"/>
      <c r="E481" s="262"/>
      <c r="F481" s="263"/>
      <c r="G481" s="263"/>
      <c r="H481" s="263"/>
      <c r="I481" s="263"/>
      <c r="J481" s="263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</row>
    <row r="482">
      <c r="A482" s="228"/>
      <c r="B482" s="225"/>
      <c r="C482" s="225"/>
      <c r="D482" s="225"/>
      <c r="E482" s="262"/>
      <c r="F482" s="263"/>
      <c r="G482" s="263"/>
      <c r="H482" s="263"/>
      <c r="I482" s="263"/>
      <c r="J482" s="263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</row>
    <row r="483">
      <c r="A483" s="228"/>
      <c r="B483" s="225"/>
      <c r="C483" s="225"/>
      <c r="D483" s="225"/>
      <c r="E483" s="262"/>
      <c r="F483" s="263"/>
      <c r="G483" s="263"/>
      <c r="H483" s="263"/>
      <c r="I483" s="263"/>
      <c r="J483" s="263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</row>
    <row r="484">
      <c r="A484" s="228"/>
      <c r="B484" s="225"/>
      <c r="C484" s="225"/>
      <c r="D484" s="225"/>
      <c r="E484" s="262"/>
      <c r="F484" s="263"/>
      <c r="G484" s="263"/>
      <c r="H484" s="263"/>
      <c r="I484" s="263"/>
      <c r="J484" s="263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</row>
    <row r="485">
      <c r="A485" s="228"/>
      <c r="B485" s="225"/>
      <c r="C485" s="225"/>
      <c r="D485" s="225"/>
      <c r="E485" s="262"/>
      <c r="F485" s="263"/>
      <c r="G485" s="263"/>
      <c r="H485" s="263"/>
      <c r="I485" s="263"/>
      <c r="J485" s="263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</row>
    <row r="486">
      <c r="A486" s="228"/>
      <c r="B486" s="225"/>
      <c r="C486" s="225"/>
      <c r="D486" s="225"/>
      <c r="E486" s="262"/>
      <c r="F486" s="263"/>
      <c r="G486" s="263"/>
      <c r="H486" s="263"/>
      <c r="I486" s="263"/>
      <c r="J486" s="263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</row>
    <row r="487">
      <c r="A487" s="228"/>
      <c r="B487" s="225"/>
      <c r="C487" s="225"/>
      <c r="D487" s="225"/>
      <c r="E487" s="262"/>
      <c r="F487" s="263"/>
      <c r="G487" s="263"/>
      <c r="H487" s="263"/>
      <c r="I487" s="263"/>
      <c r="J487" s="263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</row>
    <row r="488">
      <c r="A488" s="228"/>
      <c r="B488" s="225"/>
      <c r="C488" s="225"/>
      <c r="D488" s="225"/>
      <c r="E488" s="262"/>
      <c r="F488" s="263"/>
      <c r="G488" s="263"/>
      <c r="H488" s="263"/>
      <c r="I488" s="263"/>
      <c r="J488" s="263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</row>
    <row r="489">
      <c r="A489" s="228"/>
      <c r="B489" s="225"/>
      <c r="C489" s="225"/>
      <c r="D489" s="225"/>
      <c r="E489" s="262"/>
      <c r="F489" s="263"/>
      <c r="G489" s="263"/>
      <c r="H489" s="263"/>
      <c r="I489" s="263"/>
      <c r="J489" s="263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</row>
    <row r="490">
      <c r="A490" s="228"/>
      <c r="B490" s="225"/>
      <c r="C490" s="225"/>
      <c r="D490" s="225"/>
      <c r="E490" s="262"/>
      <c r="F490" s="263"/>
      <c r="G490" s="263"/>
      <c r="H490" s="263"/>
      <c r="I490" s="263"/>
      <c r="J490" s="263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</row>
    <row r="491">
      <c r="A491" s="228"/>
      <c r="B491" s="225"/>
      <c r="C491" s="225"/>
      <c r="D491" s="225"/>
      <c r="E491" s="262"/>
      <c r="F491" s="263"/>
      <c r="G491" s="263"/>
      <c r="H491" s="263"/>
      <c r="I491" s="263"/>
      <c r="J491" s="263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</row>
    <row r="492">
      <c r="A492" s="228"/>
      <c r="B492" s="225"/>
      <c r="C492" s="225"/>
      <c r="D492" s="225"/>
      <c r="E492" s="262"/>
      <c r="F492" s="263"/>
      <c r="G492" s="263"/>
      <c r="H492" s="263"/>
      <c r="I492" s="263"/>
      <c r="J492" s="263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</row>
    <row r="493">
      <c r="A493" s="228"/>
      <c r="B493" s="225"/>
      <c r="C493" s="225"/>
      <c r="D493" s="225"/>
      <c r="E493" s="262"/>
      <c r="F493" s="263"/>
      <c r="G493" s="263"/>
      <c r="H493" s="263"/>
      <c r="I493" s="263"/>
      <c r="J493" s="263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</row>
    <row r="494">
      <c r="A494" s="228"/>
      <c r="B494" s="225"/>
      <c r="C494" s="225"/>
      <c r="D494" s="225"/>
      <c r="E494" s="262"/>
      <c r="F494" s="263"/>
      <c r="G494" s="263"/>
      <c r="H494" s="263"/>
      <c r="I494" s="263"/>
      <c r="J494" s="263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</row>
    <row r="495">
      <c r="A495" s="228"/>
      <c r="B495" s="225"/>
      <c r="C495" s="225"/>
      <c r="D495" s="225"/>
      <c r="E495" s="262"/>
      <c r="F495" s="263"/>
      <c r="G495" s="263"/>
      <c r="H495" s="263"/>
      <c r="I495" s="263"/>
      <c r="J495" s="263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</row>
    <row r="496">
      <c r="A496" s="228"/>
      <c r="B496" s="225"/>
      <c r="C496" s="225"/>
      <c r="D496" s="225"/>
      <c r="E496" s="262"/>
      <c r="F496" s="263"/>
      <c r="G496" s="263"/>
      <c r="H496" s="263"/>
      <c r="I496" s="263"/>
      <c r="J496" s="263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</row>
    <row r="497">
      <c r="A497" s="228"/>
      <c r="B497" s="225"/>
      <c r="C497" s="225"/>
      <c r="D497" s="225"/>
      <c r="E497" s="262"/>
      <c r="F497" s="263"/>
      <c r="G497" s="263"/>
      <c r="H497" s="263"/>
      <c r="I497" s="263"/>
      <c r="J497" s="263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</row>
    <row r="498">
      <c r="A498" s="228"/>
      <c r="B498" s="225"/>
      <c r="C498" s="225"/>
      <c r="D498" s="225"/>
      <c r="E498" s="262"/>
      <c r="F498" s="263"/>
      <c r="G498" s="263"/>
      <c r="H498" s="263"/>
      <c r="I498" s="263"/>
      <c r="J498" s="263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</row>
    <row r="499">
      <c r="A499" s="228"/>
      <c r="B499" s="225"/>
      <c r="C499" s="225"/>
      <c r="D499" s="225"/>
      <c r="E499" s="262"/>
      <c r="F499" s="263"/>
      <c r="G499" s="263"/>
      <c r="H499" s="263"/>
      <c r="I499" s="263"/>
      <c r="J499" s="263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</row>
    <row r="500">
      <c r="A500" s="228"/>
      <c r="B500" s="225"/>
      <c r="C500" s="225"/>
      <c r="D500" s="225"/>
      <c r="E500" s="262"/>
      <c r="F500" s="263"/>
      <c r="G500" s="263"/>
      <c r="H500" s="263"/>
      <c r="I500" s="263"/>
      <c r="J500" s="263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</row>
    <row r="501">
      <c r="A501" s="228"/>
      <c r="B501" s="225"/>
      <c r="C501" s="225"/>
      <c r="D501" s="225"/>
      <c r="E501" s="262"/>
      <c r="F501" s="263"/>
      <c r="G501" s="263"/>
      <c r="H501" s="263"/>
      <c r="I501" s="263"/>
      <c r="J501" s="263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</row>
    <row r="502">
      <c r="A502" s="228"/>
      <c r="B502" s="225"/>
      <c r="C502" s="225"/>
      <c r="D502" s="225"/>
      <c r="E502" s="262"/>
      <c r="F502" s="263"/>
      <c r="G502" s="263"/>
      <c r="H502" s="263"/>
      <c r="I502" s="263"/>
      <c r="J502" s="263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</row>
    <row r="503">
      <c r="A503" s="228"/>
      <c r="B503" s="225"/>
      <c r="C503" s="225"/>
      <c r="D503" s="225"/>
      <c r="E503" s="262"/>
      <c r="F503" s="263"/>
      <c r="G503" s="263"/>
      <c r="H503" s="263"/>
      <c r="I503" s="263"/>
      <c r="J503" s="263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</row>
    <row r="504">
      <c r="A504" s="228"/>
      <c r="B504" s="225"/>
      <c r="C504" s="225"/>
      <c r="D504" s="225"/>
      <c r="E504" s="262"/>
      <c r="F504" s="263"/>
      <c r="G504" s="263"/>
      <c r="H504" s="263"/>
      <c r="I504" s="263"/>
      <c r="J504" s="263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</row>
    <row r="505">
      <c r="A505" s="228"/>
      <c r="B505" s="225"/>
      <c r="C505" s="225"/>
      <c r="D505" s="225"/>
      <c r="E505" s="262"/>
      <c r="F505" s="263"/>
      <c r="G505" s="263"/>
      <c r="H505" s="263"/>
      <c r="I505" s="263"/>
      <c r="J505" s="263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</row>
    <row r="506">
      <c r="A506" s="228"/>
      <c r="B506" s="225"/>
      <c r="C506" s="225"/>
      <c r="D506" s="225"/>
      <c r="E506" s="262"/>
      <c r="F506" s="263"/>
      <c r="G506" s="263"/>
      <c r="H506" s="263"/>
      <c r="I506" s="263"/>
      <c r="J506" s="263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</row>
    <row r="507">
      <c r="A507" s="228"/>
      <c r="B507" s="225"/>
      <c r="C507" s="225"/>
      <c r="D507" s="225"/>
      <c r="E507" s="262"/>
      <c r="F507" s="263"/>
      <c r="G507" s="263"/>
      <c r="H507" s="263"/>
      <c r="I507" s="263"/>
      <c r="J507" s="263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</row>
    <row r="508">
      <c r="A508" s="228"/>
      <c r="B508" s="225"/>
      <c r="C508" s="225"/>
      <c r="D508" s="225"/>
      <c r="E508" s="262"/>
      <c r="F508" s="263"/>
      <c r="G508" s="263"/>
      <c r="H508" s="263"/>
      <c r="I508" s="263"/>
      <c r="J508" s="263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</row>
    <row r="509">
      <c r="A509" s="228"/>
      <c r="B509" s="225"/>
      <c r="C509" s="225"/>
      <c r="D509" s="225"/>
      <c r="E509" s="262"/>
      <c r="F509" s="263"/>
      <c r="G509" s="263"/>
      <c r="H509" s="263"/>
      <c r="I509" s="263"/>
      <c r="J509" s="263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</row>
    <row r="510">
      <c r="A510" s="228"/>
      <c r="B510" s="225"/>
      <c r="C510" s="225"/>
      <c r="D510" s="225"/>
      <c r="E510" s="262"/>
      <c r="F510" s="263"/>
      <c r="G510" s="263"/>
      <c r="H510" s="263"/>
      <c r="I510" s="263"/>
      <c r="J510" s="263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</row>
    <row r="511">
      <c r="A511" s="228"/>
      <c r="B511" s="225"/>
      <c r="C511" s="225"/>
      <c r="D511" s="225"/>
      <c r="E511" s="262"/>
      <c r="F511" s="263"/>
      <c r="G511" s="263"/>
      <c r="H511" s="263"/>
      <c r="I511" s="263"/>
      <c r="J511" s="263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</row>
    <row r="512">
      <c r="A512" s="228"/>
      <c r="B512" s="225"/>
      <c r="C512" s="225"/>
      <c r="D512" s="225"/>
      <c r="E512" s="262"/>
      <c r="F512" s="263"/>
      <c r="G512" s="263"/>
      <c r="H512" s="263"/>
      <c r="I512" s="263"/>
      <c r="J512" s="263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</row>
    <row r="513">
      <c r="A513" s="228"/>
      <c r="B513" s="225"/>
      <c r="C513" s="225"/>
      <c r="D513" s="225"/>
      <c r="E513" s="262"/>
      <c r="F513" s="263"/>
      <c r="G513" s="263"/>
      <c r="H513" s="263"/>
      <c r="I513" s="263"/>
      <c r="J513" s="263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</row>
    <row r="514">
      <c r="A514" s="228"/>
      <c r="B514" s="225"/>
      <c r="C514" s="225"/>
      <c r="D514" s="225"/>
      <c r="E514" s="262"/>
      <c r="F514" s="263"/>
      <c r="G514" s="263"/>
      <c r="H514" s="263"/>
      <c r="I514" s="263"/>
      <c r="J514" s="263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</row>
    <row r="515">
      <c r="A515" s="228"/>
      <c r="B515" s="225"/>
      <c r="C515" s="225"/>
      <c r="D515" s="225"/>
      <c r="E515" s="262"/>
      <c r="F515" s="263"/>
      <c r="G515" s="263"/>
      <c r="H515" s="263"/>
      <c r="I515" s="263"/>
      <c r="J515" s="263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</row>
    <row r="516">
      <c r="A516" s="228"/>
      <c r="B516" s="225"/>
      <c r="C516" s="225"/>
      <c r="D516" s="225"/>
      <c r="E516" s="262"/>
      <c r="F516" s="263"/>
      <c r="G516" s="263"/>
      <c r="H516" s="263"/>
      <c r="I516" s="263"/>
      <c r="J516" s="263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</row>
    <row r="517">
      <c r="A517" s="228"/>
      <c r="B517" s="225"/>
      <c r="C517" s="225"/>
      <c r="D517" s="225"/>
      <c r="E517" s="262"/>
      <c r="F517" s="263"/>
      <c r="G517" s="263"/>
      <c r="H517" s="263"/>
      <c r="I517" s="263"/>
      <c r="J517" s="263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</row>
    <row r="518">
      <c r="A518" s="228"/>
      <c r="B518" s="225"/>
      <c r="C518" s="225"/>
      <c r="D518" s="225"/>
      <c r="E518" s="262"/>
      <c r="F518" s="263"/>
      <c r="G518" s="263"/>
      <c r="H518" s="263"/>
      <c r="I518" s="263"/>
      <c r="J518" s="263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</row>
    <row r="519">
      <c r="A519" s="228"/>
      <c r="B519" s="225"/>
      <c r="C519" s="225"/>
      <c r="D519" s="225"/>
      <c r="E519" s="262"/>
      <c r="F519" s="263"/>
      <c r="G519" s="263"/>
      <c r="H519" s="263"/>
      <c r="I519" s="263"/>
      <c r="J519" s="263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</row>
    <row r="520">
      <c r="A520" s="228"/>
      <c r="B520" s="225"/>
      <c r="C520" s="225"/>
      <c r="D520" s="225"/>
      <c r="E520" s="262"/>
      <c r="F520" s="263"/>
      <c r="G520" s="263"/>
      <c r="H520" s="263"/>
      <c r="I520" s="263"/>
      <c r="J520" s="263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</row>
    <row r="521">
      <c r="A521" s="228"/>
      <c r="B521" s="225"/>
      <c r="C521" s="225"/>
      <c r="D521" s="225"/>
      <c r="E521" s="262"/>
      <c r="F521" s="263"/>
      <c r="G521" s="263"/>
      <c r="H521" s="263"/>
      <c r="I521" s="263"/>
      <c r="J521" s="263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</row>
    <row r="522">
      <c r="A522" s="228"/>
      <c r="B522" s="225"/>
      <c r="C522" s="225"/>
      <c r="D522" s="225"/>
      <c r="E522" s="262"/>
      <c r="F522" s="263"/>
      <c r="G522" s="263"/>
      <c r="H522" s="263"/>
      <c r="I522" s="263"/>
      <c r="J522" s="263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</row>
    <row r="523">
      <c r="A523" s="228"/>
      <c r="B523" s="225"/>
      <c r="C523" s="225"/>
      <c r="D523" s="225"/>
      <c r="E523" s="262"/>
      <c r="F523" s="263"/>
      <c r="G523" s="263"/>
      <c r="H523" s="263"/>
      <c r="I523" s="263"/>
      <c r="J523" s="263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</row>
    <row r="524">
      <c r="A524" s="228"/>
      <c r="B524" s="225"/>
      <c r="C524" s="225"/>
      <c r="D524" s="225"/>
      <c r="E524" s="262"/>
      <c r="F524" s="263"/>
      <c r="G524" s="263"/>
      <c r="H524" s="263"/>
      <c r="I524" s="263"/>
      <c r="J524" s="263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</row>
    <row r="525">
      <c r="A525" s="228"/>
      <c r="B525" s="225"/>
      <c r="C525" s="225"/>
      <c r="D525" s="225"/>
      <c r="E525" s="262"/>
      <c r="F525" s="263"/>
      <c r="G525" s="263"/>
      <c r="H525" s="263"/>
      <c r="I525" s="263"/>
      <c r="J525" s="263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</row>
    <row r="526">
      <c r="A526" s="228"/>
      <c r="B526" s="225"/>
      <c r="C526" s="225"/>
      <c r="D526" s="225"/>
      <c r="E526" s="262"/>
      <c r="F526" s="263"/>
      <c r="G526" s="263"/>
      <c r="H526" s="263"/>
      <c r="I526" s="263"/>
      <c r="J526" s="263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</row>
    <row r="527">
      <c r="A527" s="228"/>
      <c r="B527" s="225"/>
      <c r="C527" s="225"/>
      <c r="D527" s="225"/>
      <c r="E527" s="262"/>
      <c r="F527" s="263"/>
      <c r="G527" s="263"/>
      <c r="H527" s="263"/>
      <c r="I527" s="263"/>
      <c r="J527" s="263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</row>
    <row r="528">
      <c r="A528" s="228"/>
      <c r="B528" s="225"/>
      <c r="C528" s="225"/>
      <c r="D528" s="225"/>
      <c r="E528" s="262"/>
      <c r="F528" s="263"/>
      <c r="G528" s="263"/>
      <c r="H528" s="263"/>
      <c r="I528" s="263"/>
      <c r="J528" s="263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</row>
    <row r="529">
      <c r="A529" s="228"/>
      <c r="B529" s="225"/>
      <c r="C529" s="225"/>
      <c r="D529" s="225"/>
      <c r="E529" s="262"/>
      <c r="F529" s="263"/>
      <c r="G529" s="263"/>
      <c r="H529" s="263"/>
      <c r="I529" s="263"/>
      <c r="J529" s="263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</row>
    <row r="530">
      <c r="A530" s="228"/>
      <c r="B530" s="225"/>
      <c r="C530" s="225"/>
      <c r="D530" s="225"/>
      <c r="E530" s="262"/>
      <c r="F530" s="263"/>
      <c r="G530" s="263"/>
      <c r="H530" s="263"/>
      <c r="I530" s="263"/>
      <c r="J530" s="263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</row>
    <row r="531">
      <c r="A531" s="228"/>
      <c r="B531" s="225"/>
      <c r="C531" s="225"/>
      <c r="D531" s="225"/>
      <c r="E531" s="262"/>
      <c r="F531" s="263"/>
      <c r="G531" s="263"/>
      <c r="H531" s="263"/>
      <c r="I531" s="263"/>
      <c r="J531" s="263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</row>
    <row r="532">
      <c r="A532" s="228"/>
      <c r="B532" s="225"/>
      <c r="C532" s="225"/>
      <c r="D532" s="225"/>
      <c r="E532" s="262"/>
      <c r="F532" s="263"/>
      <c r="G532" s="263"/>
      <c r="H532" s="263"/>
      <c r="I532" s="263"/>
      <c r="J532" s="263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</row>
    <row r="533">
      <c r="A533" s="228"/>
      <c r="B533" s="225"/>
      <c r="C533" s="225"/>
      <c r="D533" s="225"/>
      <c r="E533" s="262"/>
      <c r="F533" s="263"/>
      <c r="G533" s="263"/>
      <c r="H533" s="263"/>
      <c r="I533" s="263"/>
      <c r="J533" s="263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</row>
    <row r="534">
      <c r="A534" s="228"/>
      <c r="B534" s="225"/>
      <c r="C534" s="225"/>
      <c r="D534" s="225"/>
      <c r="E534" s="262"/>
      <c r="F534" s="263"/>
      <c r="G534" s="263"/>
      <c r="H534" s="263"/>
      <c r="I534" s="263"/>
      <c r="J534" s="263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</row>
    <row r="535">
      <c r="A535" s="228"/>
      <c r="B535" s="225"/>
      <c r="C535" s="225"/>
      <c r="D535" s="225"/>
      <c r="E535" s="262"/>
      <c r="F535" s="263"/>
      <c r="G535" s="263"/>
      <c r="H535" s="263"/>
      <c r="I535" s="263"/>
      <c r="J535" s="263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</row>
    <row r="536">
      <c r="A536" s="228"/>
      <c r="B536" s="225"/>
      <c r="C536" s="225"/>
      <c r="D536" s="225"/>
      <c r="E536" s="262"/>
      <c r="F536" s="263"/>
      <c r="G536" s="263"/>
      <c r="H536" s="263"/>
      <c r="I536" s="263"/>
      <c r="J536" s="263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</row>
    <row r="537">
      <c r="A537" s="228"/>
      <c r="B537" s="225"/>
      <c r="C537" s="225"/>
      <c r="D537" s="225"/>
      <c r="E537" s="262"/>
      <c r="F537" s="263"/>
      <c r="G537" s="263"/>
      <c r="H537" s="263"/>
      <c r="I537" s="263"/>
      <c r="J537" s="263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</row>
    <row r="538">
      <c r="A538" s="228"/>
      <c r="B538" s="225"/>
      <c r="C538" s="225"/>
      <c r="D538" s="225"/>
      <c r="E538" s="262"/>
      <c r="F538" s="263"/>
      <c r="G538" s="263"/>
      <c r="H538" s="263"/>
      <c r="I538" s="263"/>
      <c r="J538" s="263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</row>
    <row r="539">
      <c r="A539" s="228"/>
      <c r="B539" s="225"/>
      <c r="C539" s="225"/>
      <c r="D539" s="225"/>
      <c r="E539" s="262"/>
      <c r="F539" s="263"/>
      <c r="G539" s="263"/>
      <c r="H539" s="263"/>
      <c r="I539" s="263"/>
      <c r="J539" s="263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</row>
    <row r="540">
      <c r="A540" s="228"/>
      <c r="B540" s="225"/>
      <c r="C540" s="225"/>
      <c r="D540" s="225"/>
      <c r="E540" s="262"/>
      <c r="F540" s="263"/>
      <c r="G540" s="263"/>
      <c r="H540" s="263"/>
      <c r="I540" s="263"/>
      <c r="J540" s="263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</row>
    <row r="541">
      <c r="A541" s="228"/>
      <c r="B541" s="225"/>
      <c r="C541" s="225"/>
      <c r="D541" s="225"/>
      <c r="E541" s="262"/>
      <c r="F541" s="263"/>
      <c r="G541" s="263"/>
      <c r="H541" s="263"/>
      <c r="I541" s="263"/>
      <c r="J541" s="263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</row>
    <row r="542">
      <c r="A542" s="228"/>
      <c r="B542" s="225"/>
      <c r="C542" s="225"/>
      <c r="D542" s="225"/>
      <c r="E542" s="262"/>
      <c r="F542" s="263"/>
      <c r="G542" s="263"/>
      <c r="H542" s="263"/>
      <c r="I542" s="263"/>
      <c r="J542" s="263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</row>
    <row r="543">
      <c r="A543" s="228"/>
      <c r="B543" s="225"/>
      <c r="C543" s="225"/>
      <c r="D543" s="225"/>
      <c r="E543" s="262"/>
      <c r="F543" s="263"/>
      <c r="G543" s="263"/>
      <c r="H543" s="263"/>
      <c r="I543" s="263"/>
      <c r="J543" s="263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</row>
    <row r="544">
      <c r="A544" s="228"/>
      <c r="B544" s="225"/>
      <c r="C544" s="225"/>
      <c r="D544" s="225"/>
      <c r="E544" s="262"/>
      <c r="F544" s="263"/>
      <c r="G544" s="263"/>
      <c r="H544" s="263"/>
      <c r="I544" s="263"/>
      <c r="J544" s="263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</row>
    <row r="545">
      <c r="A545" s="228"/>
      <c r="B545" s="225"/>
      <c r="C545" s="225"/>
      <c r="D545" s="225"/>
      <c r="E545" s="262"/>
      <c r="F545" s="263"/>
      <c r="G545" s="263"/>
      <c r="H545" s="263"/>
      <c r="I545" s="263"/>
      <c r="J545" s="263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</row>
    <row r="546">
      <c r="A546" s="228"/>
      <c r="B546" s="225"/>
      <c r="C546" s="225"/>
      <c r="D546" s="225"/>
      <c r="E546" s="262"/>
      <c r="F546" s="263"/>
      <c r="G546" s="263"/>
      <c r="H546" s="263"/>
      <c r="I546" s="263"/>
      <c r="J546" s="263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</row>
    <row r="547">
      <c r="A547" s="228"/>
      <c r="B547" s="225"/>
      <c r="C547" s="225"/>
      <c r="D547" s="225"/>
      <c r="E547" s="262"/>
      <c r="F547" s="263"/>
      <c r="G547" s="263"/>
      <c r="H547" s="263"/>
      <c r="I547" s="263"/>
      <c r="J547" s="263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</row>
    <row r="548">
      <c r="A548" s="228"/>
      <c r="B548" s="225"/>
      <c r="C548" s="225"/>
      <c r="D548" s="225"/>
      <c r="E548" s="262"/>
      <c r="F548" s="263"/>
      <c r="G548" s="263"/>
      <c r="H548" s="263"/>
      <c r="I548" s="263"/>
      <c r="J548" s="263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</row>
    <row r="549">
      <c r="A549" s="228"/>
      <c r="B549" s="225"/>
      <c r="C549" s="225"/>
      <c r="D549" s="225"/>
      <c r="E549" s="262"/>
      <c r="F549" s="263"/>
      <c r="G549" s="263"/>
      <c r="H549" s="263"/>
      <c r="I549" s="263"/>
      <c r="J549" s="263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</row>
    <row r="550">
      <c r="A550" s="228"/>
      <c r="B550" s="225"/>
      <c r="C550" s="225"/>
      <c r="D550" s="225"/>
      <c r="E550" s="262"/>
      <c r="F550" s="263"/>
      <c r="G550" s="263"/>
      <c r="H550" s="263"/>
      <c r="I550" s="263"/>
      <c r="J550" s="263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</row>
    <row r="551">
      <c r="A551" s="228"/>
      <c r="B551" s="225"/>
      <c r="C551" s="225"/>
      <c r="D551" s="225"/>
      <c r="E551" s="262"/>
      <c r="F551" s="263"/>
      <c r="G551" s="263"/>
      <c r="H551" s="263"/>
      <c r="I551" s="263"/>
      <c r="J551" s="263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</row>
    <row r="552">
      <c r="A552" s="228"/>
      <c r="B552" s="225"/>
      <c r="C552" s="225"/>
      <c r="D552" s="225"/>
      <c r="E552" s="262"/>
      <c r="F552" s="263"/>
      <c r="G552" s="263"/>
      <c r="H552" s="263"/>
      <c r="I552" s="263"/>
      <c r="J552" s="263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</row>
    <row r="553">
      <c r="A553" s="228"/>
      <c r="B553" s="225"/>
      <c r="C553" s="225"/>
      <c r="D553" s="225"/>
      <c r="E553" s="262"/>
      <c r="F553" s="263"/>
      <c r="G553" s="263"/>
      <c r="H553" s="263"/>
      <c r="I553" s="263"/>
      <c r="J553" s="263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</row>
    <row r="554">
      <c r="A554" s="228"/>
      <c r="B554" s="225"/>
      <c r="C554" s="225"/>
      <c r="D554" s="225"/>
      <c r="E554" s="262"/>
      <c r="F554" s="263"/>
      <c r="G554" s="263"/>
      <c r="H554" s="263"/>
      <c r="I554" s="263"/>
      <c r="J554" s="263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</row>
    <row r="555">
      <c r="A555" s="228"/>
      <c r="B555" s="225"/>
      <c r="C555" s="225"/>
      <c r="D555" s="225"/>
      <c r="E555" s="262"/>
      <c r="F555" s="263"/>
      <c r="G555" s="263"/>
      <c r="H555" s="263"/>
      <c r="I555" s="263"/>
      <c r="J555" s="263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</row>
    <row r="556">
      <c r="A556" s="228"/>
      <c r="B556" s="225"/>
      <c r="C556" s="225"/>
      <c r="D556" s="225"/>
      <c r="E556" s="262"/>
      <c r="F556" s="263"/>
      <c r="G556" s="263"/>
      <c r="H556" s="263"/>
      <c r="I556" s="263"/>
      <c r="J556" s="263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</row>
    <row r="557">
      <c r="A557" s="228"/>
      <c r="B557" s="225"/>
      <c r="C557" s="225"/>
      <c r="D557" s="225"/>
      <c r="E557" s="262"/>
      <c r="F557" s="263"/>
      <c r="G557" s="263"/>
      <c r="H557" s="263"/>
      <c r="I557" s="263"/>
      <c r="J557" s="263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</row>
    <row r="558">
      <c r="A558" s="228"/>
      <c r="B558" s="225"/>
      <c r="C558" s="225"/>
      <c r="D558" s="225"/>
      <c r="E558" s="262"/>
      <c r="F558" s="263"/>
      <c r="G558" s="263"/>
      <c r="H558" s="263"/>
      <c r="I558" s="263"/>
      <c r="J558" s="263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</row>
    <row r="559">
      <c r="A559" s="228"/>
      <c r="B559" s="225"/>
      <c r="C559" s="225"/>
      <c r="D559" s="225"/>
      <c r="E559" s="262"/>
      <c r="F559" s="263"/>
      <c r="G559" s="263"/>
      <c r="H559" s="263"/>
      <c r="I559" s="263"/>
      <c r="J559" s="263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</row>
    <row r="560">
      <c r="A560" s="228"/>
      <c r="B560" s="225"/>
      <c r="C560" s="225"/>
      <c r="D560" s="225"/>
      <c r="E560" s="262"/>
      <c r="F560" s="263"/>
      <c r="G560" s="263"/>
      <c r="H560" s="263"/>
      <c r="I560" s="263"/>
      <c r="J560" s="263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</row>
    <row r="561">
      <c r="A561" s="228"/>
      <c r="B561" s="225"/>
      <c r="C561" s="225"/>
      <c r="D561" s="225"/>
      <c r="E561" s="262"/>
      <c r="F561" s="263"/>
      <c r="G561" s="263"/>
      <c r="H561" s="263"/>
      <c r="I561" s="263"/>
      <c r="J561" s="263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</row>
    <row r="562">
      <c r="A562" s="228"/>
      <c r="B562" s="225"/>
      <c r="C562" s="225"/>
      <c r="D562" s="225"/>
      <c r="E562" s="262"/>
      <c r="F562" s="263"/>
      <c r="G562" s="263"/>
      <c r="H562" s="263"/>
      <c r="I562" s="263"/>
      <c r="J562" s="263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</row>
    <row r="563">
      <c r="A563" s="228"/>
      <c r="B563" s="225"/>
      <c r="C563" s="225"/>
      <c r="D563" s="225"/>
      <c r="E563" s="262"/>
      <c r="F563" s="263"/>
      <c r="G563" s="263"/>
      <c r="H563" s="263"/>
      <c r="I563" s="263"/>
      <c r="J563" s="263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</row>
    <row r="564">
      <c r="A564" s="228"/>
      <c r="B564" s="225"/>
      <c r="C564" s="225"/>
      <c r="D564" s="225"/>
      <c r="E564" s="262"/>
      <c r="F564" s="263"/>
      <c r="G564" s="263"/>
      <c r="H564" s="263"/>
      <c r="I564" s="263"/>
      <c r="J564" s="263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</row>
    <row r="565">
      <c r="A565" s="228"/>
      <c r="B565" s="225"/>
      <c r="C565" s="225"/>
      <c r="D565" s="225"/>
      <c r="E565" s="262"/>
      <c r="F565" s="263"/>
      <c r="G565" s="263"/>
      <c r="H565" s="263"/>
      <c r="I565" s="263"/>
      <c r="J565" s="263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</row>
    <row r="566">
      <c r="A566" s="228"/>
      <c r="B566" s="225"/>
      <c r="C566" s="225"/>
      <c r="D566" s="225"/>
      <c r="E566" s="262"/>
      <c r="F566" s="263"/>
      <c r="G566" s="263"/>
      <c r="H566" s="263"/>
      <c r="I566" s="263"/>
      <c r="J566" s="263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</row>
    <row r="567">
      <c r="A567" s="228"/>
      <c r="B567" s="225"/>
      <c r="C567" s="225"/>
      <c r="D567" s="225"/>
      <c r="E567" s="262"/>
      <c r="F567" s="263"/>
      <c r="G567" s="263"/>
      <c r="H567" s="263"/>
      <c r="I567" s="263"/>
      <c r="J567" s="263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</row>
    <row r="568">
      <c r="A568" s="228"/>
      <c r="B568" s="225"/>
      <c r="C568" s="225"/>
      <c r="D568" s="225"/>
      <c r="E568" s="262"/>
      <c r="F568" s="263"/>
      <c r="G568" s="263"/>
      <c r="H568" s="263"/>
      <c r="I568" s="263"/>
      <c r="J568" s="263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</row>
    <row r="569">
      <c r="A569" s="228"/>
      <c r="B569" s="225"/>
      <c r="C569" s="225"/>
      <c r="D569" s="225"/>
      <c r="E569" s="262"/>
      <c r="F569" s="263"/>
      <c r="G569" s="263"/>
      <c r="H569" s="263"/>
      <c r="I569" s="263"/>
      <c r="J569" s="263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</row>
    <row r="570">
      <c r="A570" s="228"/>
      <c r="B570" s="225"/>
      <c r="C570" s="225"/>
      <c r="D570" s="225"/>
      <c r="E570" s="262"/>
      <c r="F570" s="263"/>
      <c r="G570" s="263"/>
      <c r="H570" s="263"/>
      <c r="I570" s="263"/>
      <c r="J570" s="263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</row>
    <row r="571">
      <c r="A571" s="228"/>
      <c r="B571" s="225"/>
      <c r="C571" s="225"/>
      <c r="D571" s="225"/>
      <c r="E571" s="262"/>
      <c r="F571" s="263"/>
      <c r="G571" s="263"/>
      <c r="H571" s="263"/>
      <c r="I571" s="263"/>
      <c r="J571" s="263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</row>
    <row r="572">
      <c r="A572" s="228"/>
      <c r="B572" s="225"/>
      <c r="C572" s="225"/>
      <c r="D572" s="225"/>
      <c r="E572" s="262"/>
      <c r="F572" s="263"/>
      <c r="G572" s="263"/>
      <c r="H572" s="263"/>
      <c r="I572" s="263"/>
      <c r="J572" s="263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</row>
    <row r="573">
      <c r="A573" s="228"/>
      <c r="B573" s="225"/>
      <c r="C573" s="225"/>
      <c r="D573" s="225"/>
      <c r="E573" s="262"/>
      <c r="F573" s="263"/>
      <c r="G573" s="263"/>
      <c r="H573" s="263"/>
      <c r="I573" s="263"/>
      <c r="J573" s="263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</row>
    <row r="574">
      <c r="A574" s="228"/>
      <c r="B574" s="225"/>
      <c r="C574" s="225"/>
      <c r="D574" s="225"/>
      <c r="E574" s="262"/>
      <c r="F574" s="263"/>
      <c r="G574" s="263"/>
      <c r="H574" s="263"/>
      <c r="I574" s="263"/>
      <c r="J574" s="263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</row>
    <row r="575">
      <c r="A575" s="228"/>
      <c r="B575" s="225"/>
      <c r="C575" s="225"/>
      <c r="D575" s="225"/>
      <c r="E575" s="262"/>
      <c r="F575" s="263"/>
      <c r="G575" s="263"/>
      <c r="H575" s="263"/>
      <c r="I575" s="263"/>
      <c r="J575" s="263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</row>
    <row r="576">
      <c r="A576" s="228"/>
      <c r="B576" s="225"/>
      <c r="C576" s="225"/>
      <c r="D576" s="225"/>
      <c r="E576" s="262"/>
      <c r="F576" s="263"/>
      <c r="G576" s="263"/>
      <c r="H576" s="263"/>
      <c r="I576" s="263"/>
      <c r="J576" s="263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</row>
    <row r="577">
      <c r="A577" s="228"/>
      <c r="B577" s="225"/>
      <c r="C577" s="225"/>
      <c r="D577" s="225"/>
      <c r="E577" s="262"/>
      <c r="F577" s="263"/>
      <c r="G577" s="263"/>
      <c r="H577" s="263"/>
      <c r="I577" s="263"/>
      <c r="J577" s="263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</row>
    <row r="578">
      <c r="A578" s="228"/>
      <c r="B578" s="225"/>
      <c r="C578" s="225"/>
      <c r="D578" s="225"/>
      <c r="E578" s="262"/>
      <c r="F578" s="263"/>
      <c r="G578" s="263"/>
      <c r="H578" s="263"/>
      <c r="I578" s="263"/>
      <c r="J578" s="263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</row>
    <row r="579">
      <c r="A579" s="228"/>
      <c r="B579" s="225"/>
      <c r="C579" s="225"/>
      <c r="D579" s="225"/>
      <c r="E579" s="262"/>
      <c r="F579" s="263"/>
      <c r="G579" s="263"/>
      <c r="H579" s="263"/>
      <c r="I579" s="263"/>
      <c r="J579" s="263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</row>
    <row r="580">
      <c r="A580" s="228"/>
      <c r="B580" s="225"/>
      <c r="C580" s="225"/>
      <c r="D580" s="225"/>
      <c r="E580" s="262"/>
      <c r="F580" s="263"/>
      <c r="G580" s="263"/>
      <c r="H580" s="263"/>
      <c r="I580" s="263"/>
      <c r="J580" s="263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</row>
    <row r="581">
      <c r="A581" s="228"/>
      <c r="B581" s="225"/>
      <c r="C581" s="225"/>
      <c r="D581" s="225"/>
      <c r="E581" s="262"/>
      <c r="F581" s="263"/>
      <c r="G581" s="263"/>
      <c r="H581" s="263"/>
      <c r="I581" s="263"/>
      <c r="J581" s="263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</row>
    <row r="582">
      <c r="A582" s="228"/>
      <c r="B582" s="225"/>
      <c r="C582" s="225"/>
      <c r="D582" s="225"/>
      <c r="E582" s="262"/>
      <c r="F582" s="263"/>
      <c r="G582" s="263"/>
      <c r="H582" s="263"/>
      <c r="I582" s="263"/>
      <c r="J582" s="263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</row>
    <row r="583">
      <c r="A583" s="228"/>
      <c r="B583" s="225"/>
      <c r="C583" s="225"/>
      <c r="D583" s="225"/>
      <c r="E583" s="262"/>
      <c r="F583" s="263"/>
      <c r="G583" s="263"/>
      <c r="H583" s="263"/>
      <c r="I583" s="263"/>
      <c r="J583" s="263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</row>
    <row r="584">
      <c r="A584" s="228"/>
      <c r="B584" s="225"/>
      <c r="C584" s="225"/>
      <c r="D584" s="225"/>
      <c r="E584" s="262"/>
      <c r="F584" s="263"/>
      <c r="G584" s="263"/>
      <c r="H584" s="263"/>
      <c r="I584" s="263"/>
      <c r="J584" s="263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</row>
    <row r="585">
      <c r="A585" s="228"/>
      <c r="B585" s="225"/>
      <c r="C585" s="225"/>
      <c r="D585" s="225"/>
      <c r="E585" s="262"/>
      <c r="F585" s="263"/>
      <c r="G585" s="263"/>
      <c r="H585" s="263"/>
      <c r="I585" s="263"/>
      <c r="J585" s="263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</row>
    <row r="586">
      <c r="A586" s="228"/>
      <c r="B586" s="225"/>
      <c r="C586" s="225"/>
      <c r="D586" s="225"/>
      <c r="E586" s="262"/>
      <c r="F586" s="263"/>
      <c r="G586" s="263"/>
      <c r="H586" s="263"/>
      <c r="I586" s="263"/>
      <c r="J586" s="263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</row>
    <row r="587">
      <c r="A587" s="228"/>
      <c r="B587" s="225"/>
      <c r="C587" s="225"/>
      <c r="D587" s="225"/>
      <c r="E587" s="262"/>
      <c r="F587" s="263"/>
      <c r="G587" s="263"/>
      <c r="H587" s="263"/>
      <c r="I587" s="263"/>
      <c r="J587" s="263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</row>
    <row r="588">
      <c r="A588" s="228"/>
      <c r="B588" s="225"/>
      <c r="C588" s="225"/>
      <c r="D588" s="225"/>
      <c r="E588" s="262"/>
      <c r="F588" s="263"/>
      <c r="G588" s="263"/>
      <c r="H588" s="263"/>
      <c r="I588" s="263"/>
      <c r="J588" s="263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</row>
    <row r="589">
      <c r="A589" s="228"/>
      <c r="B589" s="225"/>
      <c r="C589" s="225"/>
      <c r="D589" s="225"/>
      <c r="E589" s="262"/>
      <c r="F589" s="263"/>
      <c r="G589" s="263"/>
      <c r="H589" s="263"/>
      <c r="I589" s="263"/>
      <c r="J589" s="263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</row>
    <row r="590">
      <c r="A590" s="228"/>
      <c r="B590" s="225"/>
      <c r="C590" s="225"/>
      <c r="D590" s="225"/>
      <c r="E590" s="262"/>
      <c r="F590" s="263"/>
      <c r="G590" s="263"/>
      <c r="H590" s="263"/>
      <c r="I590" s="263"/>
      <c r="J590" s="263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</row>
    <row r="591">
      <c r="A591" s="228"/>
      <c r="B591" s="225"/>
      <c r="C591" s="225"/>
      <c r="D591" s="225"/>
      <c r="E591" s="262"/>
      <c r="F591" s="263"/>
      <c r="G591" s="263"/>
      <c r="H591" s="263"/>
      <c r="I591" s="263"/>
      <c r="J591" s="263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</row>
    <row r="592">
      <c r="A592" s="228"/>
      <c r="B592" s="225"/>
      <c r="C592" s="225"/>
      <c r="D592" s="225"/>
      <c r="E592" s="262"/>
      <c r="F592" s="263"/>
      <c r="G592" s="263"/>
      <c r="H592" s="263"/>
      <c r="I592" s="263"/>
      <c r="J592" s="263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</row>
    <row r="593">
      <c r="A593" s="228"/>
      <c r="B593" s="225"/>
      <c r="C593" s="225"/>
      <c r="D593" s="225"/>
      <c r="E593" s="262"/>
      <c r="F593" s="263"/>
      <c r="G593" s="263"/>
      <c r="H593" s="263"/>
      <c r="I593" s="263"/>
      <c r="J593" s="263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</row>
    <row r="594">
      <c r="A594" s="228"/>
      <c r="B594" s="225"/>
      <c r="C594" s="225"/>
      <c r="D594" s="225"/>
      <c r="E594" s="262"/>
      <c r="F594" s="263"/>
      <c r="G594" s="263"/>
      <c r="H594" s="263"/>
      <c r="I594" s="263"/>
      <c r="J594" s="263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</row>
    <row r="595">
      <c r="A595" s="228"/>
      <c r="B595" s="225"/>
      <c r="C595" s="225"/>
      <c r="D595" s="225"/>
      <c r="E595" s="262"/>
      <c r="F595" s="263"/>
      <c r="G595" s="263"/>
      <c r="H595" s="263"/>
      <c r="I595" s="263"/>
      <c r="J595" s="263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</row>
    <row r="596">
      <c r="A596" s="228"/>
      <c r="B596" s="225"/>
      <c r="C596" s="225"/>
      <c r="D596" s="225"/>
      <c r="E596" s="262"/>
      <c r="F596" s="263"/>
      <c r="G596" s="263"/>
      <c r="H596" s="263"/>
      <c r="I596" s="263"/>
      <c r="J596" s="263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</row>
    <row r="597">
      <c r="A597" s="228"/>
      <c r="B597" s="225"/>
      <c r="C597" s="225"/>
      <c r="D597" s="225"/>
      <c r="E597" s="262"/>
      <c r="F597" s="263"/>
      <c r="G597" s="263"/>
      <c r="H597" s="263"/>
      <c r="I597" s="263"/>
      <c r="J597" s="263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</row>
    <row r="598">
      <c r="A598" s="228"/>
      <c r="B598" s="225"/>
      <c r="C598" s="225"/>
      <c r="D598" s="225"/>
      <c r="E598" s="262"/>
      <c r="F598" s="263"/>
      <c r="G598" s="263"/>
      <c r="H598" s="263"/>
      <c r="I598" s="263"/>
      <c r="J598" s="263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</row>
    <row r="599">
      <c r="A599" s="228"/>
      <c r="B599" s="225"/>
      <c r="C599" s="225"/>
      <c r="D599" s="225"/>
      <c r="E599" s="262"/>
      <c r="F599" s="263"/>
      <c r="G599" s="263"/>
      <c r="H599" s="263"/>
      <c r="I599" s="263"/>
      <c r="J599" s="263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</row>
    <row r="600">
      <c r="A600" s="228"/>
      <c r="B600" s="225"/>
      <c r="C600" s="225"/>
      <c r="D600" s="225"/>
      <c r="E600" s="262"/>
      <c r="F600" s="263"/>
      <c r="G600" s="263"/>
      <c r="H600" s="263"/>
      <c r="I600" s="263"/>
      <c r="J600" s="263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</row>
    <row r="601">
      <c r="A601" s="228"/>
      <c r="B601" s="225"/>
      <c r="C601" s="225"/>
      <c r="D601" s="225"/>
      <c r="E601" s="262"/>
      <c r="F601" s="263"/>
      <c r="G601" s="263"/>
      <c r="H601" s="263"/>
      <c r="I601" s="263"/>
      <c r="J601" s="263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</row>
    <row r="602">
      <c r="A602" s="228"/>
      <c r="B602" s="225"/>
      <c r="C602" s="225"/>
      <c r="D602" s="225"/>
      <c r="E602" s="262"/>
      <c r="F602" s="263"/>
      <c r="G602" s="263"/>
      <c r="H602" s="263"/>
      <c r="I602" s="263"/>
      <c r="J602" s="263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</row>
    <row r="603">
      <c r="A603" s="228"/>
      <c r="B603" s="225"/>
      <c r="C603" s="225"/>
      <c r="D603" s="225"/>
      <c r="E603" s="262"/>
      <c r="F603" s="263"/>
      <c r="G603" s="263"/>
      <c r="H603" s="263"/>
      <c r="I603" s="263"/>
      <c r="J603" s="263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</row>
    <row r="604">
      <c r="A604" s="228"/>
      <c r="B604" s="225"/>
      <c r="C604" s="225"/>
      <c r="D604" s="225"/>
      <c r="E604" s="262"/>
      <c r="F604" s="263"/>
      <c r="G604" s="263"/>
      <c r="H604" s="263"/>
      <c r="I604" s="263"/>
      <c r="J604" s="263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</row>
    <row r="605">
      <c r="A605" s="228"/>
      <c r="B605" s="225"/>
      <c r="C605" s="225"/>
      <c r="D605" s="225"/>
      <c r="E605" s="262"/>
      <c r="F605" s="263"/>
      <c r="G605" s="263"/>
      <c r="H605" s="263"/>
      <c r="I605" s="263"/>
      <c r="J605" s="263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</row>
    <row r="606">
      <c r="A606" s="228"/>
      <c r="B606" s="225"/>
      <c r="C606" s="225"/>
      <c r="D606" s="225"/>
      <c r="E606" s="262"/>
      <c r="F606" s="263"/>
      <c r="G606" s="263"/>
      <c r="H606" s="263"/>
      <c r="I606" s="263"/>
      <c r="J606" s="263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</row>
    <row r="607">
      <c r="A607" s="228"/>
      <c r="B607" s="225"/>
      <c r="C607" s="225"/>
      <c r="D607" s="225"/>
      <c r="E607" s="262"/>
      <c r="F607" s="263"/>
      <c r="G607" s="263"/>
      <c r="H607" s="263"/>
      <c r="I607" s="263"/>
      <c r="J607" s="263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</row>
    <row r="608">
      <c r="A608" s="228"/>
      <c r="B608" s="225"/>
      <c r="C608" s="225"/>
      <c r="D608" s="225"/>
      <c r="E608" s="262"/>
      <c r="F608" s="263"/>
      <c r="G608" s="263"/>
      <c r="H608" s="263"/>
      <c r="I608" s="263"/>
      <c r="J608" s="263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</row>
    <row r="609">
      <c r="A609" s="228"/>
      <c r="B609" s="225"/>
      <c r="C609" s="225"/>
      <c r="D609" s="225"/>
      <c r="E609" s="262"/>
      <c r="F609" s="263"/>
      <c r="G609" s="263"/>
      <c r="H609" s="263"/>
      <c r="I609" s="263"/>
      <c r="J609" s="263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</row>
    <row r="610">
      <c r="A610" s="228"/>
      <c r="B610" s="225"/>
      <c r="C610" s="225"/>
      <c r="D610" s="225"/>
      <c r="E610" s="262"/>
      <c r="F610" s="263"/>
      <c r="G610" s="263"/>
      <c r="H610" s="263"/>
      <c r="I610" s="263"/>
      <c r="J610" s="263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</row>
    <row r="611">
      <c r="A611" s="228"/>
      <c r="B611" s="225"/>
      <c r="C611" s="225"/>
      <c r="D611" s="225"/>
      <c r="E611" s="262"/>
      <c r="F611" s="263"/>
      <c r="G611" s="263"/>
      <c r="H611" s="263"/>
      <c r="I611" s="263"/>
      <c r="J611" s="263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</row>
    <row r="612">
      <c r="A612" s="228"/>
      <c r="B612" s="225"/>
      <c r="C612" s="225"/>
      <c r="D612" s="225"/>
      <c r="E612" s="262"/>
      <c r="F612" s="263"/>
      <c r="G612" s="263"/>
      <c r="H612" s="263"/>
      <c r="I612" s="263"/>
      <c r="J612" s="263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</row>
    <row r="613">
      <c r="A613" s="228"/>
      <c r="B613" s="225"/>
      <c r="C613" s="225"/>
      <c r="D613" s="225"/>
      <c r="E613" s="262"/>
      <c r="F613" s="263"/>
      <c r="G613" s="263"/>
      <c r="H613" s="263"/>
      <c r="I613" s="263"/>
      <c r="J613" s="263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</row>
    <row r="614">
      <c r="A614" s="228"/>
      <c r="B614" s="225"/>
      <c r="C614" s="225"/>
      <c r="D614" s="225"/>
      <c r="E614" s="262"/>
      <c r="F614" s="263"/>
      <c r="G614" s="263"/>
      <c r="H614" s="263"/>
      <c r="I614" s="263"/>
      <c r="J614" s="263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</row>
    <row r="615">
      <c r="A615" s="228"/>
      <c r="B615" s="225"/>
      <c r="C615" s="225"/>
      <c r="D615" s="225"/>
      <c r="E615" s="262"/>
      <c r="F615" s="263"/>
      <c r="G615" s="263"/>
      <c r="H615" s="263"/>
      <c r="I615" s="263"/>
      <c r="J615" s="263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</row>
    <row r="616">
      <c r="A616" s="228"/>
      <c r="B616" s="225"/>
      <c r="C616" s="225"/>
      <c r="D616" s="225"/>
      <c r="E616" s="262"/>
      <c r="F616" s="263"/>
      <c r="G616" s="263"/>
      <c r="H616" s="263"/>
      <c r="I616" s="263"/>
      <c r="J616" s="263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</row>
    <row r="617">
      <c r="A617" s="228"/>
      <c r="B617" s="225"/>
      <c r="C617" s="225"/>
      <c r="D617" s="225"/>
      <c r="E617" s="262"/>
      <c r="F617" s="263"/>
      <c r="G617" s="263"/>
      <c r="H617" s="263"/>
      <c r="I617" s="263"/>
      <c r="J617" s="263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</row>
    <row r="618">
      <c r="A618" s="228"/>
      <c r="B618" s="225"/>
      <c r="C618" s="225"/>
      <c r="D618" s="225"/>
      <c r="E618" s="262"/>
      <c r="F618" s="263"/>
      <c r="G618" s="263"/>
      <c r="H618" s="263"/>
      <c r="I618" s="263"/>
      <c r="J618" s="263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</row>
    <row r="619">
      <c r="A619" s="228"/>
      <c r="B619" s="225"/>
      <c r="C619" s="225"/>
      <c r="D619" s="225"/>
      <c r="E619" s="262"/>
      <c r="F619" s="263"/>
      <c r="G619" s="263"/>
      <c r="H619" s="263"/>
      <c r="I619" s="263"/>
      <c r="J619" s="263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</row>
    <row r="620">
      <c r="A620" s="228"/>
      <c r="B620" s="225"/>
      <c r="C620" s="225"/>
      <c r="D620" s="225"/>
      <c r="E620" s="262"/>
      <c r="F620" s="263"/>
      <c r="G620" s="263"/>
      <c r="H620" s="263"/>
      <c r="I620" s="263"/>
      <c r="J620" s="263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</row>
    <row r="621">
      <c r="A621" s="228"/>
      <c r="B621" s="225"/>
      <c r="C621" s="225"/>
      <c r="D621" s="225"/>
      <c r="E621" s="262"/>
      <c r="F621" s="263"/>
      <c r="G621" s="263"/>
      <c r="H621" s="263"/>
      <c r="I621" s="263"/>
      <c r="J621" s="263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</row>
    <row r="622">
      <c r="A622" s="228"/>
      <c r="B622" s="225"/>
      <c r="C622" s="225"/>
      <c r="D622" s="225"/>
      <c r="E622" s="262"/>
      <c r="F622" s="263"/>
      <c r="G622" s="263"/>
      <c r="H622" s="263"/>
      <c r="I622" s="263"/>
      <c r="J622" s="263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</row>
    <row r="623">
      <c r="A623" s="228"/>
      <c r="B623" s="225"/>
      <c r="C623" s="225"/>
      <c r="D623" s="225"/>
      <c r="E623" s="262"/>
      <c r="F623" s="263"/>
      <c r="G623" s="263"/>
      <c r="H623" s="263"/>
      <c r="I623" s="263"/>
      <c r="J623" s="263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</row>
    <row r="624">
      <c r="A624" s="228"/>
      <c r="B624" s="225"/>
      <c r="C624" s="225"/>
      <c r="D624" s="225"/>
      <c r="E624" s="262"/>
      <c r="F624" s="263"/>
      <c r="G624" s="263"/>
      <c r="H624" s="263"/>
      <c r="I624" s="263"/>
      <c r="J624" s="263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</row>
    <row r="625">
      <c r="A625" s="228"/>
      <c r="B625" s="225"/>
      <c r="C625" s="225"/>
      <c r="D625" s="225"/>
      <c r="E625" s="262"/>
      <c r="F625" s="263"/>
      <c r="G625" s="263"/>
      <c r="H625" s="263"/>
      <c r="I625" s="263"/>
      <c r="J625" s="263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</row>
    <row r="626">
      <c r="A626" s="228"/>
      <c r="B626" s="225"/>
      <c r="C626" s="225"/>
      <c r="D626" s="225"/>
      <c r="E626" s="262"/>
      <c r="F626" s="263"/>
      <c r="G626" s="263"/>
      <c r="H626" s="263"/>
      <c r="I626" s="263"/>
      <c r="J626" s="263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</row>
    <row r="627">
      <c r="A627" s="228"/>
      <c r="B627" s="225"/>
      <c r="C627" s="225"/>
      <c r="D627" s="225"/>
      <c r="E627" s="262"/>
      <c r="F627" s="263"/>
      <c r="G627" s="263"/>
      <c r="H627" s="263"/>
      <c r="I627" s="263"/>
      <c r="J627" s="263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</row>
    <row r="628">
      <c r="A628" s="228"/>
      <c r="B628" s="225"/>
      <c r="C628" s="225"/>
      <c r="D628" s="225"/>
      <c r="E628" s="262"/>
      <c r="F628" s="263"/>
      <c r="G628" s="263"/>
      <c r="H628" s="263"/>
      <c r="I628" s="263"/>
      <c r="J628" s="263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</row>
    <row r="629">
      <c r="A629" s="228"/>
      <c r="B629" s="225"/>
      <c r="C629" s="225"/>
      <c r="D629" s="225"/>
      <c r="E629" s="262"/>
      <c r="F629" s="263"/>
      <c r="G629" s="263"/>
      <c r="H629" s="263"/>
      <c r="I629" s="263"/>
      <c r="J629" s="263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</row>
    <row r="630">
      <c r="A630" s="228"/>
      <c r="B630" s="225"/>
      <c r="C630" s="225"/>
      <c r="D630" s="225"/>
      <c r="E630" s="262"/>
      <c r="F630" s="263"/>
      <c r="G630" s="263"/>
      <c r="H630" s="263"/>
      <c r="I630" s="263"/>
      <c r="J630" s="263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</row>
    <row r="631">
      <c r="A631" s="228"/>
      <c r="B631" s="225"/>
      <c r="C631" s="225"/>
      <c r="D631" s="225"/>
      <c r="E631" s="262"/>
      <c r="F631" s="263"/>
      <c r="G631" s="263"/>
      <c r="H631" s="263"/>
      <c r="I631" s="263"/>
      <c r="J631" s="263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</row>
    <row r="632">
      <c r="A632" s="228"/>
      <c r="B632" s="225"/>
      <c r="C632" s="225"/>
      <c r="D632" s="225"/>
      <c r="E632" s="262"/>
      <c r="F632" s="263"/>
      <c r="G632" s="263"/>
      <c r="H632" s="263"/>
      <c r="I632" s="263"/>
      <c r="J632" s="263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</row>
    <row r="633">
      <c r="A633" s="228"/>
      <c r="B633" s="225"/>
      <c r="C633" s="225"/>
      <c r="D633" s="225"/>
      <c r="E633" s="262"/>
      <c r="F633" s="263"/>
      <c r="G633" s="263"/>
      <c r="H633" s="263"/>
      <c r="I633" s="263"/>
      <c r="J633" s="263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</row>
    <row r="634">
      <c r="A634" s="228"/>
      <c r="B634" s="225"/>
      <c r="C634" s="225"/>
      <c r="D634" s="225"/>
      <c r="E634" s="262"/>
      <c r="F634" s="263"/>
      <c r="G634" s="263"/>
      <c r="H634" s="263"/>
      <c r="I634" s="263"/>
      <c r="J634" s="263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</row>
    <row r="635">
      <c r="A635" s="228"/>
      <c r="B635" s="225"/>
      <c r="C635" s="225"/>
      <c r="D635" s="225"/>
      <c r="E635" s="262"/>
      <c r="F635" s="263"/>
      <c r="G635" s="263"/>
      <c r="H635" s="263"/>
      <c r="I635" s="263"/>
      <c r="J635" s="263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</row>
    <row r="636">
      <c r="A636" s="228"/>
      <c r="B636" s="225"/>
      <c r="C636" s="225"/>
      <c r="D636" s="225"/>
      <c r="E636" s="262"/>
      <c r="F636" s="263"/>
      <c r="G636" s="263"/>
      <c r="H636" s="263"/>
      <c r="I636" s="263"/>
      <c r="J636" s="263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</row>
    <row r="637">
      <c r="A637" s="228"/>
      <c r="B637" s="225"/>
      <c r="C637" s="225"/>
      <c r="D637" s="225"/>
      <c r="E637" s="262"/>
      <c r="F637" s="263"/>
      <c r="G637" s="263"/>
      <c r="H637" s="263"/>
      <c r="I637" s="263"/>
      <c r="J637" s="263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</row>
    <row r="638">
      <c r="A638" s="228"/>
      <c r="B638" s="225"/>
      <c r="C638" s="225"/>
      <c r="D638" s="225"/>
      <c r="E638" s="262"/>
      <c r="F638" s="263"/>
      <c r="G638" s="263"/>
      <c r="H638" s="263"/>
      <c r="I638" s="263"/>
      <c r="J638" s="263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</row>
    <row r="639">
      <c r="A639" s="228"/>
      <c r="B639" s="225"/>
      <c r="C639" s="225"/>
      <c r="D639" s="225"/>
      <c r="E639" s="262"/>
      <c r="F639" s="263"/>
      <c r="G639" s="263"/>
      <c r="H639" s="263"/>
      <c r="I639" s="263"/>
      <c r="J639" s="263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</row>
    <row r="640">
      <c r="A640" s="228"/>
      <c r="B640" s="225"/>
      <c r="C640" s="225"/>
      <c r="D640" s="225"/>
      <c r="E640" s="262"/>
      <c r="F640" s="263"/>
      <c r="G640" s="263"/>
      <c r="H640" s="263"/>
      <c r="I640" s="263"/>
      <c r="J640" s="263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</row>
    <row r="641">
      <c r="A641" s="228"/>
      <c r="B641" s="225"/>
      <c r="C641" s="225"/>
      <c r="D641" s="225"/>
      <c r="E641" s="262"/>
      <c r="F641" s="263"/>
      <c r="G641" s="263"/>
      <c r="H641" s="263"/>
      <c r="I641" s="263"/>
      <c r="J641" s="263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</row>
    <row r="642">
      <c r="A642" s="228"/>
      <c r="B642" s="225"/>
      <c r="C642" s="225"/>
      <c r="D642" s="225"/>
      <c r="E642" s="262"/>
      <c r="F642" s="263"/>
      <c r="G642" s="263"/>
      <c r="H642" s="263"/>
      <c r="I642" s="263"/>
      <c r="J642" s="263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</row>
    <row r="643">
      <c r="A643" s="228"/>
      <c r="B643" s="225"/>
      <c r="C643" s="225"/>
      <c r="D643" s="225"/>
      <c r="E643" s="262"/>
      <c r="F643" s="263"/>
      <c r="G643" s="263"/>
      <c r="H643" s="263"/>
      <c r="I643" s="263"/>
      <c r="J643" s="263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</row>
    <row r="644">
      <c r="A644" s="228"/>
      <c r="B644" s="225"/>
      <c r="C644" s="225"/>
      <c r="D644" s="225"/>
      <c r="E644" s="262"/>
      <c r="F644" s="263"/>
      <c r="G644" s="263"/>
      <c r="H644" s="263"/>
      <c r="I644" s="263"/>
      <c r="J644" s="263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</row>
    <row r="645">
      <c r="A645" s="228"/>
      <c r="B645" s="225"/>
      <c r="C645" s="225"/>
      <c r="D645" s="225"/>
      <c r="E645" s="262"/>
      <c r="F645" s="263"/>
      <c r="G645" s="263"/>
      <c r="H645" s="263"/>
      <c r="I645" s="263"/>
      <c r="J645" s="263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</row>
    <row r="646">
      <c r="A646" s="228"/>
      <c r="B646" s="225"/>
      <c r="C646" s="225"/>
      <c r="D646" s="225"/>
      <c r="E646" s="262"/>
      <c r="F646" s="263"/>
      <c r="G646" s="263"/>
      <c r="H646" s="263"/>
      <c r="I646" s="263"/>
      <c r="J646" s="263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</row>
    <row r="647">
      <c r="A647" s="228"/>
      <c r="B647" s="225"/>
      <c r="C647" s="225"/>
      <c r="D647" s="225"/>
      <c r="E647" s="262"/>
      <c r="F647" s="263"/>
      <c r="G647" s="263"/>
      <c r="H647" s="263"/>
      <c r="I647" s="263"/>
      <c r="J647" s="263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</row>
    <row r="648">
      <c r="A648" s="228"/>
      <c r="B648" s="225"/>
      <c r="C648" s="225"/>
      <c r="D648" s="225"/>
      <c r="E648" s="262"/>
      <c r="F648" s="263"/>
      <c r="G648" s="263"/>
      <c r="H648" s="263"/>
      <c r="I648" s="263"/>
      <c r="J648" s="263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</row>
    <row r="649">
      <c r="A649" s="228"/>
      <c r="B649" s="225"/>
      <c r="C649" s="225"/>
      <c r="D649" s="225"/>
      <c r="E649" s="262"/>
      <c r="F649" s="263"/>
      <c r="G649" s="263"/>
      <c r="H649" s="263"/>
      <c r="I649" s="263"/>
      <c r="J649" s="263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</row>
    <row r="650">
      <c r="A650" s="228"/>
      <c r="B650" s="225"/>
      <c r="C650" s="225"/>
      <c r="D650" s="225"/>
      <c r="E650" s="262"/>
      <c r="F650" s="263"/>
      <c r="G650" s="263"/>
      <c r="H650" s="263"/>
      <c r="I650" s="263"/>
      <c r="J650" s="263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</row>
    <row r="651">
      <c r="A651" s="228"/>
      <c r="B651" s="225"/>
      <c r="C651" s="225"/>
      <c r="D651" s="225"/>
      <c r="E651" s="262"/>
      <c r="F651" s="263"/>
      <c r="G651" s="263"/>
      <c r="H651" s="263"/>
      <c r="I651" s="263"/>
      <c r="J651" s="263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</row>
    <row r="652">
      <c r="A652" s="228"/>
      <c r="B652" s="225"/>
      <c r="C652" s="225"/>
      <c r="D652" s="225"/>
      <c r="E652" s="262"/>
      <c r="F652" s="263"/>
      <c r="G652" s="263"/>
      <c r="H652" s="263"/>
      <c r="I652" s="263"/>
      <c r="J652" s="263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</row>
    <row r="653">
      <c r="A653" s="228"/>
      <c r="B653" s="225"/>
      <c r="C653" s="225"/>
      <c r="D653" s="225"/>
      <c r="E653" s="262"/>
      <c r="F653" s="263"/>
      <c r="G653" s="263"/>
      <c r="H653" s="263"/>
      <c r="I653" s="263"/>
      <c r="J653" s="263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</row>
    <row r="654">
      <c r="A654" s="228"/>
      <c r="B654" s="225"/>
      <c r="C654" s="225"/>
      <c r="D654" s="225"/>
      <c r="E654" s="262"/>
      <c r="F654" s="263"/>
      <c r="G654" s="263"/>
      <c r="H654" s="263"/>
      <c r="I654" s="263"/>
      <c r="J654" s="263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</row>
    <row r="655">
      <c r="A655" s="228"/>
      <c r="B655" s="225"/>
      <c r="C655" s="225"/>
      <c r="D655" s="225"/>
      <c r="E655" s="262"/>
      <c r="F655" s="263"/>
      <c r="G655" s="263"/>
      <c r="H655" s="263"/>
      <c r="I655" s="263"/>
      <c r="J655" s="263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</row>
    <row r="656">
      <c r="A656" s="228"/>
      <c r="B656" s="225"/>
      <c r="C656" s="225"/>
      <c r="D656" s="225"/>
      <c r="E656" s="262"/>
      <c r="F656" s="263"/>
      <c r="G656" s="263"/>
      <c r="H656" s="263"/>
      <c r="I656" s="263"/>
      <c r="J656" s="263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</row>
    <row r="657">
      <c r="A657" s="228"/>
      <c r="B657" s="225"/>
      <c r="C657" s="225"/>
      <c r="D657" s="225"/>
      <c r="E657" s="262"/>
      <c r="F657" s="263"/>
      <c r="G657" s="263"/>
      <c r="H657" s="263"/>
      <c r="I657" s="263"/>
      <c r="J657" s="263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</row>
    <row r="658">
      <c r="A658" s="228"/>
      <c r="B658" s="225"/>
      <c r="C658" s="225"/>
      <c r="D658" s="225"/>
      <c r="E658" s="262"/>
      <c r="F658" s="263"/>
      <c r="G658" s="263"/>
      <c r="H658" s="263"/>
      <c r="I658" s="263"/>
      <c r="J658" s="263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</row>
    <row r="659">
      <c r="A659" s="228"/>
      <c r="B659" s="225"/>
      <c r="C659" s="225"/>
      <c r="D659" s="225"/>
      <c r="E659" s="262"/>
      <c r="F659" s="263"/>
      <c r="G659" s="263"/>
      <c r="H659" s="263"/>
      <c r="I659" s="263"/>
      <c r="J659" s="263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</row>
    <row r="660">
      <c r="A660" s="228"/>
      <c r="B660" s="225"/>
      <c r="C660" s="225"/>
      <c r="D660" s="225"/>
      <c r="E660" s="262"/>
      <c r="F660" s="263"/>
      <c r="G660" s="263"/>
      <c r="H660" s="263"/>
      <c r="I660" s="263"/>
      <c r="J660" s="263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</row>
    <row r="661">
      <c r="A661" s="228"/>
      <c r="B661" s="225"/>
      <c r="C661" s="225"/>
      <c r="D661" s="225"/>
      <c r="E661" s="262"/>
      <c r="F661" s="263"/>
      <c r="G661" s="263"/>
      <c r="H661" s="263"/>
      <c r="I661" s="263"/>
      <c r="J661" s="263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</row>
    <row r="662">
      <c r="A662" s="228"/>
      <c r="B662" s="225"/>
      <c r="C662" s="225"/>
      <c r="D662" s="225"/>
      <c r="E662" s="262"/>
      <c r="F662" s="263"/>
      <c r="G662" s="263"/>
      <c r="H662" s="263"/>
      <c r="I662" s="263"/>
      <c r="J662" s="263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</row>
    <row r="663">
      <c r="A663" s="228"/>
      <c r="B663" s="225"/>
      <c r="C663" s="225"/>
      <c r="D663" s="225"/>
      <c r="E663" s="262"/>
      <c r="F663" s="263"/>
      <c r="G663" s="263"/>
      <c r="H663" s="263"/>
      <c r="I663" s="263"/>
      <c r="J663" s="263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</row>
    <row r="664">
      <c r="A664" s="228"/>
      <c r="B664" s="225"/>
      <c r="C664" s="225"/>
      <c r="D664" s="225"/>
      <c r="E664" s="262"/>
      <c r="F664" s="263"/>
      <c r="G664" s="263"/>
      <c r="H664" s="263"/>
      <c r="I664" s="263"/>
      <c r="J664" s="263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</row>
    <row r="665">
      <c r="A665" s="228"/>
      <c r="B665" s="225"/>
      <c r="C665" s="225"/>
      <c r="D665" s="225"/>
      <c r="E665" s="262"/>
      <c r="F665" s="263"/>
      <c r="G665" s="263"/>
      <c r="H665" s="263"/>
      <c r="I665" s="263"/>
      <c r="J665" s="263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</row>
    <row r="666">
      <c r="A666" s="228"/>
      <c r="B666" s="225"/>
      <c r="C666" s="225"/>
      <c r="D666" s="225"/>
      <c r="E666" s="262"/>
      <c r="F666" s="263"/>
      <c r="G666" s="263"/>
      <c r="H666" s="263"/>
      <c r="I666" s="263"/>
      <c r="J666" s="263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</row>
    <row r="667">
      <c r="A667" s="228"/>
      <c r="B667" s="225"/>
      <c r="C667" s="225"/>
      <c r="D667" s="225"/>
      <c r="E667" s="262"/>
      <c r="F667" s="263"/>
      <c r="G667" s="263"/>
      <c r="H667" s="263"/>
      <c r="I667" s="263"/>
      <c r="J667" s="263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</row>
    <row r="668">
      <c r="A668" s="228"/>
      <c r="B668" s="225"/>
      <c r="C668" s="225"/>
      <c r="D668" s="225"/>
      <c r="E668" s="262"/>
      <c r="F668" s="263"/>
      <c r="G668" s="263"/>
      <c r="H668" s="263"/>
      <c r="I668" s="263"/>
      <c r="J668" s="263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</row>
    <row r="669">
      <c r="A669" s="228"/>
      <c r="B669" s="225"/>
      <c r="C669" s="225"/>
      <c r="D669" s="225"/>
      <c r="E669" s="262"/>
      <c r="F669" s="263"/>
      <c r="G669" s="263"/>
      <c r="H669" s="263"/>
      <c r="I669" s="263"/>
      <c r="J669" s="263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</row>
    <row r="670">
      <c r="A670" s="228"/>
      <c r="B670" s="225"/>
      <c r="C670" s="225"/>
      <c r="D670" s="225"/>
      <c r="E670" s="262"/>
      <c r="F670" s="263"/>
      <c r="G670" s="263"/>
      <c r="H670" s="263"/>
      <c r="I670" s="263"/>
      <c r="J670" s="263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</row>
    <row r="671">
      <c r="A671" s="228"/>
      <c r="B671" s="225"/>
      <c r="C671" s="225"/>
      <c r="D671" s="225"/>
      <c r="E671" s="262"/>
      <c r="F671" s="263"/>
      <c r="G671" s="263"/>
      <c r="H671" s="263"/>
      <c r="I671" s="263"/>
      <c r="J671" s="263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</row>
    <row r="672">
      <c r="A672" s="228"/>
      <c r="B672" s="225"/>
      <c r="C672" s="225"/>
      <c r="D672" s="225"/>
      <c r="E672" s="262"/>
      <c r="F672" s="263"/>
      <c r="G672" s="263"/>
      <c r="H672" s="263"/>
      <c r="I672" s="263"/>
      <c r="J672" s="263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</row>
    <row r="673">
      <c r="A673" s="228"/>
      <c r="B673" s="225"/>
      <c r="C673" s="225"/>
      <c r="D673" s="225"/>
      <c r="E673" s="262"/>
      <c r="F673" s="263"/>
      <c r="G673" s="263"/>
      <c r="H673" s="263"/>
      <c r="I673" s="263"/>
      <c r="J673" s="263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</row>
    <row r="674">
      <c r="A674" s="228"/>
      <c r="B674" s="225"/>
      <c r="C674" s="225"/>
      <c r="D674" s="225"/>
      <c r="E674" s="262"/>
      <c r="F674" s="263"/>
      <c r="G674" s="263"/>
      <c r="H674" s="263"/>
      <c r="I674" s="263"/>
      <c r="J674" s="263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</row>
    <row r="675">
      <c r="A675" s="228"/>
      <c r="B675" s="225"/>
      <c r="C675" s="225"/>
      <c r="D675" s="225"/>
      <c r="E675" s="262"/>
      <c r="F675" s="263"/>
      <c r="G675" s="263"/>
      <c r="H675" s="263"/>
      <c r="I675" s="263"/>
      <c r="J675" s="263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</row>
    <row r="676">
      <c r="A676" s="228"/>
      <c r="B676" s="225"/>
      <c r="C676" s="225"/>
      <c r="D676" s="225"/>
      <c r="E676" s="262"/>
      <c r="F676" s="263"/>
      <c r="G676" s="263"/>
      <c r="H676" s="263"/>
      <c r="I676" s="263"/>
      <c r="J676" s="263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</row>
    <row r="677">
      <c r="A677" s="228"/>
      <c r="B677" s="225"/>
      <c r="C677" s="225"/>
      <c r="D677" s="225"/>
      <c r="E677" s="262"/>
      <c r="F677" s="263"/>
      <c r="G677" s="263"/>
      <c r="H677" s="263"/>
      <c r="I677" s="263"/>
      <c r="J677" s="263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</row>
    <row r="678">
      <c r="A678" s="228"/>
      <c r="B678" s="225"/>
      <c r="C678" s="225"/>
      <c r="D678" s="225"/>
      <c r="E678" s="262"/>
      <c r="F678" s="263"/>
      <c r="G678" s="263"/>
      <c r="H678" s="263"/>
      <c r="I678" s="263"/>
      <c r="J678" s="263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</row>
    <row r="679">
      <c r="A679" s="228"/>
      <c r="B679" s="225"/>
      <c r="C679" s="225"/>
      <c r="D679" s="225"/>
      <c r="E679" s="262"/>
      <c r="F679" s="263"/>
      <c r="G679" s="263"/>
      <c r="H679" s="263"/>
      <c r="I679" s="263"/>
      <c r="J679" s="263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</row>
    <row r="680">
      <c r="A680" s="228"/>
      <c r="B680" s="225"/>
      <c r="C680" s="225"/>
      <c r="D680" s="225"/>
      <c r="E680" s="262"/>
      <c r="F680" s="263"/>
      <c r="G680" s="263"/>
      <c r="H680" s="263"/>
      <c r="I680" s="263"/>
      <c r="J680" s="263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</row>
    <row r="681">
      <c r="A681" s="228"/>
      <c r="B681" s="225"/>
      <c r="C681" s="225"/>
      <c r="D681" s="225"/>
      <c r="E681" s="262"/>
      <c r="F681" s="263"/>
      <c r="G681" s="263"/>
      <c r="H681" s="263"/>
      <c r="I681" s="263"/>
      <c r="J681" s="263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</row>
    <row r="682">
      <c r="A682" s="228"/>
      <c r="B682" s="225"/>
      <c r="C682" s="225"/>
      <c r="D682" s="225"/>
      <c r="E682" s="262"/>
      <c r="F682" s="263"/>
      <c r="G682" s="263"/>
      <c r="H682" s="263"/>
      <c r="I682" s="263"/>
      <c r="J682" s="263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</row>
    <row r="683">
      <c r="A683" s="228"/>
      <c r="B683" s="225"/>
      <c r="C683" s="225"/>
      <c r="D683" s="225"/>
      <c r="E683" s="262"/>
      <c r="F683" s="263"/>
      <c r="G683" s="263"/>
      <c r="H683" s="263"/>
      <c r="I683" s="263"/>
      <c r="J683" s="263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</row>
    <row r="684">
      <c r="A684" s="228"/>
      <c r="B684" s="225"/>
      <c r="C684" s="225"/>
      <c r="D684" s="225"/>
      <c r="E684" s="262"/>
      <c r="F684" s="263"/>
      <c r="G684" s="263"/>
      <c r="H684" s="263"/>
      <c r="I684" s="263"/>
      <c r="J684" s="263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</row>
    <row r="685">
      <c r="A685" s="228"/>
      <c r="B685" s="225"/>
      <c r="C685" s="225"/>
      <c r="D685" s="225"/>
      <c r="E685" s="262"/>
      <c r="F685" s="263"/>
      <c r="G685" s="263"/>
      <c r="H685" s="263"/>
      <c r="I685" s="263"/>
      <c r="J685" s="263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</row>
    <row r="686">
      <c r="A686" s="228"/>
      <c r="B686" s="225"/>
      <c r="C686" s="225"/>
      <c r="D686" s="225"/>
      <c r="E686" s="262"/>
      <c r="F686" s="263"/>
      <c r="G686" s="263"/>
      <c r="H686" s="263"/>
      <c r="I686" s="263"/>
      <c r="J686" s="263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</row>
    <row r="687">
      <c r="A687" s="228"/>
      <c r="B687" s="225"/>
      <c r="C687" s="225"/>
      <c r="D687" s="225"/>
      <c r="E687" s="262"/>
      <c r="F687" s="263"/>
      <c r="G687" s="263"/>
      <c r="H687" s="263"/>
      <c r="I687" s="263"/>
      <c r="J687" s="263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</row>
    <row r="688">
      <c r="A688" s="228"/>
      <c r="B688" s="225"/>
      <c r="C688" s="225"/>
      <c r="D688" s="225"/>
      <c r="E688" s="262"/>
      <c r="F688" s="263"/>
      <c r="G688" s="263"/>
      <c r="H688" s="263"/>
      <c r="I688" s="263"/>
      <c r="J688" s="263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</row>
    <row r="689">
      <c r="A689" s="228"/>
      <c r="B689" s="225"/>
      <c r="C689" s="225"/>
      <c r="D689" s="225"/>
      <c r="E689" s="262"/>
      <c r="F689" s="263"/>
      <c r="G689" s="263"/>
      <c r="H689" s="263"/>
      <c r="I689" s="263"/>
      <c r="J689" s="263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</row>
    <row r="690">
      <c r="A690" s="228"/>
      <c r="B690" s="225"/>
      <c r="C690" s="225"/>
      <c r="D690" s="225"/>
      <c r="E690" s="262"/>
      <c r="F690" s="263"/>
      <c r="G690" s="263"/>
      <c r="H690" s="263"/>
      <c r="I690" s="263"/>
      <c r="J690" s="263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</row>
    <row r="691">
      <c r="A691" s="228"/>
      <c r="B691" s="225"/>
      <c r="C691" s="225"/>
      <c r="D691" s="225"/>
      <c r="E691" s="262"/>
      <c r="F691" s="263"/>
      <c r="G691" s="263"/>
      <c r="H691" s="263"/>
      <c r="I691" s="263"/>
      <c r="J691" s="263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</row>
    <row r="692">
      <c r="A692" s="228"/>
      <c r="B692" s="225"/>
      <c r="C692" s="225"/>
      <c r="D692" s="225"/>
      <c r="E692" s="262"/>
      <c r="F692" s="263"/>
      <c r="G692" s="263"/>
      <c r="H692" s="263"/>
      <c r="I692" s="263"/>
      <c r="J692" s="263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</row>
    <row r="693">
      <c r="A693" s="228"/>
      <c r="B693" s="225"/>
      <c r="C693" s="225"/>
      <c r="D693" s="225"/>
      <c r="E693" s="262"/>
      <c r="F693" s="263"/>
      <c r="G693" s="263"/>
      <c r="H693" s="263"/>
      <c r="I693" s="263"/>
      <c r="J693" s="263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</row>
    <row r="694">
      <c r="A694" s="228"/>
      <c r="B694" s="225"/>
      <c r="C694" s="225"/>
      <c r="D694" s="225"/>
      <c r="E694" s="262"/>
      <c r="F694" s="263"/>
      <c r="G694" s="263"/>
      <c r="H694" s="263"/>
      <c r="I694" s="263"/>
      <c r="J694" s="263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</row>
    <row r="695">
      <c r="A695" s="228"/>
      <c r="B695" s="225"/>
      <c r="C695" s="225"/>
      <c r="D695" s="225"/>
      <c r="E695" s="262"/>
      <c r="F695" s="263"/>
      <c r="G695" s="263"/>
      <c r="H695" s="263"/>
      <c r="I695" s="263"/>
      <c r="J695" s="263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</row>
    <row r="696">
      <c r="A696" s="228"/>
      <c r="B696" s="225"/>
      <c r="C696" s="225"/>
      <c r="D696" s="225"/>
      <c r="E696" s="262"/>
      <c r="F696" s="263"/>
      <c r="G696" s="263"/>
      <c r="H696" s="263"/>
      <c r="I696" s="263"/>
      <c r="J696" s="263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</row>
    <row r="697">
      <c r="A697" s="228"/>
      <c r="B697" s="225"/>
      <c r="C697" s="225"/>
      <c r="D697" s="225"/>
      <c r="E697" s="262"/>
      <c r="F697" s="263"/>
      <c r="G697" s="263"/>
      <c r="H697" s="263"/>
      <c r="I697" s="263"/>
      <c r="J697" s="263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</row>
    <row r="698">
      <c r="A698" s="228"/>
      <c r="B698" s="225"/>
      <c r="C698" s="225"/>
      <c r="D698" s="225"/>
      <c r="E698" s="262"/>
      <c r="F698" s="263"/>
      <c r="G698" s="263"/>
      <c r="H698" s="263"/>
      <c r="I698" s="263"/>
      <c r="J698" s="263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</row>
    <row r="699">
      <c r="A699" s="228"/>
      <c r="B699" s="225"/>
      <c r="C699" s="225"/>
      <c r="D699" s="225"/>
      <c r="E699" s="262"/>
      <c r="F699" s="263"/>
      <c r="G699" s="263"/>
      <c r="H699" s="263"/>
      <c r="I699" s="263"/>
      <c r="J699" s="263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</row>
    <row r="700">
      <c r="A700" s="228"/>
      <c r="B700" s="225"/>
      <c r="C700" s="225"/>
      <c r="D700" s="225"/>
      <c r="E700" s="262"/>
      <c r="F700" s="263"/>
      <c r="G700" s="263"/>
      <c r="H700" s="263"/>
      <c r="I700" s="263"/>
      <c r="J700" s="263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</row>
    <row r="701">
      <c r="A701" s="228"/>
      <c r="B701" s="225"/>
      <c r="C701" s="225"/>
      <c r="D701" s="225"/>
      <c r="E701" s="262"/>
      <c r="F701" s="263"/>
      <c r="G701" s="263"/>
      <c r="H701" s="263"/>
      <c r="I701" s="263"/>
      <c r="J701" s="263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</row>
    <row r="702">
      <c r="A702" s="228"/>
      <c r="B702" s="225"/>
      <c r="C702" s="225"/>
      <c r="D702" s="225"/>
      <c r="E702" s="262"/>
      <c r="F702" s="263"/>
      <c r="G702" s="263"/>
      <c r="H702" s="263"/>
      <c r="I702" s="263"/>
      <c r="J702" s="263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</row>
    <row r="703">
      <c r="A703" s="228"/>
      <c r="B703" s="225"/>
      <c r="C703" s="225"/>
      <c r="D703" s="225"/>
      <c r="E703" s="262"/>
      <c r="F703" s="263"/>
      <c r="G703" s="263"/>
      <c r="H703" s="263"/>
      <c r="I703" s="263"/>
      <c r="J703" s="263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</row>
    <row r="704">
      <c r="A704" s="228"/>
      <c r="B704" s="225"/>
      <c r="C704" s="225"/>
      <c r="D704" s="225"/>
      <c r="E704" s="262"/>
      <c r="F704" s="263"/>
      <c r="G704" s="263"/>
      <c r="H704" s="263"/>
      <c r="I704" s="263"/>
      <c r="J704" s="263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</row>
    <row r="705">
      <c r="A705" s="228"/>
      <c r="B705" s="225"/>
      <c r="C705" s="225"/>
      <c r="D705" s="225"/>
      <c r="E705" s="262"/>
      <c r="F705" s="263"/>
      <c r="G705" s="263"/>
      <c r="H705" s="263"/>
      <c r="I705" s="263"/>
      <c r="J705" s="263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</row>
    <row r="706">
      <c r="A706" s="228"/>
      <c r="B706" s="225"/>
      <c r="C706" s="225"/>
      <c r="D706" s="225"/>
      <c r="E706" s="262"/>
      <c r="F706" s="263"/>
      <c r="G706" s="263"/>
      <c r="H706" s="263"/>
      <c r="I706" s="263"/>
      <c r="J706" s="263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</row>
    <row r="707">
      <c r="A707" s="228"/>
      <c r="B707" s="225"/>
      <c r="C707" s="225"/>
      <c r="D707" s="225"/>
      <c r="E707" s="262"/>
      <c r="F707" s="263"/>
      <c r="G707" s="263"/>
      <c r="H707" s="263"/>
      <c r="I707" s="263"/>
      <c r="J707" s="263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</row>
    <row r="708">
      <c r="A708" s="228"/>
      <c r="B708" s="225"/>
      <c r="C708" s="225"/>
      <c r="D708" s="225"/>
      <c r="E708" s="262"/>
      <c r="F708" s="263"/>
      <c r="G708" s="263"/>
      <c r="H708" s="263"/>
      <c r="I708" s="263"/>
      <c r="J708" s="263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</row>
    <row r="709">
      <c r="A709" s="228"/>
      <c r="B709" s="225"/>
      <c r="C709" s="225"/>
      <c r="D709" s="225"/>
      <c r="E709" s="262"/>
      <c r="F709" s="263"/>
      <c r="G709" s="263"/>
      <c r="H709" s="263"/>
      <c r="I709" s="263"/>
      <c r="J709" s="263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</row>
    <row r="710">
      <c r="A710" s="228"/>
      <c r="B710" s="225"/>
      <c r="C710" s="225"/>
      <c r="D710" s="225"/>
      <c r="E710" s="262"/>
      <c r="F710" s="263"/>
      <c r="G710" s="263"/>
      <c r="H710" s="263"/>
      <c r="I710" s="263"/>
      <c r="J710" s="263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</row>
    <row r="711">
      <c r="A711" s="228"/>
      <c r="B711" s="225"/>
      <c r="C711" s="225"/>
      <c r="D711" s="225"/>
      <c r="E711" s="262"/>
      <c r="F711" s="263"/>
      <c r="G711" s="263"/>
      <c r="H711" s="263"/>
      <c r="I711" s="263"/>
      <c r="J711" s="263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</row>
    <row r="712">
      <c r="A712" s="228"/>
      <c r="B712" s="225"/>
      <c r="C712" s="225"/>
      <c r="D712" s="225"/>
      <c r="E712" s="262"/>
      <c r="F712" s="263"/>
      <c r="G712" s="263"/>
      <c r="H712" s="263"/>
      <c r="I712" s="263"/>
      <c r="J712" s="263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</row>
    <row r="713">
      <c r="A713" s="228"/>
      <c r="B713" s="225"/>
      <c r="C713" s="225"/>
      <c r="D713" s="225"/>
      <c r="E713" s="262"/>
      <c r="F713" s="263"/>
      <c r="G713" s="263"/>
      <c r="H713" s="263"/>
      <c r="I713" s="263"/>
      <c r="J713" s="263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</row>
    <row r="714">
      <c r="A714" s="228"/>
      <c r="B714" s="225"/>
      <c r="C714" s="225"/>
      <c r="D714" s="225"/>
      <c r="E714" s="262"/>
      <c r="F714" s="263"/>
      <c r="G714" s="263"/>
      <c r="H714" s="263"/>
      <c r="I714" s="263"/>
      <c r="J714" s="263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</row>
    <row r="715">
      <c r="A715" s="228"/>
      <c r="B715" s="225"/>
      <c r="C715" s="225"/>
      <c r="D715" s="225"/>
      <c r="E715" s="262"/>
      <c r="F715" s="263"/>
      <c r="G715" s="263"/>
      <c r="H715" s="263"/>
      <c r="I715" s="263"/>
      <c r="J715" s="263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</row>
    <row r="716">
      <c r="A716" s="228"/>
      <c r="B716" s="225"/>
      <c r="C716" s="225"/>
      <c r="D716" s="225"/>
      <c r="E716" s="262"/>
      <c r="F716" s="263"/>
      <c r="G716" s="263"/>
      <c r="H716" s="263"/>
      <c r="I716" s="263"/>
      <c r="J716" s="263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</row>
    <row r="717">
      <c r="A717" s="228"/>
      <c r="B717" s="225"/>
      <c r="C717" s="225"/>
      <c r="D717" s="225"/>
      <c r="E717" s="262"/>
      <c r="F717" s="263"/>
      <c r="G717" s="263"/>
      <c r="H717" s="263"/>
      <c r="I717" s="263"/>
      <c r="J717" s="263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</row>
    <row r="718">
      <c r="A718" s="228"/>
      <c r="B718" s="225"/>
      <c r="C718" s="225"/>
      <c r="D718" s="225"/>
      <c r="E718" s="262"/>
      <c r="F718" s="263"/>
      <c r="G718" s="263"/>
      <c r="H718" s="263"/>
      <c r="I718" s="263"/>
      <c r="J718" s="263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</row>
    <row r="719">
      <c r="A719" s="228"/>
      <c r="B719" s="225"/>
      <c r="C719" s="225"/>
      <c r="D719" s="225"/>
      <c r="E719" s="262"/>
      <c r="F719" s="263"/>
      <c r="G719" s="263"/>
      <c r="H719" s="263"/>
      <c r="I719" s="263"/>
      <c r="J719" s="263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</row>
    <row r="720">
      <c r="A720" s="228"/>
      <c r="B720" s="225"/>
      <c r="C720" s="225"/>
      <c r="D720" s="225"/>
      <c r="E720" s="262"/>
      <c r="F720" s="263"/>
      <c r="G720" s="263"/>
      <c r="H720" s="263"/>
      <c r="I720" s="263"/>
      <c r="J720" s="263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</row>
    <row r="721">
      <c r="A721" s="228"/>
      <c r="B721" s="225"/>
      <c r="C721" s="225"/>
      <c r="D721" s="225"/>
      <c r="E721" s="262"/>
      <c r="F721" s="263"/>
      <c r="G721" s="263"/>
      <c r="H721" s="263"/>
      <c r="I721" s="263"/>
      <c r="J721" s="263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</row>
    <row r="722">
      <c r="A722" s="228"/>
      <c r="B722" s="225"/>
      <c r="C722" s="225"/>
      <c r="D722" s="225"/>
      <c r="E722" s="262"/>
      <c r="F722" s="263"/>
      <c r="G722" s="263"/>
      <c r="H722" s="263"/>
      <c r="I722" s="263"/>
      <c r="J722" s="263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</row>
    <row r="723">
      <c r="A723" s="228"/>
      <c r="B723" s="225"/>
      <c r="C723" s="225"/>
      <c r="D723" s="225"/>
      <c r="E723" s="262"/>
      <c r="F723" s="263"/>
      <c r="G723" s="263"/>
      <c r="H723" s="263"/>
      <c r="I723" s="263"/>
      <c r="J723" s="263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</row>
    <row r="724">
      <c r="A724" s="228"/>
      <c r="B724" s="225"/>
      <c r="C724" s="225"/>
      <c r="D724" s="225"/>
      <c r="E724" s="262"/>
      <c r="F724" s="263"/>
      <c r="G724" s="263"/>
      <c r="H724" s="263"/>
      <c r="I724" s="263"/>
      <c r="J724" s="263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</row>
    <row r="725">
      <c r="A725" s="228"/>
      <c r="B725" s="225"/>
      <c r="C725" s="225"/>
      <c r="D725" s="225"/>
      <c r="E725" s="262"/>
      <c r="F725" s="263"/>
      <c r="G725" s="263"/>
      <c r="H725" s="263"/>
      <c r="I725" s="263"/>
      <c r="J725" s="263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</row>
    <row r="726">
      <c r="A726" s="228"/>
      <c r="B726" s="225"/>
      <c r="C726" s="225"/>
      <c r="D726" s="225"/>
      <c r="E726" s="262"/>
      <c r="F726" s="263"/>
      <c r="G726" s="263"/>
      <c r="H726" s="263"/>
      <c r="I726" s="263"/>
      <c r="J726" s="263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</row>
    <row r="727">
      <c r="A727" s="228"/>
      <c r="B727" s="225"/>
      <c r="C727" s="225"/>
      <c r="D727" s="225"/>
      <c r="E727" s="262"/>
      <c r="F727" s="263"/>
      <c r="G727" s="263"/>
      <c r="H727" s="263"/>
      <c r="I727" s="263"/>
      <c r="J727" s="263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</row>
    <row r="728">
      <c r="A728" s="228"/>
      <c r="B728" s="225"/>
      <c r="C728" s="225"/>
      <c r="D728" s="225"/>
      <c r="E728" s="262"/>
      <c r="F728" s="263"/>
      <c r="G728" s="263"/>
      <c r="H728" s="263"/>
      <c r="I728" s="263"/>
      <c r="J728" s="263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</row>
    <row r="729">
      <c r="A729" s="228"/>
      <c r="B729" s="225"/>
      <c r="C729" s="225"/>
      <c r="D729" s="225"/>
      <c r="E729" s="262"/>
      <c r="F729" s="263"/>
      <c r="G729" s="263"/>
      <c r="H729" s="263"/>
      <c r="I729" s="263"/>
      <c r="J729" s="263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</row>
    <row r="730">
      <c r="A730" s="228"/>
      <c r="B730" s="225"/>
      <c r="C730" s="225"/>
      <c r="D730" s="225"/>
      <c r="E730" s="262"/>
      <c r="F730" s="263"/>
      <c r="G730" s="263"/>
      <c r="H730" s="263"/>
      <c r="I730" s="263"/>
      <c r="J730" s="263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</row>
    <row r="731">
      <c r="A731" s="228"/>
      <c r="B731" s="225"/>
      <c r="C731" s="225"/>
      <c r="D731" s="225"/>
      <c r="E731" s="262"/>
      <c r="F731" s="263"/>
      <c r="G731" s="263"/>
      <c r="H731" s="263"/>
      <c r="I731" s="263"/>
      <c r="J731" s="263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</row>
    <row r="732">
      <c r="A732" s="228"/>
      <c r="B732" s="225"/>
      <c r="C732" s="225"/>
      <c r="D732" s="225"/>
      <c r="E732" s="262"/>
      <c r="F732" s="263"/>
      <c r="G732" s="263"/>
      <c r="H732" s="263"/>
      <c r="I732" s="263"/>
      <c r="J732" s="263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</row>
    <row r="733">
      <c r="A733" s="228"/>
      <c r="B733" s="225"/>
      <c r="C733" s="225"/>
      <c r="D733" s="225"/>
      <c r="E733" s="262"/>
      <c r="F733" s="263"/>
      <c r="G733" s="263"/>
      <c r="H733" s="263"/>
      <c r="I733" s="263"/>
      <c r="J733" s="263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</row>
    <row r="734">
      <c r="A734" s="228"/>
      <c r="B734" s="225"/>
      <c r="C734" s="225"/>
      <c r="D734" s="225"/>
      <c r="E734" s="262"/>
      <c r="F734" s="263"/>
      <c r="G734" s="263"/>
      <c r="H734" s="263"/>
      <c r="I734" s="263"/>
      <c r="J734" s="263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</row>
    <row r="735">
      <c r="A735" s="228"/>
      <c r="B735" s="225"/>
      <c r="C735" s="225"/>
      <c r="D735" s="225"/>
      <c r="E735" s="262"/>
      <c r="F735" s="263"/>
      <c r="G735" s="263"/>
      <c r="H735" s="263"/>
      <c r="I735" s="263"/>
      <c r="J735" s="263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</row>
    <row r="736">
      <c r="A736" s="228"/>
      <c r="B736" s="225"/>
      <c r="C736" s="225"/>
      <c r="D736" s="225"/>
      <c r="E736" s="262"/>
      <c r="F736" s="263"/>
      <c r="G736" s="263"/>
      <c r="H736" s="263"/>
      <c r="I736" s="263"/>
      <c r="J736" s="263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</row>
    <row r="737">
      <c r="A737" s="228"/>
      <c r="B737" s="225"/>
      <c r="C737" s="225"/>
      <c r="D737" s="225"/>
      <c r="E737" s="262"/>
      <c r="F737" s="263"/>
      <c r="G737" s="263"/>
      <c r="H737" s="263"/>
      <c r="I737" s="263"/>
      <c r="J737" s="263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</row>
    <row r="738">
      <c r="A738" s="228"/>
      <c r="B738" s="225"/>
      <c r="C738" s="225"/>
      <c r="D738" s="225"/>
      <c r="E738" s="262"/>
      <c r="F738" s="263"/>
      <c r="G738" s="263"/>
      <c r="H738" s="263"/>
      <c r="I738" s="263"/>
      <c r="J738" s="263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</row>
    <row r="739">
      <c r="A739" s="228"/>
      <c r="B739" s="225"/>
      <c r="C739" s="225"/>
      <c r="D739" s="225"/>
      <c r="E739" s="262"/>
      <c r="F739" s="263"/>
      <c r="G739" s="263"/>
      <c r="H739" s="263"/>
      <c r="I739" s="263"/>
      <c r="J739" s="263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</row>
    <row r="740">
      <c r="A740" s="228"/>
      <c r="B740" s="225"/>
      <c r="C740" s="225"/>
      <c r="D740" s="225"/>
      <c r="E740" s="262"/>
      <c r="F740" s="263"/>
      <c r="G740" s="263"/>
      <c r="H740" s="263"/>
      <c r="I740" s="263"/>
      <c r="J740" s="263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</row>
    <row r="741">
      <c r="A741" s="228"/>
      <c r="B741" s="225"/>
      <c r="C741" s="225"/>
      <c r="D741" s="225"/>
      <c r="E741" s="262"/>
      <c r="F741" s="263"/>
      <c r="G741" s="263"/>
      <c r="H741" s="263"/>
      <c r="I741" s="263"/>
      <c r="J741" s="263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</row>
    <row r="742">
      <c r="A742" s="228"/>
      <c r="B742" s="225"/>
      <c r="C742" s="225"/>
      <c r="D742" s="225"/>
      <c r="E742" s="262"/>
      <c r="F742" s="263"/>
      <c r="G742" s="263"/>
      <c r="H742" s="263"/>
      <c r="I742" s="263"/>
      <c r="J742" s="263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</row>
    <row r="743">
      <c r="A743" s="228"/>
      <c r="B743" s="225"/>
      <c r="C743" s="225"/>
      <c r="D743" s="225"/>
      <c r="E743" s="262"/>
      <c r="F743" s="263"/>
      <c r="G743" s="263"/>
      <c r="H743" s="263"/>
      <c r="I743" s="263"/>
      <c r="J743" s="263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</row>
    <row r="744">
      <c r="A744" s="228"/>
      <c r="B744" s="225"/>
      <c r="C744" s="225"/>
      <c r="D744" s="225"/>
      <c r="E744" s="262"/>
      <c r="F744" s="263"/>
      <c r="G744" s="263"/>
      <c r="H744" s="263"/>
      <c r="I744" s="263"/>
      <c r="J744" s="263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</row>
    <row r="745">
      <c r="A745" s="228"/>
      <c r="B745" s="225"/>
      <c r="C745" s="225"/>
      <c r="D745" s="225"/>
      <c r="E745" s="262"/>
      <c r="F745" s="263"/>
      <c r="G745" s="263"/>
      <c r="H745" s="263"/>
      <c r="I745" s="263"/>
      <c r="J745" s="263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</row>
    <row r="746">
      <c r="A746" s="228"/>
      <c r="B746" s="225"/>
      <c r="C746" s="225"/>
      <c r="D746" s="225"/>
      <c r="E746" s="262"/>
      <c r="F746" s="263"/>
      <c r="G746" s="263"/>
      <c r="H746" s="263"/>
      <c r="I746" s="263"/>
      <c r="J746" s="263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</row>
    <row r="747">
      <c r="A747" s="228"/>
      <c r="B747" s="225"/>
      <c r="C747" s="225"/>
      <c r="D747" s="225"/>
      <c r="E747" s="262"/>
      <c r="F747" s="263"/>
      <c r="G747" s="263"/>
      <c r="H747" s="263"/>
      <c r="I747" s="263"/>
      <c r="J747" s="263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</row>
    <row r="748">
      <c r="A748" s="228"/>
      <c r="B748" s="225"/>
      <c r="C748" s="225"/>
      <c r="D748" s="225"/>
      <c r="E748" s="262"/>
      <c r="F748" s="263"/>
      <c r="G748" s="263"/>
      <c r="H748" s="263"/>
      <c r="I748" s="263"/>
      <c r="J748" s="263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</row>
    <row r="749">
      <c r="A749" s="228"/>
      <c r="B749" s="225"/>
      <c r="C749" s="225"/>
      <c r="D749" s="225"/>
      <c r="E749" s="262"/>
      <c r="F749" s="263"/>
      <c r="G749" s="263"/>
      <c r="H749" s="263"/>
      <c r="I749" s="263"/>
      <c r="J749" s="263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</row>
    <row r="750">
      <c r="A750" s="228"/>
      <c r="B750" s="225"/>
      <c r="C750" s="225"/>
      <c r="D750" s="225"/>
      <c r="E750" s="262"/>
      <c r="F750" s="263"/>
      <c r="G750" s="263"/>
      <c r="H750" s="263"/>
      <c r="I750" s="263"/>
      <c r="J750" s="263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</row>
    <row r="751">
      <c r="A751" s="228"/>
      <c r="B751" s="225"/>
      <c r="C751" s="225"/>
      <c r="D751" s="225"/>
      <c r="E751" s="262"/>
      <c r="F751" s="263"/>
      <c r="G751" s="263"/>
      <c r="H751" s="263"/>
      <c r="I751" s="263"/>
      <c r="J751" s="263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</row>
    <row r="752">
      <c r="A752" s="228"/>
      <c r="B752" s="225"/>
      <c r="C752" s="225"/>
      <c r="D752" s="225"/>
      <c r="E752" s="262"/>
      <c r="F752" s="263"/>
      <c r="G752" s="263"/>
      <c r="H752" s="263"/>
      <c r="I752" s="263"/>
      <c r="J752" s="263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</row>
    <row r="753">
      <c r="A753" s="228"/>
      <c r="B753" s="225"/>
      <c r="C753" s="225"/>
      <c r="D753" s="225"/>
      <c r="E753" s="262"/>
      <c r="F753" s="263"/>
      <c r="G753" s="263"/>
      <c r="H753" s="263"/>
      <c r="I753" s="263"/>
      <c r="J753" s="263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</row>
    <row r="754">
      <c r="A754" s="228"/>
      <c r="B754" s="225"/>
      <c r="C754" s="225"/>
      <c r="D754" s="225"/>
      <c r="E754" s="262"/>
      <c r="F754" s="263"/>
      <c r="G754" s="263"/>
      <c r="H754" s="263"/>
      <c r="I754" s="263"/>
      <c r="J754" s="263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</row>
    <row r="755">
      <c r="A755" s="228"/>
      <c r="B755" s="225"/>
      <c r="C755" s="225"/>
      <c r="D755" s="225"/>
      <c r="E755" s="262"/>
      <c r="F755" s="263"/>
      <c r="G755" s="263"/>
      <c r="H755" s="263"/>
      <c r="I755" s="263"/>
      <c r="J755" s="263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</row>
    <row r="756">
      <c r="A756" s="228"/>
      <c r="B756" s="225"/>
      <c r="C756" s="225"/>
      <c r="D756" s="225"/>
      <c r="E756" s="262"/>
      <c r="F756" s="263"/>
      <c r="G756" s="263"/>
      <c r="H756" s="263"/>
      <c r="I756" s="263"/>
      <c r="J756" s="263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</row>
    <row r="757">
      <c r="A757" s="228"/>
      <c r="B757" s="225"/>
      <c r="C757" s="225"/>
      <c r="D757" s="225"/>
      <c r="E757" s="262"/>
      <c r="F757" s="263"/>
      <c r="G757" s="263"/>
      <c r="H757" s="263"/>
      <c r="I757" s="263"/>
      <c r="J757" s="263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</row>
    <row r="758">
      <c r="A758" s="228"/>
      <c r="B758" s="225"/>
      <c r="C758" s="225"/>
      <c r="D758" s="225"/>
      <c r="E758" s="262"/>
      <c r="F758" s="263"/>
      <c r="G758" s="263"/>
      <c r="H758" s="263"/>
      <c r="I758" s="263"/>
      <c r="J758" s="263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</row>
    <row r="759">
      <c r="A759" s="228"/>
      <c r="B759" s="225"/>
      <c r="C759" s="225"/>
      <c r="D759" s="225"/>
      <c r="E759" s="262"/>
      <c r="F759" s="263"/>
      <c r="G759" s="263"/>
      <c r="H759" s="263"/>
      <c r="I759" s="263"/>
      <c r="J759" s="263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</row>
    <row r="760">
      <c r="A760" s="228"/>
      <c r="B760" s="225"/>
      <c r="C760" s="225"/>
      <c r="D760" s="225"/>
      <c r="E760" s="262"/>
      <c r="F760" s="263"/>
      <c r="G760" s="263"/>
      <c r="H760" s="263"/>
      <c r="I760" s="263"/>
      <c r="J760" s="263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</row>
    <row r="761">
      <c r="A761" s="228"/>
      <c r="B761" s="225"/>
      <c r="C761" s="225"/>
      <c r="D761" s="225"/>
      <c r="E761" s="262"/>
      <c r="F761" s="263"/>
      <c r="G761" s="263"/>
      <c r="H761" s="263"/>
      <c r="I761" s="263"/>
      <c r="J761" s="263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</row>
    <row r="762">
      <c r="A762" s="228"/>
      <c r="B762" s="225"/>
      <c r="C762" s="225"/>
      <c r="D762" s="225"/>
      <c r="E762" s="262"/>
      <c r="F762" s="263"/>
      <c r="G762" s="263"/>
      <c r="H762" s="263"/>
      <c r="I762" s="263"/>
      <c r="J762" s="263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</row>
    <row r="763">
      <c r="A763" s="228"/>
      <c r="B763" s="225"/>
      <c r="C763" s="225"/>
      <c r="D763" s="225"/>
      <c r="E763" s="262"/>
      <c r="F763" s="263"/>
      <c r="G763" s="263"/>
      <c r="H763" s="263"/>
      <c r="I763" s="263"/>
      <c r="J763" s="263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</row>
    <row r="764">
      <c r="A764" s="228"/>
      <c r="B764" s="225"/>
      <c r="C764" s="225"/>
      <c r="D764" s="225"/>
      <c r="E764" s="262"/>
      <c r="F764" s="263"/>
      <c r="G764" s="263"/>
      <c r="H764" s="263"/>
      <c r="I764" s="263"/>
      <c r="J764" s="263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</row>
    <row r="765">
      <c r="A765" s="228"/>
      <c r="B765" s="225"/>
      <c r="C765" s="225"/>
      <c r="D765" s="225"/>
      <c r="E765" s="262"/>
      <c r="F765" s="263"/>
      <c r="G765" s="263"/>
      <c r="H765" s="263"/>
      <c r="I765" s="263"/>
      <c r="J765" s="263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</row>
    <row r="766">
      <c r="A766" s="228"/>
      <c r="B766" s="225"/>
      <c r="C766" s="225"/>
      <c r="D766" s="225"/>
      <c r="E766" s="262"/>
      <c r="F766" s="263"/>
      <c r="G766" s="263"/>
      <c r="H766" s="263"/>
      <c r="I766" s="263"/>
      <c r="J766" s="263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</row>
    <row r="767">
      <c r="A767" s="228"/>
      <c r="B767" s="225"/>
      <c r="C767" s="225"/>
      <c r="D767" s="225"/>
      <c r="E767" s="262"/>
      <c r="F767" s="263"/>
      <c r="G767" s="263"/>
      <c r="H767" s="263"/>
      <c r="I767" s="263"/>
      <c r="J767" s="263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</row>
    <row r="768">
      <c r="A768" s="228"/>
      <c r="B768" s="225"/>
      <c r="C768" s="225"/>
      <c r="D768" s="225"/>
      <c r="E768" s="262"/>
      <c r="F768" s="263"/>
      <c r="G768" s="263"/>
      <c r="H768" s="263"/>
      <c r="I768" s="263"/>
      <c r="J768" s="263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</row>
    <row r="769">
      <c r="A769" s="228"/>
      <c r="B769" s="225"/>
      <c r="C769" s="225"/>
      <c r="D769" s="225"/>
      <c r="E769" s="262"/>
      <c r="F769" s="263"/>
      <c r="G769" s="263"/>
      <c r="H769" s="263"/>
      <c r="I769" s="263"/>
      <c r="J769" s="263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</row>
    <row r="770">
      <c r="A770" s="228"/>
      <c r="B770" s="225"/>
      <c r="C770" s="225"/>
      <c r="D770" s="225"/>
      <c r="E770" s="262"/>
      <c r="F770" s="263"/>
      <c r="G770" s="263"/>
      <c r="H770" s="263"/>
      <c r="I770" s="263"/>
      <c r="J770" s="263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</row>
    <row r="771">
      <c r="A771" s="228"/>
      <c r="B771" s="225"/>
      <c r="C771" s="225"/>
      <c r="D771" s="225"/>
      <c r="E771" s="262"/>
      <c r="F771" s="263"/>
      <c r="G771" s="263"/>
      <c r="H771" s="263"/>
      <c r="I771" s="263"/>
      <c r="J771" s="263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</row>
    <row r="772">
      <c r="A772" s="228"/>
      <c r="B772" s="225"/>
      <c r="C772" s="225"/>
      <c r="D772" s="225"/>
      <c r="E772" s="262"/>
      <c r="F772" s="263"/>
      <c r="G772" s="263"/>
      <c r="H772" s="263"/>
      <c r="I772" s="263"/>
      <c r="J772" s="263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</row>
    <row r="773">
      <c r="A773" s="228"/>
      <c r="B773" s="225"/>
      <c r="C773" s="225"/>
      <c r="D773" s="225"/>
      <c r="E773" s="262"/>
      <c r="F773" s="263"/>
      <c r="G773" s="263"/>
      <c r="H773" s="263"/>
      <c r="I773" s="263"/>
      <c r="J773" s="263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</row>
    <row r="774">
      <c r="A774" s="228"/>
      <c r="B774" s="225"/>
      <c r="C774" s="225"/>
      <c r="D774" s="225"/>
      <c r="E774" s="262"/>
      <c r="F774" s="263"/>
      <c r="G774" s="263"/>
      <c r="H774" s="263"/>
      <c r="I774" s="263"/>
      <c r="J774" s="263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</row>
    <row r="775">
      <c r="A775" s="228"/>
      <c r="B775" s="225"/>
      <c r="C775" s="225"/>
      <c r="D775" s="225"/>
      <c r="E775" s="262"/>
      <c r="F775" s="263"/>
      <c r="G775" s="263"/>
      <c r="H775" s="263"/>
      <c r="I775" s="263"/>
      <c r="J775" s="263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</row>
    <row r="776">
      <c r="A776" s="228"/>
      <c r="B776" s="225"/>
      <c r="C776" s="225"/>
      <c r="D776" s="225"/>
      <c r="E776" s="262"/>
      <c r="F776" s="263"/>
      <c r="G776" s="263"/>
      <c r="H776" s="263"/>
      <c r="I776" s="263"/>
      <c r="J776" s="263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</row>
    <row r="777">
      <c r="A777" s="228"/>
      <c r="B777" s="225"/>
      <c r="C777" s="225"/>
      <c r="D777" s="225"/>
      <c r="E777" s="262"/>
      <c r="F777" s="263"/>
      <c r="G777" s="263"/>
      <c r="H777" s="263"/>
      <c r="I777" s="263"/>
      <c r="J777" s="263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</row>
    <row r="778">
      <c r="A778" s="228"/>
      <c r="B778" s="225"/>
      <c r="C778" s="225"/>
      <c r="D778" s="225"/>
      <c r="E778" s="262"/>
      <c r="F778" s="263"/>
      <c r="G778" s="263"/>
      <c r="H778" s="263"/>
      <c r="I778" s="263"/>
      <c r="J778" s="263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</row>
    <row r="779">
      <c r="A779" s="228"/>
      <c r="B779" s="225"/>
      <c r="C779" s="225"/>
      <c r="D779" s="225"/>
      <c r="E779" s="262"/>
      <c r="F779" s="263"/>
      <c r="G779" s="263"/>
      <c r="H779" s="263"/>
      <c r="I779" s="263"/>
      <c r="J779" s="263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</row>
    <row r="780">
      <c r="A780" s="228"/>
      <c r="B780" s="225"/>
      <c r="C780" s="225"/>
      <c r="D780" s="225"/>
      <c r="E780" s="262"/>
      <c r="F780" s="263"/>
      <c r="G780" s="263"/>
      <c r="H780" s="263"/>
      <c r="I780" s="263"/>
      <c r="J780" s="263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</row>
    <row r="781">
      <c r="A781" s="228"/>
      <c r="B781" s="225"/>
      <c r="C781" s="225"/>
      <c r="D781" s="225"/>
      <c r="E781" s="262"/>
      <c r="F781" s="263"/>
      <c r="G781" s="263"/>
      <c r="H781" s="263"/>
      <c r="I781" s="263"/>
      <c r="J781" s="263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</row>
    <row r="782">
      <c r="A782" s="228"/>
      <c r="B782" s="225"/>
      <c r="C782" s="225"/>
      <c r="D782" s="225"/>
      <c r="E782" s="262"/>
      <c r="F782" s="263"/>
      <c r="G782" s="263"/>
      <c r="H782" s="263"/>
      <c r="I782" s="263"/>
      <c r="J782" s="263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</row>
    <row r="783">
      <c r="A783" s="228"/>
      <c r="B783" s="225"/>
      <c r="C783" s="225"/>
      <c r="D783" s="225"/>
      <c r="E783" s="262"/>
      <c r="F783" s="263"/>
      <c r="G783" s="263"/>
      <c r="H783" s="263"/>
      <c r="I783" s="263"/>
      <c r="J783" s="263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</row>
    <row r="784">
      <c r="A784" s="228"/>
      <c r="B784" s="225"/>
      <c r="C784" s="225"/>
      <c r="D784" s="225"/>
      <c r="E784" s="262"/>
      <c r="F784" s="263"/>
      <c r="G784" s="263"/>
      <c r="H784" s="263"/>
      <c r="I784" s="263"/>
      <c r="J784" s="263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</row>
    <row r="785">
      <c r="A785" s="228"/>
      <c r="B785" s="225"/>
      <c r="C785" s="225"/>
      <c r="D785" s="225"/>
      <c r="E785" s="262"/>
      <c r="F785" s="263"/>
      <c r="G785" s="263"/>
      <c r="H785" s="263"/>
      <c r="I785" s="263"/>
      <c r="J785" s="263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</row>
    <row r="786">
      <c r="A786" s="228"/>
      <c r="B786" s="225"/>
      <c r="C786" s="225"/>
      <c r="D786" s="225"/>
      <c r="E786" s="262"/>
      <c r="F786" s="263"/>
      <c r="G786" s="263"/>
      <c r="H786" s="263"/>
      <c r="I786" s="263"/>
      <c r="J786" s="263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</row>
    <row r="787">
      <c r="A787" s="228"/>
      <c r="B787" s="225"/>
      <c r="C787" s="225"/>
      <c r="D787" s="225"/>
      <c r="E787" s="262"/>
      <c r="F787" s="263"/>
      <c r="G787" s="263"/>
      <c r="H787" s="263"/>
      <c r="I787" s="263"/>
      <c r="J787" s="263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</row>
    <row r="788">
      <c r="A788" s="228"/>
      <c r="B788" s="225"/>
      <c r="C788" s="225"/>
      <c r="D788" s="225"/>
      <c r="E788" s="262"/>
      <c r="F788" s="263"/>
      <c r="G788" s="263"/>
      <c r="H788" s="263"/>
      <c r="I788" s="263"/>
      <c r="J788" s="263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</row>
    <row r="789">
      <c r="A789" s="228"/>
      <c r="B789" s="225"/>
      <c r="C789" s="225"/>
      <c r="D789" s="225"/>
      <c r="E789" s="262"/>
      <c r="F789" s="263"/>
      <c r="G789" s="263"/>
      <c r="H789" s="263"/>
      <c r="I789" s="263"/>
      <c r="J789" s="263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</row>
    <row r="790">
      <c r="A790" s="228"/>
      <c r="B790" s="225"/>
      <c r="C790" s="225"/>
      <c r="D790" s="225"/>
      <c r="E790" s="262"/>
      <c r="F790" s="263"/>
      <c r="G790" s="263"/>
      <c r="H790" s="263"/>
      <c r="I790" s="263"/>
      <c r="J790" s="263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</row>
    <row r="791">
      <c r="A791" s="228"/>
      <c r="B791" s="225"/>
      <c r="C791" s="225"/>
      <c r="D791" s="225"/>
      <c r="E791" s="262"/>
      <c r="F791" s="263"/>
      <c r="G791" s="263"/>
      <c r="H791" s="263"/>
      <c r="I791" s="263"/>
      <c r="J791" s="263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</row>
    <row r="792">
      <c r="A792" s="228"/>
      <c r="B792" s="225"/>
      <c r="C792" s="225"/>
      <c r="D792" s="225"/>
      <c r="E792" s="262"/>
      <c r="F792" s="263"/>
      <c r="G792" s="263"/>
      <c r="H792" s="263"/>
      <c r="I792" s="263"/>
      <c r="J792" s="263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</row>
    <row r="793">
      <c r="A793" s="228"/>
      <c r="B793" s="225"/>
      <c r="C793" s="225"/>
      <c r="D793" s="225"/>
      <c r="E793" s="262"/>
      <c r="F793" s="263"/>
      <c r="G793" s="263"/>
      <c r="H793" s="263"/>
      <c r="I793" s="263"/>
      <c r="J793" s="263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</row>
    <row r="794">
      <c r="A794" s="228"/>
      <c r="B794" s="225"/>
      <c r="C794" s="225"/>
      <c r="D794" s="225"/>
      <c r="E794" s="262"/>
      <c r="F794" s="263"/>
      <c r="G794" s="263"/>
      <c r="H794" s="263"/>
      <c r="I794" s="263"/>
      <c r="J794" s="263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</row>
    <row r="795">
      <c r="A795" s="228"/>
      <c r="B795" s="225"/>
      <c r="C795" s="225"/>
      <c r="D795" s="225"/>
      <c r="E795" s="262"/>
      <c r="F795" s="263"/>
      <c r="G795" s="263"/>
      <c r="H795" s="263"/>
      <c r="I795" s="263"/>
      <c r="J795" s="263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</row>
    <row r="796">
      <c r="A796" s="228"/>
      <c r="B796" s="225"/>
      <c r="C796" s="225"/>
      <c r="D796" s="225"/>
      <c r="E796" s="262"/>
      <c r="F796" s="263"/>
      <c r="G796" s="263"/>
      <c r="H796" s="263"/>
      <c r="I796" s="263"/>
      <c r="J796" s="263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</row>
    <row r="797">
      <c r="A797" s="228"/>
      <c r="B797" s="225"/>
      <c r="C797" s="225"/>
      <c r="D797" s="225"/>
      <c r="E797" s="262"/>
      <c r="F797" s="263"/>
      <c r="G797" s="263"/>
      <c r="H797" s="263"/>
      <c r="I797" s="263"/>
      <c r="J797" s="263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</row>
    <row r="798">
      <c r="A798" s="228"/>
      <c r="B798" s="225"/>
      <c r="C798" s="225"/>
      <c r="D798" s="225"/>
      <c r="E798" s="262"/>
      <c r="F798" s="263"/>
      <c r="G798" s="263"/>
      <c r="H798" s="263"/>
      <c r="I798" s="263"/>
      <c r="J798" s="263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</row>
    <row r="799">
      <c r="A799" s="228"/>
      <c r="B799" s="225"/>
      <c r="C799" s="225"/>
      <c r="D799" s="225"/>
      <c r="E799" s="262"/>
      <c r="F799" s="263"/>
      <c r="G799" s="263"/>
      <c r="H799" s="263"/>
      <c r="I799" s="263"/>
      <c r="J799" s="263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</row>
    <row r="800">
      <c r="A800" s="228"/>
      <c r="B800" s="225"/>
      <c r="C800" s="225"/>
      <c r="D800" s="225"/>
      <c r="E800" s="262"/>
      <c r="F800" s="263"/>
      <c r="G800" s="263"/>
      <c r="H800" s="263"/>
      <c r="I800" s="263"/>
      <c r="J800" s="263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</row>
    <row r="801">
      <c r="A801" s="228"/>
      <c r="B801" s="225"/>
      <c r="C801" s="225"/>
      <c r="D801" s="225"/>
      <c r="E801" s="262"/>
      <c r="F801" s="263"/>
      <c r="G801" s="263"/>
      <c r="H801" s="263"/>
      <c r="I801" s="263"/>
      <c r="J801" s="263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</row>
    <row r="802">
      <c r="A802" s="228"/>
      <c r="B802" s="225"/>
      <c r="C802" s="225"/>
      <c r="D802" s="225"/>
      <c r="E802" s="262"/>
      <c r="F802" s="263"/>
      <c r="G802" s="263"/>
      <c r="H802" s="263"/>
      <c r="I802" s="263"/>
      <c r="J802" s="263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</row>
    <row r="803">
      <c r="A803" s="228"/>
      <c r="B803" s="225"/>
      <c r="C803" s="225"/>
      <c r="D803" s="225"/>
      <c r="E803" s="262"/>
      <c r="F803" s="263"/>
      <c r="G803" s="263"/>
      <c r="H803" s="263"/>
      <c r="I803" s="263"/>
      <c r="J803" s="263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</row>
    <row r="804">
      <c r="A804" s="228"/>
      <c r="B804" s="225"/>
      <c r="C804" s="225"/>
      <c r="D804" s="225"/>
      <c r="E804" s="262"/>
      <c r="F804" s="263"/>
      <c r="G804" s="263"/>
      <c r="H804" s="263"/>
      <c r="I804" s="263"/>
      <c r="J804" s="263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</row>
    <row r="805">
      <c r="A805" s="228"/>
      <c r="B805" s="225"/>
      <c r="C805" s="225"/>
      <c r="D805" s="225"/>
      <c r="E805" s="262"/>
      <c r="F805" s="263"/>
      <c r="G805" s="263"/>
      <c r="H805" s="263"/>
      <c r="I805" s="263"/>
      <c r="J805" s="263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</row>
    <row r="806">
      <c r="A806" s="228"/>
      <c r="B806" s="225"/>
      <c r="C806" s="225"/>
      <c r="D806" s="225"/>
      <c r="E806" s="262"/>
      <c r="F806" s="263"/>
      <c r="G806" s="263"/>
      <c r="H806" s="263"/>
      <c r="I806" s="263"/>
      <c r="J806" s="263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</row>
    <row r="807">
      <c r="A807" s="228"/>
      <c r="B807" s="225"/>
      <c r="C807" s="225"/>
      <c r="D807" s="225"/>
      <c r="E807" s="262"/>
      <c r="F807" s="263"/>
      <c r="G807" s="263"/>
      <c r="H807" s="263"/>
      <c r="I807" s="263"/>
      <c r="J807" s="263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</row>
    <row r="808">
      <c r="A808" s="228"/>
      <c r="B808" s="225"/>
      <c r="C808" s="225"/>
      <c r="D808" s="225"/>
      <c r="E808" s="262"/>
      <c r="F808" s="263"/>
      <c r="G808" s="263"/>
      <c r="H808" s="263"/>
      <c r="I808" s="263"/>
      <c r="J808" s="263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</row>
    <row r="809">
      <c r="A809" s="228"/>
      <c r="B809" s="225"/>
      <c r="C809" s="225"/>
      <c r="D809" s="225"/>
      <c r="E809" s="262"/>
      <c r="F809" s="263"/>
      <c r="G809" s="263"/>
      <c r="H809" s="263"/>
      <c r="I809" s="263"/>
      <c r="J809" s="263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</row>
    <row r="810">
      <c r="A810" s="228"/>
      <c r="B810" s="225"/>
      <c r="C810" s="225"/>
      <c r="D810" s="225"/>
      <c r="E810" s="262"/>
      <c r="F810" s="263"/>
      <c r="G810" s="263"/>
      <c r="H810" s="263"/>
      <c r="I810" s="263"/>
      <c r="J810" s="263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</row>
    <row r="811">
      <c r="A811" s="228"/>
      <c r="B811" s="225"/>
      <c r="C811" s="225"/>
      <c r="D811" s="225"/>
      <c r="E811" s="262"/>
      <c r="F811" s="263"/>
      <c r="G811" s="263"/>
      <c r="H811" s="263"/>
      <c r="I811" s="263"/>
      <c r="J811" s="263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</row>
    <row r="812">
      <c r="A812" s="228"/>
      <c r="B812" s="225"/>
      <c r="C812" s="225"/>
      <c r="D812" s="225"/>
      <c r="E812" s="262"/>
      <c r="F812" s="263"/>
      <c r="G812" s="263"/>
      <c r="H812" s="263"/>
      <c r="I812" s="263"/>
      <c r="J812" s="263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</row>
    <row r="813">
      <c r="A813" s="228"/>
      <c r="B813" s="225"/>
      <c r="C813" s="225"/>
      <c r="D813" s="225"/>
      <c r="E813" s="262"/>
      <c r="F813" s="263"/>
      <c r="G813" s="263"/>
      <c r="H813" s="263"/>
      <c r="I813" s="263"/>
      <c r="J813" s="263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</row>
    <row r="814">
      <c r="A814" s="228"/>
      <c r="B814" s="225"/>
      <c r="C814" s="225"/>
      <c r="D814" s="225"/>
      <c r="E814" s="262"/>
      <c r="F814" s="263"/>
      <c r="G814" s="263"/>
      <c r="H814" s="263"/>
      <c r="I814" s="263"/>
      <c r="J814" s="263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</row>
    <row r="815">
      <c r="A815" s="228"/>
      <c r="B815" s="225"/>
      <c r="C815" s="225"/>
      <c r="D815" s="225"/>
      <c r="E815" s="262"/>
      <c r="F815" s="263"/>
      <c r="G815" s="263"/>
      <c r="H815" s="263"/>
      <c r="I815" s="263"/>
      <c r="J815" s="263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</row>
    <row r="816">
      <c r="A816" s="228"/>
      <c r="B816" s="225"/>
      <c r="C816" s="225"/>
      <c r="D816" s="225"/>
      <c r="E816" s="262"/>
      <c r="F816" s="263"/>
      <c r="G816" s="263"/>
      <c r="H816" s="263"/>
      <c r="I816" s="263"/>
      <c r="J816" s="263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</row>
    <row r="817">
      <c r="A817" s="228"/>
      <c r="B817" s="225"/>
      <c r="C817" s="225"/>
      <c r="D817" s="225"/>
      <c r="E817" s="262"/>
      <c r="F817" s="263"/>
      <c r="G817" s="263"/>
      <c r="H817" s="263"/>
      <c r="I817" s="263"/>
      <c r="J817" s="263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</row>
    <row r="818">
      <c r="A818" s="228"/>
      <c r="B818" s="225"/>
      <c r="C818" s="225"/>
      <c r="D818" s="225"/>
      <c r="E818" s="262"/>
      <c r="F818" s="263"/>
      <c r="G818" s="263"/>
      <c r="H818" s="263"/>
      <c r="I818" s="263"/>
      <c r="J818" s="263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</row>
    <row r="819">
      <c r="A819" s="228"/>
      <c r="B819" s="225"/>
      <c r="C819" s="225"/>
      <c r="D819" s="225"/>
      <c r="E819" s="262"/>
      <c r="F819" s="263"/>
      <c r="G819" s="263"/>
      <c r="H819" s="263"/>
      <c r="I819" s="263"/>
      <c r="J819" s="263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</row>
    <row r="820">
      <c r="A820" s="228"/>
      <c r="B820" s="225"/>
      <c r="C820" s="225"/>
      <c r="D820" s="225"/>
      <c r="E820" s="262"/>
      <c r="F820" s="263"/>
      <c r="G820" s="263"/>
      <c r="H820" s="263"/>
      <c r="I820" s="263"/>
      <c r="J820" s="263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</row>
    <row r="821">
      <c r="A821" s="228"/>
      <c r="B821" s="225"/>
      <c r="C821" s="225"/>
      <c r="D821" s="225"/>
      <c r="E821" s="262"/>
      <c r="F821" s="263"/>
      <c r="G821" s="263"/>
      <c r="H821" s="263"/>
      <c r="I821" s="263"/>
      <c r="J821" s="263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</row>
    <row r="822">
      <c r="A822" s="228"/>
      <c r="B822" s="225"/>
      <c r="C822" s="225"/>
      <c r="D822" s="225"/>
      <c r="E822" s="262"/>
      <c r="F822" s="263"/>
      <c r="G822" s="263"/>
      <c r="H822" s="263"/>
      <c r="I822" s="263"/>
      <c r="J822" s="263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</row>
    <row r="823">
      <c r="A823" s="228"/>
      <c r="B823" s="225"/>
      <c r="C823" s="225"/>
      <c r="D823" s="225"/>
      <c r="E823" s="262"/>
      <c r="F823" s="263"/>
      <c r="G823" s="263"/>
      <c r="H823" s="263"/>
      <c r="I823" s="263"/>
      <c r="J823" s="263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</row>
    <row r="824">
      <c r="A824" s="228"/>
      <c r="B824" s="225"/>
      <c r="C824" s="225"/>
      <c r="D824" s="225"/>
      <c r="E824" s="262"/>
      <c r="F824" s="263"/>
      <c r="G824" s="263"/>
      <c r="H824" s="263"/>
      <c r="I824" s="263"/>
      <c r="J824" s="263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</row>
    <row r="825">
      <c r="A825" s="228"/>
      <c r="B825" s="225"/>
      <c r="C825" s="225"/>
      <c r="D825" s="225"/>
      <c r="E825" s="262"/>
      <c r="F825" s="263"/>
      <c r="G825" s="263"/>
      <c r="H825" s="263"/>
      <c r="I825" s="263"/>
      <c r="J825" s="263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</row>
    <row r="826">
      <c r="A826" s="228"/>
      <c r="B826" s="225"/>
      <c r="C826" s="225"/>
      <c r="D826" s="225"/>
      <c r="E826" s="262"/>
      <c r="F826" s="263"/>
      <c r="G826" s="263"/>
      <c r="H826" s="263"/>
      <c r="I826" s="263"/>
      <c r="J826" s="263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</row>
    <row r="827">
      <c r="A827" s="228"/>
      <c r="B827" s="225"/>
      <c r="C827" s="225"/>
      <c r="D827" s="225"/>
      <c r="E827" s="262"/>
      <c r="F827" s="263"/>
      <c r="G827" s="263"/>
      <c r="H827" s="263"/>
      <c r="I827" s="263"/>
      <c r="J827" s="263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</row>
    <row r="828">
      <c r="A828" s="228"/>
      <c r="B828" s="225"/>
      <c r="C828" s="225"/>
      <c r="D828" s="225"/>
      <c r="E828" s="262"/>
      <c r="F828" s="263"/>
      <c r="G828" s="263"/>
      <c r="H828" s="263"/>
      <c r="I828" s="263"/>
      <c r="J828" s="263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</row>
    <row r="829">
      <c r="A829" s="228"/>
      <c r="B829" s="225"/>
      <c r="C829" s="225"/>
      <c r="D829" s="225"/>
      <c r="E829" s="262"/>
      <c r="F829" s="263"/>
      <c r="G829" s="263"/>
      <c r="H829" s="263"/>
      <c r="I829" s="263"/>
      <c r="J829" s="263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</row>
    <row r="830">
      <c r="A830" s="228"/>
      <c r="B830" s="225"/>
      <c r="C830" s="225"/>
      <c r="D830" s="225"/>
      <c r="E830" s="262"/>
      <c r="F830" s="263"/>
      <c r="G830" s="263"/>
      <c r="H830" s="263"/>
      <c r="I830" s="263"/>
      <c r="J830" s="263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</row>
    <row r="831">
      <c r="A831" s="228"/>
      <c r="B831" s="225"/>
      <c r="C831" s="225"/>
      <c r="D831" s="225"/>
      <c r="E831" s="262"/>
      <c r="F831" s="263"/>
      <c r="G831" s="263"/>
      <c r="H831" s="263"/>
      <c r="I831" s="263"/>
      <c r="J831" s="263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</row>
    <row r="832">
      <c r="A832" s="228"/>
      <c r="B832" s="225"/>
      <c r="C832" s="225"/>
      <c r="D832" s="225"/>
      <c r="E832" s="262"/>
      <c r="F832" s="263"/>
      <c r="G832" s="263"/>
      <c r="H832" s="263"/>
      <c r="I832" s="263"/>
      <c r="J832" s="263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</row>
    <row r="833">
      <c r="A833" s="228"/>
      <c r="B833" s="225"/>
      <c r="C833" s="225"/>
      <c r="D833" s="225"/>
      <c r="E833" s="262"/>
      <c r="F833" s="263"/>
      <c r="G833" s="263"/>
      <c r="H833" s="263"/>
      <c r="I833" s="263"/>
      <c r="J833" s="263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</row>
    <row r="834">
      <c r="A834" s="228"/>
      <c r="B834" s="225"/>
      <c r="C834" s="225"/>
      <c r="D834" s="225"/>
      <c r="E834" s="262"/>
      <c r="F834" s="263"/>
      <c r="G834" s="263"/>
      <c r="H834" s="263"/>
      <c r="I834" s="263"/>
      <c r="J834" s="263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</row>
    <row r="835">
      <c r="A835" s="228"/>
      <c r="B835" s="225"/>
      <c r="C835" s="225"/>
      <c r="D835" s="225"/>
      <c r="E835" s="262"/>
      <c r="F835" s="263"/>
      <c r="G835" s="263"/>
      <c r="H835" s="263"/>
      <c r="I835" s="263"/>
      <c r="J835" s="263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</row>
    <row r="836">
      <c r="A836" s="228"/>
      <c r="B836" s="225"/>
      <c r="C836" s="225"/>
      <c r="D836" s="225"/>
      <c r="E836" s="262"/>
      <c r="F836" s="263"/>
      <c r="G836" s="263"/>
      <c r="H836" s="263"/>
      <c r="I836" s="263"/>
      <c r="J836" s="263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</row>
    <row r="837">
      <c r="A837" s="228"/>
      <c r="B837" s="225"/>
      <c r="C837" s="225"/>
      <c r="D837" s="225"/>
      <c r="E837" s="262"/>
      <c r="F837" s="263"/>
      <c r="G837" s="263"/>
      <c r="H837" s="263"/>
      <c r="I837" s="263"/>
      <c r="J837" s="263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  <c r="AB837" s="228"/>
    </row>
    <row r="838">
      <c r="A838" s="228"/>
      <c r="B838" s="225"/>
      <c r="C838" s="225"/>
      <c r="D838" s="225"/>
      <c r="E838" s="262"/>
      <c r="F838" s="263"/>
      <c r="G838" s="263"/>
      <c r="H838" s="263"/>
      <c r="I838" s="263"/>
      <c r="J838" s="263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  <c r="AB838" s="228"/>
    </row>
    <row r="839">
      <c r="A839" s="228"/>
      <c r="B839" s="225"/>
      <c r="C839" s="225"/>
      <c r="D839" s="225"/>
      <c r="E839" s="262"/>
      <c r="F839" s="263"/>
      <c r="G839" s="263"/>
      <c r="H839" s="263"/>
      <c r="I839" s="263"/>
      <c r="J839" s="263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  <c r="AB839" s="228"/>
    </row>
    <row r="840">
      <c r="A840" s="228"/>
      <c r="B840" s="225"/>
      <c r="C840" s="225"/>
      <c r="D840" s="225"/>
      <c r="E840" s="262"/>
      <c r="F840" s="263"/>
      <c r="G840" s="263"/>
      <c r="H840" s="263"/>
      <c r="I840" s="263"/>
      <c r="J840" s="263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  <c r="AB840" s="228"/>
    </row>
    <row r="841">
      <c r="A841" s="228"/>
      <c r="B841" s="225"/>
      <c r="C841" s="225"/>
      <c r="D841" s="225"/>
      <c r="E841" s="262"/>
      <c r="F841" s="263"/>
      <c r="G841" s="263"/>
      <c r="H841" s="263"/>
      <c r="I841" s="263"/>
      <c r="J841" s="263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  <c r="AB841" s="228"/>
    </row>
    <row r="842">
      <c r="A842" s="228"/>
      <c r="B842" s="225"/>
      <c r="C842" s="225"/>
      <c r="D842" s="225"/>
      <c r="E842" s="262"/>
      <c r="F842" s="263"/>
      <c r="G842" s="263"/>
      <c r="H842" s="263"/>
      <c r="I842" s="263"/>
      <c r="J842" s="263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</row>
    <row r="843">
      <c r="A843" s="228"/>
      <c r="B843" s="225"/>
      <c r="C843" s="225"/>
      <c r="D843" s="225"/>
      <c r="E843" s="262"/>
      <c r="F843" s="263"/>
      <c r="G843" s="263"/>
      <c r="H843" s="263"/>
      <c r="I843" s="263"/>
      <c r="J843" s="263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</row>
    <row r="844">
      <c r="A844" s="228"/>
      <c r="B844" s="225"/>
      <c r="C844" s="225"/>
      <c r="D844" s="225"/>
      <c r="E844" s="262"/>
      <c r="F844" s="263"/>
      <c r="G844" s="263"/>
      <c r="H844" s="263"/>
      <c r="I844" s="263"/>
      <c r="J844" s="263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</row>
    <row r="845">
      <c r="A845" s="228"/>
      <c r="B845" s="225"/>
      <c r="C845" s="225"/>
      <c r="D845" s="225"/>
      <c r="E845" s="262"/>
      <c r="F845" s="263"/>
      <c r="G845" s="263"/>
      <c r="H845" s="263"/>
      <c r="I845" s="263"/>
      <c r="J845" s="263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</row>
    <row r="846">
      <c r="A846" s="228"/>
      <c r="B846" s="225"/>
      <c r="C846" s="225"/>
      <c r="D846" s="225"/>
      <c r="E846" s="262"/>
      <c r="F846" s="263"/>
      <c r="G846" s="263"/>
      <c r="H846" s="263"/>
      <c r="I846" s="263"/>
      <c r="J846" s="263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  <c r="AB846" s="228"/>
    </row>
    <row r="847">
      <c r="A847" s="228"/>
      <c r="B847" s="225"/>
      <c r="C847" s="225"/>
      <c r="D847" s="225"/>
      <c r="E847" s="262"/>
      <c r="F847" s="263"/>
      <c r="G847" s="263"/>
      <c r="H847" s="263"/>
      <c r="I847" s="263"/>
      <c r="J847" s="263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  <c r="AB847" s="228"/>
    </row>
    <row r="848">
      <c r="A848" s="228"/>
      <c r="B848" s="225"/>
      <c r="C848" s="225"/>
      <c r="D848" s="225"/>
      <c r="E848" s="262"/>
      <c r="F848" s="263"/>
      <c r="G848" s="263"/>
      <c r="H848" s="263"/>
      <c r="I848" s="263"/>
      <c r="J848" s="263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  <c r="AB848" s="228"/>
    </row>
    <row r="849">
      <c r="A849" s="228"/>
      <c r="B849" s="225"/>
      <c r="C849" s="225"/>
      <c r="D849" s="225"/>
      <c r="E849" s="262"/>
      <c r="F849" s="263"/>
      <c r="G849" s="263"/>
      <c r="H849" s="263"/>
      <c r="I849" s="263"/>
      <c r="J849" s="263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  <c r="AB849" s="228"/>
    </row>
    <row r="850">
      <c r="A850" s="228"/>
      <c r="B850" s="225"/>
      <c r="C850" s="225"/>
      <c r="D850" s="225"/>
      <c r="E850" s="262"/>
      <c r="F850" s="263"/>
      <c r="G850" s="263"/>
      <c r="H850" s="263"/>
      <c r="I850" s="263"/>
      <c r="J850" s="263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  <c r="AB850" s="228"/>
    </row>
    <row r="851">
      <c r="A851" s="228"/>
      <c r="B851" s="225"/>
      <c r="C851" s="225"/>
      <c r="D851" s="225"/>
      <c r="E851" s="262"/>
      <c r="F851" s="263"/>
      <c r="G851" s="263"/>
      <c r="H851" s="263"/>
      <c r="I851" s="263"/>
      <c r="J851" s="263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  <c r="AB851" s="228"/>
    </row>
    <row r="852">
      <c r="A852" s="228"/>
      <c r="B852" s="225"/>
      <c r="C852" s="225"/>
      <c r="D852" s="225"/>
      <c r="E852" s="262"/>
      <c r="F852" s="263"/>
      <c r="G852" s="263"/>
      <c r="H852" s="263"/>
      <c r="I852" s="263"/>
      <c r="J852" s="263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  <c r="AB852" s="228"/>
    </row>
    <row r="853">
      <c r="A853" s="228"/>
      <c r="B853" s="225"/>
      <c r="C853" s="225"/>
      <c r="D853" s="225"/>
      <c r="E853" s="262"/>
      <c r="F853" s="263"/>
      <c r="G853" s="263"/>
      <c r="H853" s="263"/>
      <c r="I853" s="263"/>
      <c r="J853" s="263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  <c r="AB853" s="228"/>
    </row>
    <row r="854">
      <c r="A854" s="228"/>
      <c r="B854" s="225"/>
      <c r="C854" s="225"/>
      <c r="D854" s="225"/>
      <c r="E854" s="262"/>
      <c r="F854" s="263"/>
      <c r="G854" s="263"/>
      <c r="H854" s="263"/>
      <c r="I854" s="263"/>
      <c r="J854" s="263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  <c r="AB854" s="228"/>
    </row>
    <row r="855">
      <c r="A855" s="228"/>
      <c r="B855" s="225"/>
      <c r="C855" s="225"/>
      <c r="D855" s="225"/>
      <c r="E855" s="262"/>
      <c r="F855" s="263"/>
      <c r="G855" s="263"/>
      <c r="H855" s="263"/>
      <c r="I855" s="263"/>
      <c r="J855" s="263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  <c r="AB855" s="228"/>
    </row>
    <row r="856">
      <c r="A856" s="228"/>
      <c r="B856" s="225"/>
      <c r="C856" s="225"/>
      <c r="D856" s="225"/>
      <c r="E856" s="262"/>
      <c r="F856" s="263"/>
      <c r="G856" s="263"/>
      <c r="H856" s="263"/>
      <c r="I856" s="263"/>
      <c r="J856" s="263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  <c r="AB856" s="228"/>
    </row>
    <row r="857">
      <c r="A857" s="228"/>
      <c r="B857" s="225"/>
      <c r="C857" s="225"/>
      <c r="D857" s="225"/>
      <c r="E857" s="262"/>
      <c r="F857" s="263"/>
      <c r="G857" s="263"/>
      <c r="H857" s="263"/>
      <c r="I857" s="263"/>
      <c r="J857" s="263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  <c r="AB857" s="228"/>
    </row>
    <row r="858">
      <c r="A858" s="228"/>
      <c r="B858" s="225"/>
      <c r="C858" s="225"/>
      <c r="D858" s="225"/>
      <c r="E858" s="262"/>
      <c r="F858" s="263"/>
      <c r="G858" s="263"/>
      <c r="H858" s="263"/>
      <c r="I858" s="263"/>
      <c r="J858" s="263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  <c r="AB858" s="228"/>
    </row>
    <row r="859">
      <c r="A859" s="228"/>
      <c r="B859" s="225"/>
      <c r="C859" s="225"/>
      <c r="D859" s="225"/>
      <c r="E859" s="262"/>
      <c r="F859" s="263"/>
      <c r="G859" s="263"/>
      <c r="H859" s="263"/>
      <c r="I859" s="263"/>
      <c r="J859" s="263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  <c r="AB859" s="228"/>
    </row>
    <row r="860">
      <c r="A860" s="228"/>
      <c r="B860" s="225"/>
      <c r="C860" s="225"/>
      <c r="D860" s="225"/>
      <c r="E860" s="262"/>
      <c r="F860" s="263"/>
      <c r="G860" s="263"/>
      <c r="H860" s="263"/>
      <c r="I860" s="263"/>
      <c r="J860" s="263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  <c r="AB860" s="228"/>
    </row>
    <row r="861">
      <c r="A861" s="228"/>
      <c r="B861" s="225"/>
      <c r="C861" s="225"/>
      <c r="D861" s="225"/>
      <c r="E861" s="262"/>
      <c r="F861" s="263"/>
      <c r="G861" s="263"/>
      <c r="H861" s="263"/>
      <c r="I861" s="263"/>
      <c r="J861" s="263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  <c r="AB861" s="228"/>
    </row>
    <row r="862">
      <c r="A862" s="228"/>
      <c r="B862" s="225"/>
      <c r="C862" s="225"/>
      <c r="D862" s="225"/>
      <c r="E862" s="262"/>
      <c r="F862" s="263"/>
      <c r="G862" s="263"/>
      <c r="H862" s="263"/>
      <c r="I862" s="263"/>
      <c r="J862" s="263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  <c r="AB862" s="228"/>
    </row>
    <row r="863">
      <c r="A863" s="228"/>
      <c r="B863" s="225"/>
      <c r="C863" s="225"/>
      <c r="D863" s="225"/>
      <c r="E863" s="262"/>
      <c r="F863" s="263"/>
      <c r="G863" s="263"/>
      <c r="H863" s="263"/>
      <c r="I863" s="263"/>
      <c r="J863" s="263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  <c r="AB863" s="228"/>
    </row>
    <row r="864">
      <c r="A864" s="228"/>
      <c r="B864" s="225"/>
      <c r="C864" s="225"/>
      <c r="D864" s="225"/>
      <c r="E864" s="262"/>
      <c r="F864" s="263"/>
      <c r="G864" s="263"/>
      <c r="H864" s="263"/>
      <c r="I864" s="263"/>
      <c r="J864" s="263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  <c r="AB864" s="228"/>
    </row>
    <row r="865">
      <c r="A865" s="228"/>
      <c r="B865" s="225"/>
      <c r="C865" s="225"/>
      <c r="D865" s="225"/>
      <c r="E865" s="262"/>
      <c r="F865" s="263"/>
      <c r="G865" s="263"/>
      <c r="H865" s="263"/>
      <c r="I865" s="263"/>
      <c r="J865" s="263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  <c r="AB865" s="228"/>
    </row>
    <row r="866">
      <c r="A866" s="228"/>
      <c r="B866" s="225"/>
      <c r="C866" s="225"/>
      <c r="D866" s="225"/>
      <c r="E866" s="262"/>
      <c r="F866" s="263"/>
      <c r="G866" s="263"/>
      <c r="H866" s="263"/>
      <c r="I866" s="263"/>
      <c r="J866" s="263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  <c r="AB866" s="228"/>
    </row>
    <row r="867">
      <c r="A867" s="228"/>
      <c r="B867" s="225"/>
      <c r="C867" s="225"/>
      <c r="D867" s="225"/>
      <c r="E867" s="262"/>
      <c r="F867" s="263"/>
      <c r="G867" s="263"/>
      <c r="H867" s="263"/>
      <c r="I867" s="263"/>
      <c r="J867" s="263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  <c r="AB867" s="228"/>
    </row>
    <row r="868">
      <c r="A868" s="228"/>
      <c r="B868" s="225"/>
      <c r="C868" s="225"/>
      <c r="D868" s="225"/>
      <c r="E868" s="262"/>
      <c r="F868" s="263"/>
      <c r="G868" s="263"/>
      <c r="H868" s="263"/>
      <c r="I868" s="263"/>
      <c r="J868" s="263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  <c r="AB868" s="228"/>
    </row>
    <row r="869">
      <c r="A869" s="228"/>
      <c r="B869" s="225"/>
      <c r="C869" s="225"/>
      <c r="D869" s="225"/>
      <c r="E869" s="262"/>
      <c r="F869" s="263"/>
      <c r="G869" s="263"/>
      <c r="H869" s="263"/>
      <c r="I869" s="263"/>
      <c r="J869" s="263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  <c r="AB869" s="228"/>
    </row>
    <row r="870">
      <c r="A870" s="228"/>
      <c r="B870" s="225"/>
      <c r="C870" s="225"/>
      <c r="D870" s="225"/>
      <c r="E870" s="262"/>
      <c r="F870" s="263"/>
      <c r="G870" s="263"/>
      <c r="H870" s="263"/>
      <c r="I870" s="263"/>
      <c r="J870" s="263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  <c r="AB870" s="228"/>
    </row>
    <row r="871">
      <c r="A871" s="228"/>
      <c r="B871" s="225"/>
      <c r="C871" s="225"/>
      <c r="D871" s="225"/>
      <c r="E871" s="262"/>
      <c r="F871" s="263"/>
      <c r="G871" s="263"/>
      <c r="H871" s="263"/>
      <c r="I871" s="263"/>
      <c r="J871" s="263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  <c r="AB871" s="228"/>
    </row>
    <row r="872">
      <c r="A872" s="228"/>
      <c r="B872" s="225"/>
      <c r="C872" s="225"/>
      <c r="D872" s="225"/>
      <c r="E872" s="262"/>
      <c r="F872" s="263"/>
      <c r="G872" s="263"/>
      <c r="H872" s="263"/>
      <c r="I872" s="263"/>
      <c r="J872" s="263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  <c r="AB872" s="228"/>
    </row>
    <row r="873">
      <c r="A873" s="228"/>
      <c r="B873" s="225"/>
      <c r="C873" s="225"/>
      <c r="D873" s="225"/>
      <c r="E873" s="262"/>
      <c r="F873" s="263"/>
      <c r="G873" s="263"/>
      <c r="H873" s="263"/>
      <c r="I873" s="263"/>
      <c r="J873" s="263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  <c r="AB873" s="228"/>
    </row>
    <row r="874">
      <c r="A874" s="228"/>
      <c r="B874" s="225"/>
      <c r="C874" s="225"/>
      <c r="D874" s="225"/>
      <c r="E874" s="262"/>
      <c r="F874" s="263"/>
      <c r="G874" s="263"/>
      <c r="H874" s="263"/>
      <c r="I874" s="263"/>
      <c r="J874" s="263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  <c r="AB874" s="228"/>
    </row>
    <row r="875">
      <c r="A875" s="228"/>
      <c r="B875" s="225"/>
      <c r="C875" s="225"/>
      <c r="D875" s="225"/>
      <c r="E875" s="262"/>
      <c r="F875" s="263"/>
      <c r="G875" s="263"/>
      <c r="H875" s="263"/>
      <c r="I875" s="263"/>
      <c r="J875" s="263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  <c r="AB875" s="228"/>
    </row>
    <row r="876">
      <c r="A876" s="228"/>
      <c r="B876" s="225"/>
      <c r="C876" s="225"/>
      <c r="D876" s="225"/>
      <c r="E876" s="262"/>
      <c r="F876" s="263"/>
      <c r="G876" s="263"/>
      <c r="H876" s="263"/>
      <c r="I876" s="263"/>
      <c r="J876" s="263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  <c r="AB876" s="228"/>
    </row>
    <row r="877">
      <c r="A877" s="228"/>
      <c r="B877" s="225"/>
      <c r="C877" s="225"/>
      <c r="D877" s="225"/>
      <c r="E877" s="262"/>
      <c r="F877" s="263"/>
      <c r="G877" s="263"/>
      <c r="H877" s="263"/>
      <c r="I877" s="263"/>
      <c r="J877" s="263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  <c r="AB877" s="228"/>
    </row>
    <row r="878">
      <c r="A878" s="228"/>
      <c r="B878" s="225"/>
      <c r="C878" s="225"/>
      <c r="D878" s="225"/>
      <c r="E878" s="262"/>
      <c r="F878" s="263"/>
      <c r="G878" s="263"/>
      <c r="H878" s="263"/>
      <c r="I878" s="263"/>
      <c r="J878" s="263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  <c r="AB878" s="228"/>
    </row>
    <row r="879">
      <c r="A879" s="228"/>
      <c r="B879" s="225"/>
      <c r="C879" s="225"/>
      <c r="D879" s="225"/>
      <c r="E879" s="262"/>
      <c r="F879" s="263"/>
      <c r="G879" s="263"/>
      <c r="H879" s="263"/>
      <c r="I879" s="263"/>
      <c r="J879" s="263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  <c r="AB879" s="228"/>
    </row>
    <row r="880">
      <c r="A880" s="228"/>
      <c r="B880" s="225"/>
      <c r="C880" s="225"/>
      <c r="D880" s="225"/>
      <c r="E880" s="262"/>
      <c r="F880" s="263"/>
      <c r="G880" s="263"/>
      <c r="H880" s="263"/>
      <c r="I880" s="263"/>
      <c r="J880" s="263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  <c r="AB880" s="228"/>
    </row>
    <row r="881">
      <c r="A881" s="228"/>
      <c r="B881" s="225"/>
      <c r="C881" s="225"/>
      <c r="D881" s="225"/>
      <c r="E881" s="262"/>
      <c r="F881" s="263"/>
      <c r="G881" s="263"/>
      <c r="H881" s="263"/>
      <c r="I881" s="263"/>
      <c r="J881" s="263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  <c r="AB881" s="228"/>
    </row>
    <row r="882">
      <c r="A882" s="228"/>
      <c r="B882" s="225"/>
      <c r="C882" s="225"/>
      <c r="D882" s="225"/>
      <c r="E882" s="262"/>
      <c r="F882" s="263"/>
      <c r="G882" s="263"/>
      <c r="H882" s="263"/>
      <c r="I882" s="263"/>
      <c r="J882" s="263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  <c r="AB882" s="228"/>
    </row>
    <row r="883">
      <c r="A883" s="228"/>
      <c r="B883" s="225"/>
      <c r="C883" s="225"/>
      <c r="D883" s="225"/>
      <c r="E883" s="262"/>
      <c r="F883" s="263"/>
      <c r="G883" s="263"/>
      <c r="H883" s="263"/>
      <c r="I883" s="263"/>
      <c r="J883" s="263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  <c r="AB883" s="228"/>
    </row>
    <row r="884">
      <c r="A884" s="228"/>
      <c r="B884" s="225"/>
      <c r="C884" s="225"/>
      <c r="D884" s="225"/>
      <c r="E884" s="262"/>
      <c r="F884" s="263"/>
      <c r="G884" s="263"/>
      <c r="H884" s="263"/>
      <c r="I884" s="263"/>
      <c r="J884" s="263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  <c r="AB884" s="228"/>
    </row>
    <row r="885">
      <c r="A885" s="228"/>
      <c r="B885" s="225"/>
      <c r="C885" s="225"/>
      <c r="D885" s="225"/>
      <c r="E885" s="262"/>
      <c r="F885" s="263"/>
      <c r="G885" s="263"/>
      <c r="H885" s="263"/>
      <c r="I885" s="263"/>
      <c r="J885" s="263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  <c r="AB885" s="228"/>
    </row>
    <row r="886">
      <c r="A886" s="228"/>
      <c r="B886" s="225"/>
      <c r="C886" s="225"/>
      <c r="D886" s="225"/>
      <c r="E886" s="262"/>
      <c r="F886" s="263"/>
      <c r="G886" s="263"/>
      <c r="H886" s="263"/>
      <c r="I886" s="263"/>
      <c r="J886" s="263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  <c r="AB886" s="228"/>
    </row>
    <row r="887">
      <c r="A887" s="228"/>
      <c r="B887" s="225"/>
      <c r="C887" s="225"/>
      <c r="D887" s="225"/>
      <c r="E887" s="262"/>
      <c r="F887" s="263"/>
      <c r="G887" s="263"/>
      <c r="H887" s="263"/>
      <c r="I887" s="263"/>
      <c r="J887" s="263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  <c r="AB887" s="228"/>
    </row>
    <row r="888">
      <c r="A888" s="228"/>
      <c r="B888" s="225"/>
      <c r="C888" s="225"/>
      <c r="D888" s="225"/>
      <c r="E888" s="262"/>
      <c r="F888" s="263"/>
      <c r="G888" s="263"/>
      <c r="H888" s="263"/>
      <c r="I888" s="263"/>
      <c r="J888" s="263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  <c r="AB888" s="228"/>
    </row>
    <row r="889">
      <c r="A889" s="228"/>
      <c r="B889" s="225"/>
      <c r="C889" s="225"/>
      <c r="D889" s="225"/>
      <c r="E889" s="262"/>
      <c r="F889" s="263"/>
      <c r="G889" s="263"/>
      <c r="H889" s="263"/>
      <c r="I889" s="263"/>
      <c r="J889" s="263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  <c r="AB889" s="228"/>
    </row>
    <row r="890">
      <c r="A890" s="228"/>
      <c r="B890" s="225"/>
      <c r="C890" s="225"/>
      <c r="D890" s="225"/>
      <c r="E890" s="262"/>
      <c r="F890" s="263"/>
      <c r="G890" s="263"/>
      <c r="H890" s="263"/>
      <c r="I890" s="263"/>
      <c r="J890" s="263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  <c r="AB890" s="228"/>
    </row>
    <row r="891">
      <c r="A891" s="228"/>
      <c r="B891" s="225"/>
      <c r="C891" s="225"/>
      <c r="D891" s="225"/>
      <c r="E891" s="262"/>
      <c r="F891" s="263"/>
      <c r="G891" s="263"/>
      <c r="H891" s="263"/>
      <c r="I891" s="263"/>
      <c r="J891" s="263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  <c r="AB891" s="228"/>
    </row>
    <row r="892">
      <c r="A892" s="228"/>
      <c r="B892" s="225"/>
      <c r="C892" s="225"/>
      <c r="D892" s="225"/>
      <c r="E892" s="262"/>
      <c r="F892" s="263"/>
      <c r="G892" s="263"/>
      <c r="H892" s="263"/>
      <c r="I892" s="263"/>
      <c r="J892" s="263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  <c r="AB892" s="228"/>
    </row>
    <row r="893">
      <c r="A893" s="228"/>
      <c r="B893" s="225"/>
      <c r="C893" s="225"/>
      <c r="D893" s="225"/>
      <c r="E893" s="262"/>
      <c r="F893" s="263"/>
      <c r="G893" s="263"/>
      <c r="H893" s="263"/>
      <c r="I893" s="263"/>
      <c r="J893" s="263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  <c r="AB893" s="228"/>
    </row>
    <row r="894">
      <c r="A894" s="228"/>
      <c r="B894" s="225"/>
      <c r="C894" s="225"/>
      <c r="D894" s="225"/>
      <c r="E894" s="262"/>
      <c r="F894" s="263"/>
      <c r="G894" s="263"/>
      <c r="H894" s="263"/>
      <c r="I894" s="263"/>
      <c r="J894" s="263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  <c r="AB894" s="228"/>
    </row>
    <row r="895">
      <c r="A895" s="228"/>
      <c r="B895" s="225"/>
      <c r="C895" s="225"/>
      <c r="D895" s="225"/>
      <c r="E895" s="262"/>
      <c r="F895" s="263"/>
      <c r="G895" s="263"/>
      <c r="H895" s="263"/>
      <c r="I895" s="263"/>
      <c r="J895" s="263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  <c r="AB895" s="228"/>
    </row>
    <row r="896">
      <c r="A896" s="228"/>
      <c r="B896" s="225"/>
      <c r="C896" s="225"/>
      <c r="D896" s="225"/>
      <c r="E896" s="262"/>
      <c r="F896" s="263"/>
      <c r="G896" s="263"/>
      <c r="H896" s="263"/>
      <c r="I896" s="263"/>
      <c r="J896" s="263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  <c r="AB896" s="228"/>
    </row>
    <row r="897">
      <c r="A897" s="228"/>
      <c r="B897" s="225"/>
      <c r="C897" s="225"/>
      <c r="D897" s="225"/>
      <c r="E897" s="262"/>
      <c r="F897" s="263"/>
      <c r="G897" s="263"/>
      <c r="H897" s="263"/>
      <c r="I897" s="263"/>
      <c r="J897" s="263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  <c r="AB897" s="228"/>
    </row>
    <row r="898">
      <c r="A898" s="228"/>
      <c r="B898" s="225"/>
      <c r="C898" s="225"/>
      <c r="D898" s="225"/>
      <c r="E898" s="262"/>
      <c r="F898" s="263"/>
      <c r="G898" s="263"/>
      <c r="H898" s="263"/>
      <c r="I898" s="263"/>
      <c r="J898" s="263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  <c r="AB898" s="228"/>
    </row>
    <row r="899">
      <c r="A899" s="228"/>
      <c r="B899" s="225"/>
      <c r="C899" s="225"/>
      <c r="D899" s="225"/>
      <c r="E899" s="262"/>
      <c r="F899" s="263"/>
      <c r="G899" s="263"/>
      <c r="H899" s="263"/>
      <c r="I899" s="263"/>
      <c r="J899" s="263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  <c r="AB899" s="228"/>
    </row>
    <row r="900">
      <c r="A900" s="228"/>
      <c r="B900" s="225"/>
      <c r="C900" s="225"/>
      <c r="D900" s="225"/>
      <c r="E900" s="262"/>
      <c r="F900" s="263"/>
      <c r="G900" s="263"/>
      <c r="H900" s="263"/>
      <c r="I900" s="263"/>
      <c r="J900" s="263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  <c r="AB900" s="228"/>
    </row>
    <row r="901">
      <c r="A901" s="228"/>
      <c r="B901" s="225"/>
      <c r="C901" s="225"/>
      <c r="D901" s="225"/>
      <c r="E901" s="262"/>
      <c r="F901" s="263"/>
      <c r="G901" s="263"/>
      <c r="H901" s="263"/>
      <c r="I901" s="263"/>
      <c r="J901" s="263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  <c r="AB901" s="228"/>
    </row>
    <row r="902">
      <c r="A902" s="228"/>
      <c r="B902" s="225"/>
      <c r="C902" s="225"/>
      <c r="D902" s="225"/>
      <c r="E902" s="262"/>
      <c r="F902" s="263"/>
      <c r="G902" s="263"/>
      <c r="H902" s="263"/>
      <c r="I902" s="263"/>
      <c r="J902" s="263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  <c r="AB902" s="228"/>
    </row>
    <row r="903">
      <c r="A903" s="228"/>
      <c r="B903" s="225"/>
      <c r="C903" s="225"/>
      <c r="D903" s="225"/>
      <c r="E903" s="262"/>
      <c r="F903" s="263"/>
      <c r="G903" s="263"/>
      <c r="H903" s="263"/>
      <c r="I903" s="263"/>
      <c r="J903" s="263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  <c r="AB903" s="228"/>
    </row>
    <row r="904">
      <c r="A904" s="228"/>
      <c r="B904" s="225"/>
      <c r="C904" s="225"/>
      <c r="D904" s="225"/>
      <c r="E904" s="262"/>
      <c r="F904" s="263"/>
      <c r="G904" s="263"/>
      <c r="H904" s="263"/>
      <c r="I904" s="263"/>
      <c r="J904" s="263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  <c r="AB904" s="228"/>
    </row>
    <row r="905">
      <c r="A905" s="228"/>
      <c r="B905" s="225"/>
      <c r="C905" s="225"/>
      <c r="D905" s="225"/>
      <c r="E905" s="262"/>
      <c r="F905" s="263"/>
      <c r="G905" s="263"/>
      <c r="H905" s="263"/>
      <c r="I905" s="263"/>
      <c r="J905" s="263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  <c r="AB905" s="228"/>
    </row>
    <row r="906">
      <c r="A906" s="228"/>
      <c r="B906" s="225"/>
      <c r="C906" s="225"/>
      <c r="D906" s="225"/>
      <c r="E906" s="262"/>
      <c r="F906" s="263"/>
      <c r="G906" s="263"/>
      <c r="H906" s="263"/>
      <c r="I906" s="263"/>
      <c r="J906" s="263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  <c r="AB906" s="228"/>
    </row>
    <row r="907">
      <c r="A907" s="228"/>
      <c r="B907" s="225"/>
      <c r="C907" s="225"/>
      <c r="D907" s="225"/>
      <c r="E907" s="262"/>
      <c r="F907" s="263"/>
      <c r="G907" s="263"/>
      <c r="H907" s="263"/>
      <c r="I907" s="263"/>
      <c r="J907" s="263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  <c r="AB907" s="228"/>
    </row>
    <row r="908">
      <c r="A908" s="228"/>
      <c r="B908" s="225"/>
      <c r="C908" s="225"/>
      <c r="D908" s="225"/>
      <c r="E908" s="262"/>
      <c r="F908" s="263"/>
      <c r="G908" s="263"/>
      <c r="H908" s="263"/>
      <c r="I908" s="263"/>
      <c r="J908" s="263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  <c r="AB908" s="228"/>
    </row>
    <row r="909">
      <c r="A909" s="228"/>
      <c r="B909" s="225"/>
      <c r="C909" s="225"/>
      <c r="D909" s="225"/>
      <c r="E909" s="262"/>
      <c r="F909" s="263"/>
      <c r="G909" s="263"/>
      <c r="H909" s="263"/>
      <c r="I909" s="263"/>
      <c r="J909" s="263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  <c r="AB909" s="228"/>
    </row>
    <row r="910">
      <c r="A910" s="228"/>
      <c r="B910" s="225"/>
      <c r="C910" s="225"/>
      <c r="D910" s="225"/>
      <c r="E910" s="262"/>
      <c r="F910" s="263"/>
      <c r="G910" s="263"/>
      <c r="H910" s="263"/>
      <c r="I910" s="263"/>
      <c r="J910" s="263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  <c r="AB910" s="228"/>
    </row>
    <row r="911">
      <c r="A911" s="228"/>
      <c r="B911" s="225"/>
      <c r="C911" s="225"/>
      <c r="D911" s="225"/>
      <c r="E911" s="262"/>
      <c r="F911" s="263"/>
      <c r="G911" s="263"/>
      <c r="H911" s="263"/>
      <c r="I911" s="263"/>
      <c r="J911" s="263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  <c r="AB911" s="228"/>
    </row>
    <row r="912">
      <c r="A912" s="228"/>
      <c r="B912" s="225"/>
      <c r="C912" s="225"/>
      <c r="D912" s="225"/>
      <c r="E912" s="262"/>
      <c r="F912" s="263"/>
      <c r="G912" s="263"/>
      <c r="H912" s="263"/>
      <c r="I912" s="263"/>
      <c r="J912" s="263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  <c r="AB912" s="228"/>
    </row>
    <row r="913">
      <c r="A913" s="228"/>
      <c r="B913" s="225"/>
      <c r="C913" s="225"/>
      <c r="D913" s="225"/>
      <c r="E913" s="262"/>
      <c r="F913" s="263"/>
      <c r="G913" s="263"/>
      <c r="H913" s="263"/>
      <c r="I913" s="263"/>
      <c r="J913" s="263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  <c r="AB913" s="228"/>
    </row>
    <row r="914">
      <c r="A914" s="228"/>
      <c r="B914" s="225"/>
      <c r="C914" s="225"/>
      <c r="D914" s="225"/>
      <c r="E914" s="262"/>
      <c r="F914" s="263"/>
      <c r="G914" s="263"/>
      <c r="H914" s="263"/>
      <c r="I914" s="263"/>
      <c r="J914" s="263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  <c r="AB914" s="228"/>
    </row>
    <row r="915">
      <c r="A915" s="228"/>
      <c r="B915" s="225"/>
      <c r="C915" s="225"/>
      <c r="D915" s="225"/>
      <c r="E915" s="262"/>
      <c r="F915" s="263"/>
      <c r="G915" s="263"/>
      <c r="H915" s="263"/>
      <c r="I915" s="263"/>
      <c r="J915" s="263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  <c r="AB915" s="228"/>
    </row>
    <row r="916">
      <c r="A916" s="228"/>
      <c r="B916" s="225"/>
      <c r="C916" s="225"/>
      <c r="D916" s="225"/>
      <c r="E916" s="262"/>
      <c r="F916" s="263"/>
      <c r="G916" s="263"/>
      <c r="H916" s="263"/>
      <c r="I916" s="263"/>
      <c r="J916" s="263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  <c r="AB916" s="228"/>
    </row>
    <row r="917">
      <c r="A917" s="228"/>
      <c r="B917" s="225"/>
      <c r="C917" s="225"/>
      <c r="D917" s="225"/>
      <c r="E917" s="262"/>
      <c r="F917" s="263"/>
      <c r="G917" s="263"/>
      <c r="H917" s="263"/>
      <c r="I917" s="263"/>
      <c r="J917" s="263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  <c r="AB917" s="228"/>
    </row>
    <row r="918">
      <c r="A918" s="228"/>
      <c r="B918" s="225"/>
      <c r="C918" s="225"/>
      <c r="D918" s="225"/>
      <c r="E918" s="262"/>
      <c r="F918" s="263"/>
      <c r="G918" s="263"/>
      <c r="H918" s="263"/>
      <c r="I918" s="263"/>
      <c r="J918" s="263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  <c r="AB918" s="228"/>
    </row>
    <row r="919">
      <c r="A919" s="228"/>
      <c r="B919" s="225"/>
      <c r="C919" s="225"/>
      <c r="D919" s="225"/>
      <c r="E919" s="262"/>
      <c r="F919" s="263"/>
      <c r="G919" s="263"/>
      <c r="H919" s="263"/>
      <c r="I919" s="263"/>
      <c r="J919" s="263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  <c r="AB919" s="228"/>
    </row>
    <row r="920">
      <c r="A920" s="228"/>
      <c r="B920" s="225"/>
      <c r="C920" s="225"/>
      <c r="D920" s="225"/>
      <c r="E920" s="262"/>
      <c r="F920" s="263"/>
      <c r="G920" s="263"/>
      <c r="H920" s="263"/>
      <c r="I920" s="263"/>
      <c r="J920" s="263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  <c r="AB920" s="228"/>
    </row>
    <row r="921">
      <c r="A921" s="228"/>
      <c r="B921" s="225"/>
      <c r="C921" s="225"/>
      <c r="D921" s="225"/>
      <c r="E921" s="262"/>
      <c r="F921" s="263"/>
      <c r="G921" s="263"/>
      <c r="H921" s="263"/>
      <c r="I921" s="263"/>
      <c r="J921" s="263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  <c r="AB921" s="228"/>
    </row>
    <row r="922">
      <c r="A922" s="228"/>
      <c r="B922" s="225"/>
      <c r="C922" s="225"/>
      <c r="D922" s="225"/>
      <c r="E922" s="262"/>
      <c r="F922" s="263"/>
      <c r="G922" s="263"/>
      <c r="H922" s="263"/>
      <c r="I922" s="263"/>
      <c r="J922" s="263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  <c r="AB922" s="228"/>
    </row>
    <row r="923">
      <c r="A923" s="228"/>
      <c r="B923" s="225"/>
      <c r="C923" s="225"/>
      <c r="D923" s="225"/>
      <c r="E923" s="262"/>
      <c r="F923" s="263"/>
      <c r="G923" s="263"/>
      <c r="H923" s="263"/>
      <c r="I923" s="263"/>
      <c r="J923" s="263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  <c r="AB923" s="228"/>
    </row>
    <row r="924">
      <c r="A924" s="228"/>
      <c r="B924" s="225"/>
      <c r="C924" s="225"/>
      <c r="D924" s="225"/>
      <c r="E924" s="262"/>
      <c r="F924" s="263"/>
      <c r="G924" s="263"/>
      <c r="H924" s="263"/>
      <c r="I924" s="263"/>
      <c r="J924" s="263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  <c r="AB924" s="228"/>
    </row>
    <row r="925">
      <c r="A925" s="228"/>
      <c r="B925" s="225"/>
      <c r="C925" s="225"/>
      <c r="D925" s="225"/>
      <c r="E925" s="262"/>
      <c r="F925" s="263"/>
      <c r="G925" s="263"/>
      <c r="H925" s="263"/>
      <c r="I925" s="263"/>
      <c r="J925" s="263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  <c r="AB925" s="228"/>
    </row>
    <row r="926">
      <c r="A926" s="228"/>
      <c r="B926" s="225"/>
      <c r="C926" s="225"/>
      <c r="D926" s="225"/>
      <c r="E926" s="262"/>
      <c r="F926" s="263"/>
      <c r="G926" s="263"/>
      <c r="H926" s="263"/>
      <c r="I926" s="263"/>
      <c r="J926" s="263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  <c r="AB926" s="228"/>
    </row>
    <row r="927">
      <c r="A927" s="228"/>
      <c r="B927" s="225"/>
      <c r="C927" s="225"/>
      <c r="D927" s="225"/>
      <c r="E927" s="262"/>
      <c r="F927" s="263"/>
      <c r="G927" s="263"/>
      <c r="H927" s="263"/>
      <c r="I927" s="263"/>
      <c r="J927" s="263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  <c r="AB927" s="228"/>
    </row>
    <row r="928">
      <c r="A928" s="228"/>
      <c r="B928" s="225"/>
      <c r="C928" s="225"/>
      <c r="D928" s="225"/>
      <c r="E928" s="262"/>
      <c r="F928" s="263"/>
      <c r="G928" s="263"/>
      <c r="H928" s="263"/>
      <c r="I928" s="263"/>
      <c r="J928" s="263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  <c r="AB928" s="228"/>
    </row>
    <row r="929">
      <c r="A929" s="228"/>
      <c r="B929" s="225"/>
      <c r="C929" s="225"/>
      <c r="D929" s="225"/>
      <c r="E929" s="262"/>
      <c r="F929" s="263"/>
      <c r="G929" s="263"/>
      <c r="H929" s="263"/>
      <c r="I929" s="263"/>
      <c r="J929" s="263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  <c r="AB929" s="228"/>
    </row>
    <row r="930">
      <c r="A930" s="228"/>
      <c r="B930" s="225"/>
      <c r="C930" s="225"/>
      <c r="D930" s="225"/>
      <c r="E930" s="262"/>
      <c r="F930" s="263"/>
      <c r="G930" s="263"/>
      <c r="H930" s="263"/>
      <c r="I930" s="263"/>
      <c r="J930" s="263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  <c r="AB930" s="228"/>
    </row>
    <row r="931">
      <c r="A931" s="228"/>
      <c r="B931" s="225"/>
      <c r="C931" s="225"/>
      <c r="D931" s="225"/>
      <c r="E931" s="262"/>
      <c r="F931" s="263"/>
      <c r="G931" s="263"/>
      <c r="H931" s="263"/>
      <c r="I931" s="263"/>
      <c r="J931" s="263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  <c r="AB931" s="228"/>
    </row>
    <row r="932">
      <c r="A932" s="228"/>
      <c r="B932" s="225"/>
      <c r="C932" s="225"/>
      <c r="D932" s="225"/>
      <c r="E932" s="262"/>
      <c r="F932" s="263"/>
      <c r="G932" s="263"/>
      <c r="H932" s="263"/>
      <c r="I932" s="263"/>
      <c r="J932" s="263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  <c r="AB932" s="228"/>
    </row>
    <row r="933">
      <c r="A933" s="228"/>
      <c r="B933" s="225"/>
      <c r="C933" s="225"/>
      <c r="D933" s="225"/>
      <c r="E933" s="262"/>
      <c r="F933" s="263"/>
      <c r="G933" s="263"/>
      <c r="H933" s="263"/>
      <c r="I933" s="263"/>
      <c r="J933" s="263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  <c r="AB933" s="228"/>
    </row>
    <row r="934">
      <c r="A934" s="228"/>
      <c r="B934" s="225"/>
      <c r="C934" s="225"/>
      <c r="D934" s="225"/>
      <c r="E934" s="262"/>
      <c r="F934" s="263"/>
      <c r="G934" s="263"/>
      <c r="H934" s="263"/>
      <c r="I934" s="263"/>
      <c r="J934" s="263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  <c r="AB934" s="228"/>
    </row>
    <row r="935">
      <c r="A935" s="228"/>
      <c r="B935" s="225"/>
      <c r="C935" s="225"/>
      <c r="D935" s="225"/>
      <c r="E935" s="262"/>
      <c r="F935" s="263"/>
      <c r="G935" s="263"/>
      <c r="H935" s="263"/>
      <c r="I935" s="263"/>
      <c r="J935" s="263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  <c r="AB935" s="228"/>
    </row>
    <row r="936">
      <c r="A936" s="228"/>
      <c r="B936" s="225"/>
      <c r="C936" s="225"/>
      <c r="D936" s="225"/>
      <c r="E936" s="262"/>
      <c r="F936" s="263"/>
      <c r="G936" s="263"/>
      <c r="H936" s="263"/>
      <c r="I936" s="263"/>
      <c r="J936" s="263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  <c r="AB936" s="228"/>
    </row>
    <row r="937">
      <c r="A937" s="228"/>
      <c r="B937" s="225"/>
      <c r="C937" s="225"/>
      <c r="D937" s="225"/>
      <c r="E937" s="262"/>
      <c r="F937" s="263"/>
      <c r="G937" s="263"/>
      <c r="H937" s="263"/>
      <c r="I937" s="263"/>
      <c r="J937" s="263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  <c r="AB937" s="228"/>
    </row>
    <row r="938">
      <c r="A938" s="228"/>
      <c r="B938" s="225"/>
      <c r="C938" s="225"/>
      <c r="D938" s="225"/>
      <c r="E938" s="262"/>
      <c r="F938" s="263"/>
      <c r="G938" s="263"/>
      <c r="H938" s="263"/>
      <c r="I938" s="263"/>
      <c r="J938" s="263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  <c r="AB938" s="228"/>
    </row>
    <row r="939">
      <c r="A939" s="228"/>
      <c r="B939" s="225"/>
      <c r="C939" s="225"/>
      <c r="D939" s="225"/>
      <c r="E939" s="262"/>
      <c r="F939" s="263"/>
      <c r="G939" s="263"/>
      <c r="H939" s="263"/>
      <c r="I939" s="263"/>
      <c r="J939" s="263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  <c r="AB939" s="228"/>
    </row>
    <row r="940">
      <c r="A940" s="228"/>
      <c r="B940" s="225"/>
      <c r="C940" s="225"/>
      <c r="D940" s="225"/>
      <c r="E940" s="262"/>
      <c r="F940" s="263"/>
      <c r="G940" s="263"/>
      <c r="H940" s="263"/>
      <c r="I940" s="263"/>
      <c r="J940" s="263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  <c r="AB940" s="228"/>
    </row>
    <row r="941">
      <c r="A941" s="228"/>
      <c r="B941" s="225"/>
      <c r="C941" s="225"/>
      <c r="D941" s="225"/>
      <c r="E941" s="262"/>
      <c r="F941" s="263"/>
      <c r="G941" s="263"/>
      <c r="H941" s="263"/>
      <c r="I941" s="263"/>
      <c r="J941" s="263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  <c r="AB941" s="228"/>
    </row>
    <row r="942">
      <c r="A942" s="228"/>
      <c r="B942" s="225"/>
      <c r="C942" s="225"/>
      <c r="D942" s="225"/>
      <c r="E942" s="262"/>
      <c r="F942" s="263"/>
      <c r="G942" s="263"/>
      <c r="H942" s="263"/>
      <c r="I942" s="263"/>
      <c r="J942" s="263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  <c r="AB942" s="228"/>
    </row>
    <row r="943">
      <c r="A943" s="228"/>
      <c r="B943" s="225"/>
      <c r="C943" s="225"/>
      <c r="D943" s="225"/>
      <c r="E943" s="262"/>
      <c r="F943" s="263"/>
      <c r="G943" s="263"/>
      <c r="H943" s="263"/>
      <c r="I943" s="263"/>
      <c r="J943" s="263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  <c r="AB943" s="228"/>
    </row>
    <row r="944">
      <c r="A944" s="228"/>
      <c r="B944" s="225"/>
      <c r="C944" s="225"/>
      <c r="D944" s="225"/>
      <c r="E944" s="262"/>
      <c r="F944" s="263"/>
      <c r="G944" s="263"/>
      <c r="H944" s="263"/>
      <c r="I944" s="263"/>
      <c r="J944" s="263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  <c r="AB944" s="228"/>
    </row>
    <row r="945">
      <c r="A945" s="228"/>
      <c r="B945" s="225"/>
      <c r="C945" s="225"/>
      <c r="D945" s="225"/>
      <c r="E945" s="262"/>
      <c r="F945" s="263"/>
      <c r="G945" s="263"/>
      <c r="H945" s="263"/>
      <c r="I945" s="263"/>
      <c r="J945" s="263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  <c r="AB945" s="228"/>
    </row>
    <row r="946">
      <c r="A946" s="228"/>
      <c r="B946" s="225"/>
      <c r="C946" s="225"/>
      <c r="D946" s="225"/>
      <c r="E946" s="262"/>
      <c r="F946" s="263"/>
      <c r="G946" s="263"/>
      <c r="H946" s="263"/>
      <c r="I946" s="263"/>
      <c r="J946" s="263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  <c r="AB946" s="228"/>
    </row>
    <row r="947">
      <c r="A947" s="228"/>
      <c r="B947" s="225"/>
      <c r="C947" s="225"/>
      <c r="D947" s="225"/>
      <c r="E947" s="262"/>
      <c r="F947" s="263"/>
      <c r="G947" s="263"/>
      <c r="H947" s="263"/>
      <c r="I947" s="263"/>
      <c r="J947" s="263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  <c r="AB947" s="228"/>
    </row>
    <row r="948">
      <c r="A948" s="228"/>
      <c r="B948" s="225"/>
      <c r="C948" s="225"/>
      <c r="D948" s="225"/>
      <c r="E948" s="262"/>
      <c r="F948" s="263"/>
      <c r="G948" s="263"/>
      <c r="H948" s="263"/>
      <c r="I948" s="263"/>
      <c r="J948" s="263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  <c r="AB948" s="228"/>
    </row>
    <row r="949">
      <c r="A949" s="228"/>
      <c r="B949" s="225"/>
      <c r="C949" s="225"/>
      <c r="D949" s="225"/>
      <c r="E949" s="262"/>
      <c r="F949" s="263"/>
      <c r="G949" s="263"/>
      <c r="H949" s="263"/>
      <c r="I949" s="263"/>
      <c r="J949" s="263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  <c r="AB949" s="228"/>
    </row>
    <row r="950">
      <c r="A950" s="228"/>
      <c r="B950" s="225"/>
      <c r="C950" s="225"/>
      <c r="D950" s="225"/>
      <c r="E950" s="262"/>
      <c r="F950" s="263"/>
      <c r="G950" s="263"/>
      <c r="H950" s="263"/>
      <c r="I950" s="263"/>
      <c r="J950" s="263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  <c r="AB950" s="228"/>
    </row>
    <row r="951">
      <c r="A951" s="228"/>
      <c r="B951" s="225"/>
      <c r="C951" s="225"/>
      <c r="D951" s="225"/>
      <c r="E951" s="262"/>
      <c r="F951" s="263"/>
      <c r="G951" s="263"/>
      <c r="H951" s="263"/>
      <c r="I951" s="263"/>
      <c r="J951" s="263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  <c r="AB951" s="228"/>
    </row>
    <row r="952">
      <c r="A952" s="228"/>
      <c r="B952" s="225"/>
      <c r="C952" s="225"/>
      <c r="D952" s="225"/>
      <c r="E952" s="262"/>
      <c r="F952" s="263"/>
      <c r="G952" s="263"/>
      <c r="H952" s="263"/>
      <c r="I952" s="263"/>
      <c r="J952" s="263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  <c r="AB952" s="228"/>
    </row>
    <row r="953">
      <c r="A953" s="228"/>
      <c r="B953" s="225"/>
      <c r="C953" s="225"/>
      <c r="D953" s="225"/>
      <c r="E953" s="262"/>
      <c r="F953" s="263"/>
      <c r="G953" s="263"/>
      <c r="H953" s="263"/>
      <c r="I953" s="263"/>
      <c r="J953" s="263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  <c r="AB953" s="228"/>
    </row>
    <row r="954">
      <c r="A954" s="228"/>
      <c r="B954" s="225"/>
      <c r="C954" s="225"/>
      <c r="D954" s="225"/>
      <c r="E954" s="262"/>
      <c r="F954" s="263"/>
      <c r="G954" s="263"/>
      <c r="H954" s="263"/>
      <c r="I954" s="263"/>
      <c r="J954" s="263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  <c r="AB954" s="228"/>
    </row>
    <row r="955">
      <c r="A955" s="228"/>
      <c r="B955" s="225"/>
      <c r="C955" s="225"/>
      <c r="D955" s="225"/>
      <c r="E955" s="262"/>
      <c r="F955" s="263"/>
      <c r="G955" s="263"/>
      <c r="H955" s="263"/>
      <c r="I955" s="263"/>
      <c r="J955" s="263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  <c r="AB955" s="228"/>
    </row>
    <row r="956">
      <c r="A956" s="228"/>
      <c r="B956" s="225"/>
      <c r="C956" s="225"/>
      <c r="D956" s="225"/>
      <c r="E956" s="262"/>
      <c r="F956" s="263"/>
      <c r="G956" s="263"/>
      <c r="H956" s="263"/>
      <c r="I956" s="263"/>
      <c r="J956" s="263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  <c r="AB956" s="228"/>
    </row>
    <row r="957">
      <c r="A957" s="228"/>
      <c r="B957" s="225"/>
      <c r="C957" s="225"/>
      <c r="D957" s="225"/>
      <c r="E957" s="262"/>
      <c r="F957" s="263"/>
      <c r="G957" s="263"/>
      <c r="H957" s="263"/>
      <c r="I957" s="263"/>
      <c r="J957" s="263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  <c r="AB957" s="228"/>
    </row>
    <row r="958">
      <c r="A958" s="228"/>
      <c r="B958" s="225"/>
      <c r="C958" s="225"/>
      <c r="D958" s="225"/>
      <c r="E958" s="262"/>
      <c r="F958" s="263"/>
      <c r="G958" s="263"/>
      <c r="H958" s="263"/>
      <c r="I958" s="263"/>
      <c r="J958" s="263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  <c r="AB958" s="228"/>
    </row>
    <row r="959">
      <c r="A959" s="228"/>
      <c r="B959" s="225"/>
      <c r="C959" s="225"/>
      <c r="D959" s="225"/>
      <c r="E959" s="262"/>
      <c r="F959" s="263"/>
      <c r="G959" s="263"/>
      <c r="H959" s="263"/>
      <c r="I959" s="263"/>
      <c r="J959" s="263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  <c r="AB959" s="228"/>
    </row>
    <row r="960">
      <c r="A960" s="228"/>
      <c r="B960" s="225"/>
      <c r="C960" s="225"/>
      <c r="D960" s="225"/>
      <c r="E960" s="262"/>
      <c r="F960" s="263"/>
      <c r="G960" s="263"/>
      <c r="H960" s="263"/>
      <c r="I960" s="263"/>
      <c r="J960" s="263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  <c r="AB960" s="228"/>
    </row>
    <row r="961">
      <c r="A961" s="228"/>
      <c r="B961" s="225"/>
      <c r="C961" s="225"/>
      <c r="D961" s="225"/>
      <c r="E961" s="262"/>
      <c r="F961" s="263"/>
      <c r="G961" s="263"/>
      <c r="H961" s="263"/>
      <c r="I961" s="263"/>
      <c r="J961" s="263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  <c r="AB961" s="228"/>
    </row>
    <row r="962">
      <c r="A962" s="228"/>
      <c r="B962" s="225"/>
      <c r="C962" s="225"/>
      <c r="D962" s="225"/>
      <c r="E962" s="262"/>
      <c r="F962" s="263"/>
      <c r="G962" s="263"/>
      <c r="H962" s="263"/>
      <c r="I962" s="263"/>
      <c r="J962" s="263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  <c r="AB962" s="228"/>
    </row>
    <row r="963">
      <c r="A963" s="228"/>
      <c r="B963" s="225"/>
      <c r="C963" s="225"/>
      <c r="D963" s="225"/>
      <c r="E963" s="262"/>
      <c r="F963" s="263"/>
      <c r="G963" s="263"/>
      <c r="H963" s="263"/>
      <c r="I963" s="263"/>
      <c r="J963" s="263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  <c r="AB963" s="228"/>
    </row>
    <row r="964">
      <c r="A964" s="228"/>
      <c r="B964" s="225"/>
      <c r="C964" s="225"/>
      <c r="D964" s="225"/>
      <c r="E964" s="262"/>
      <c r="F964" s="263"/>
      <c r="G964" s="263"/>
      <c r="H964" s="263"/>
      <c r="I964" s="263"/>
      <c r="J964" s="263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  <c r="AB964" s="228"/>
    </row>
    <row r="965">
      <c r="A965" s="228"/>
      <c r="B965" s="225"/>
      <c r="C965" s="225"/>
      <c r="D965" s="225"/>
      <c r="E965" s="262"/>
      <c r="F965" s="263"/>
      <c r="G965" s="263"/>
      <c r="H965" s="263"/>
      <c r="I965" s="263"/>
      <c r="J965" s="263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  <c r="AB965" s="228"/>
    </row>
    <row r="966">
      <c r="A966" s="228"/>
      <c r="B966" s="225"/>
      <c r="C966" s="225"/>
      <c r="D966" s="225"/>
      <c r="E966" s="262"/>
      <c r="F966" s="263"/>
      <c r="G966" s="263"/>
      <c r="H966" s="263"/>
      <c r="I966" s="263"/>
      <c r="J966" s="263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  <c r="AB966" s="228"/>
    </row>
    <row r="967">
      <c r="A967" s="228"/>
      <c r="B967" s="225"/>
      <c r="C967" s="225"/>
      <c r="D967" s="225"/>
      <c r="E967" s="262"/>
      <c r="F967" s="263"/>
      <c r="G967" s="263"/>
      <c r="H967" s="263"/>
      <c r="I967" s="263"/>
      <c r="J967" s="263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  <c r="AB967" s="228"/>
    </row>
    <row r="968">
      <c r="A968" s="228"/>
      <c r="B968" s="225"/>
      <c r="C968" s="225"/>
      <c r="D968" s="225"/>
      <c r="E968" s="262"/>
      <c r="F968" s="263"/>
      <c r="G968" s="263"/>
      <c r="H968" s="263"/>
      <c r="I968" s="263"/>
      <c r="J968" s="263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  <c r="AB968" s="228"/>
    </row>
    <row r="969">
      <c r="A969" s="228"/>
      <c r="B969" s="225"/>
      <c r="C969" s="225"/>
      <c r="D969" s="225"/>
      <c r="E969" s="262"/>
      <c r="F969" s="263"/>
      <c r="G969" s="263"/>
      <c r="H969" s="263"/>
      <c r="I969" s="263"/>
      <c r="J969" s="263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  <c r="AB969" s="228"/>
    </row>
    <row r="970">
      <c r="A970" s="228"/>
      <c r="B970" s="225"/>
      <c r="C970" s="225"/>
      <c r="D970" s="225"/>
      <c r="E970" s="262"/>
      <c r="F970" s="263"/>
      <c r="G970" s="263"/>
      <c r="H970" s="263"/>
      <c r="I970" s="263"/>
      <c r="J970" s="263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  <c r="AB970" s="228"/>
    </row>
    <row r="971">
      <c r="A971" s="228"/>
      <c r="B971" s="225"/>
      <c r="C971" s="225"/>
      <c r="D971" s="225"/>
      <c r="E971" s="262"/>
      <c r="F971" s="263"/>
      <c r="G971" s="263"/>
      <c r="H971" s="263"/>
      <c r="I971" s="263"/>
      <c r="J971" s="263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  <c r="AB971" s="228"/>
    </row>
    <row r="972">
      <c r="A972" s="228"/>
      <c r="B972" s="225"/>
      <c r="C972" s="225"/>
      <c r="D972" s="225"/>
      <c r="E972" s="262"/>
      <c r="F972" s="263"/>
      <c r="G972" s="263"/>
      <c r="H972" s="263"/>
      <c r="I972" s="263"/>
      <c r="J972" s="263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  <c r="AB972" s="228"/>
    </row>
    <row r="973">
      <c r="A973" s="228"/>
      <c r="B973" s="225"/>
      <c r="C973" s="225"/>
      <c r="D973" s="225"/>
      <c r="E973" s="262"/>
      <c r="F973" s="263"/>
      <c r="G973" s="263"/>
      <c r="H973" s="263"/>
      <c r="I973" s="263"/>
      <c r="J973" s="263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  <c r="AB973" s="228"/>
    </row>
    <row r="974">
      <c r="A974" s="228"/>
      <c r="B974" s="225"/>
      <c r="C974" s="225"/>
      <c r="D974" s="225"/>
      <c r="E974" s="262"/>
      <c r="F974" s="263"/>
      <c r="G974" s="263"/>
      <c r="H974" s="263"/>
      <c r="I974" s="263"/>
      <c r="J974" s="263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  <c r="AB974" s="228"/>
    </row>
    <row r="975">
      <c r="A975" s="228"/>
      <c r="B975" s="225"/>
      <c r="C975" s="225"/>
      <c r="D975" s="225"/>
      <c r="E975" s="262"/>
      <c r="F975" s="263"/>
      <c r="G975" s="263"/>
      <c r="H975" s="263"/>
      <c r="I975" s="263"/>
      <c r="J975" s="263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  <c r="AB975" s="228"/>
    </row>
    <row r="976">
      <c r="A976" s="228"/>
      <c r="B976" s="225"/>
      <c r="C976" s="225"/>
      <c r="D976" s="225"/>
      <c r="E976" s="262"/>
      <c r="F976" s="263"/>
      <c r="G976" s="263"/>
      <c r="H976" s="263"/>
      <c r="I976" s="263"/>
      <c r="J976" s="263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  <c r="AB976" s="228"/>
    </row>
    <row r="977">
      <c r="A977" s="228"/>
      <c r="B977" s="225"/>
      <c r="C977" s="225"/>
      <c r="D977" s="225"/>
      <c r="E977" s="262"/>
      <c r="F977" s="263"/>
      <c r="G977" s="263"/>
      <c r="H977" s="263"/>
      <c r="I977" s="263"/>
      <c r="J977" s="263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  <c r="AB977" s="228"/>
    </row>
    <row r="978">
      <c r="A978" s="228"/>
      <c r="B978" s="225"/>
      <c r="C978" s="225"/>
      <c r="D978" s="225"/>
      <c r="E978" s="262"/>
      <c r="F978" s="263"/>
      <c r="G978" s="263"/>
      <c r="H978" s="263"/>
      <c r="I978" s="263"/>
      <c r="J978" s="263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  <c r="AB978" s="228"/>
    </row>
    <row r="979">
      <c r="A979" s="228"/>
      <c r="B979" s="225"/>
      <c r="C979" s="225"/>
      <c r="D979" s="225"/>
      <c r="E979" s="262"/>
      <c r="F979" s="263"/>
      <c r="G979" s="263"/>
      <c r="H979" s="263"/>
      <c r="I979" s="263"/>
      <c r="J979" s="263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  <c r="AB979" s="228"/>
    </row>
    <row r="980">
      <c r="A980" s="228"/>
      <c r="B980" s="225"/>
      <c r="C980" s="225"/>
      <c r="D980" s="225"/>
      <c r="E980" s="262"/>
      <c r="F980" s="263"/>
      <c r="G980" s="263"/>
      <c r="H980" s="263"/>
      <c r="I980" s="263"/>
      <c r="J980" s="263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  <c r="AB980" s="228"/>
    </row>
    <row r="981">
      <c r="A981" s="228"/>
      <c r="B981" s="225"/>
      <c r="C981" s="225"/>
      <c r="D981" s="225"/>
      <c r="E981" s="262"/>
      <c r="F981" s="263"/>
      <c r="G981" s="263"/>
      <c r="H981" s="263"/>
      <c r="I981" s="263"/>
      <c r="J981" s="263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  <c r="AB981" s="228"/>
    </row>
    <row r="982">
      <c r="A982" s="228"/>
      <c r="B982" s="225"/>
      <c r="C982" s="225"/>
      <c r="D982" s="225"/>
      <c r="E982" s="262"/>
      <c r="F982" s="263"/>
      <c r="G982" s="263"/>
      <c r="H982" s="263"/>
      <c r="I982" s="263"/>
      <c r="J982" s="263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  <c r="AB982" s="228"/>
    </row>
    <row r="983">
      <c r="A983" s="228"/>
      <c r="B983" s="225"/>
      <c r="C983" s="225"/>
      <c r="D983" s="225"/>
      <c r="E983" s="262"/>
      <c r="F983" s="263"/>
      <c r="G983" s="263"/>
      <c r="H983" s="263"/>
      <c r="I983" s="263"/>
      <c r="J983" s="263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  <c r="AB983" s="228"/>
    </row>
    <row r="984">
      <c r="A984" s="228"/>
      <c r="B984" s="225"/>
      <c r="C984" s="225"/>
      <c r="D984" s="225"/>
      <c r="E984" s="262"/>
      <c r="F984" s="263"/>
      <c r="G984" s="263"/>
      <c r="H984" s="263"/>
      <c r="I984" s="263"/>
      <c r="J984" s="263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  <c r="AB984" s="228"/>
    </row>
    <row r="985">
      <c r="A985" s="228"/>
      <c r="B985" s="225"/>
      <c r="C985" s="225"/>
      <c r="D985" s="225"/>
      <c r="E985" s="262"/>
      <c r="F985" s="263"/>
      <c r="G985" s="263"/>
      <c r="H985" s="263"/>
      <c r="I985" s="263"/>
      <c r="J985" s="263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  <c r="AB985" s="228"/>
    </row>
    <row r="986">
      <c r="A986" s="228"/>
      <c r="B986" s="225"/>
      <c r="C986" s="225"/>
      <c r="D986" s="225"/>
      <c r="E986" s="262"/>
      <c r="F986" s="263"/>
      <c r="G986" s="263"/>
      <c r="H986" s="263"/>
      <c r="I986" s="263"/>
      <c r="J986" s="263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  <c r="AB986" s="228"/>
    </row>
    <row r="987">
      <c r="A987" s="228"/>
      <c r="B987" s="225"/>
      <c r="C987" s="225"/>
      <c r="D987" s="225"/>
      <c r="E987" s="262"/>
      <c r="F987" s="263"/>
      <c r="G987" s="263"/>
      <c r="H987" s="263"/>
      <c r="I987" s="263"/>
      <c r="J987" s="263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  <c r="AB987" s="228"/>
    </row>
    <row r="988">
      <c r="A988" s="228"/>
      <c r="B988" s="225"/>
      <c r="C988" s="225"/>
      <c r="D988" s="225"/>
      <c r="E988" s="262"/>
      <c r="F988" s="263"/>
      <c r="G988" s="263"/>
      <c r="H988" s="263"/>
      <c r="I988" s="263"/>
      <c r="J988" s="263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  <c r="AB988" s="228"/>
    </row>
    <row r="989">
      <c r="A989" s="228"/>
      <c r="B989" s="225"/>
      <c r="C989" s="225"/>
      <c r="D989" s="225"/>
      <c r="E989" s="262"/>
      <c r="F989" s="263"/>
      <c r="G989" s="263"/>
      <c r="H989" s="263"/>
      <c r="I989" s="263"/>
      <c r="J989" s="263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  <c r="AB989" s="228"/>
    </row>
    <row r="990">
      <c r="A990" s="228"/>
      <c r="B990" s="225"/>
      <c r="C990" s="225"/>
      <c r="D990" s="225"/>
      <c r="E990" s="262"/>
      <c r="F990" s="263"/>
      <c r="G990" s="263"/>
      <c r="H990" s="263"/>
      <c r="I990" s="263"/>
      <c r="J990" s="263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  <c r="AB990" s="228"/>
    </row>
    <row r="991">
      <c r="A991" s="228"/>
      <c r="B991" s="225"/>
      <c r="C991" s="225"/>
      <c r="D991" s="225"/>
      <c r="E991" s="262"/>
      <c r="F991" s="263"/>
      <c r="G991" s="263"/>
      <c r="H991" s="263"/>
      <c r="I991" s="263"/>
      <c r="J991" s="263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  <c r="AB991" s="228"/>
    </row>
    <row r="992">
      <c r="A992" s="228"/>
      <c r="B992" s="225"/>
      <c r="C992" s="225"/>
      <c r="D992" s="225"/>
      <c r="E992" s="262"/>
      <c r="F992" s="263"/>
      <c r="G992" s="263"/>
      <c r="H992" s="263"/>
      <c r="I992" s="263"/>
      <c r="J992" s="263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  <c r="AB992" s="228"/>
    </row>
    <row r="993">
      <c r="A993" s="228"/>
      <c r="B993" s="225"/>
      <c r="C993" s="225"/>
      <c r="D993" s="225"/>
      <c r="E993" s="262"/>
      <c r="F993" s="263"/>
      <c r="G993" s="263"/>
      <c r="H993" s="263"/>
      <c r="I993" s="263"/>
      <c r="J993" s="263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  <c r="AB993" s="228"/>
    </row>
    <row r="994">
      <c r="A994" s="228"/>
      <c r="B994" s="225"/>
      <c r="C994" s="225"/>
      <c r="D994" s="225"/>
      <c r="E994" s="262"/>
      <c r="F994" s="263"/>
      <c r="G994" s="263"/>
      <c r="H994" s="263"/>
      <c r="I994" s="263"/>
      <c r="J994" s="263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  <c r="AB994" s="228"/>
    </row>
    <row r="995">
      <c r="A995" s="228"/>
      <c r="B995" s="225"/>
      <c r="C995" s="225"/>
      <c r="D995" s="225"/>
      <c r="E995" s="262"/>
      <c r="F995" s="263"/>
      <c r="G995" s="263"/>
      <c r="H995" s="263"/>
      <c r="I995" s="263"/>
      <c r="J995" s="263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  <c r="AA995" s="228"/>
      <c r="AB995" s="228"/>
    </row>
    <row r="996">
      <c r="A996" s="228"/>
      <c r="B996" s="225"/>
      <c r="C996" s="225"/>
      <c r="D996" s="225"/>
      <c r="E996" s="262"/>
      <c r="F996" s="263"/>
      <c r="G996" s="263"/>
      <c r="H996" s="263"/>
      <c r="I996" s="263"/>
      <c r="J996" s="263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  <c r="AA996" s="228"/>
      <c r="AB996" s="228"/>
    </row>
    <row r="997">
      <c r="A997" s="228"/>
      <c r="B997" s="225"/>
      <c r="C997" s="225"/>
      <c r="D997" s="225"/>
      <c r="E997" s="262"/>
      <c r="F997" s="263"/>
      <c r="G997" s="263"/>
      <c r="H997" s="263"/>
      <c r="I997" s="263"/>
      <c r="J997" s="263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  <c r="AA997" s="228"/>
      <c r="AB997" s="228"/>
    </row>
    <row r="998">
      <c r="A998" s="228"/>
      <c r="B998" s="225"/>
      <c r="C998" s="225"/>
      <c r="D998" s="225"/>
      <c r="E998" s="262"/>
      <c r="F998" s="263"/>
      <c r="G998" s="263"/>
      <c r="H998" s="263"/>
      <c r="I998" s="263"/>
      <c r="J998" s="263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  <c r="AA998" s="228"/>
      <c r="AB998" s="228"/>
    </row>
    <row r="999">
      <c r="A999" s="228"/>
      <c r="B999" s="225"/>
      <c r="C999" s="225"/>
      <c r="D999" s="225"/>
      <c r="E999" s="262"/>
      <c r="F999" s="263"/>
      <c r="G999" s="263"/>
      <c r="H999" s="263"/>
      <c r="I999" s="263"/>
      <c r="J999" s="263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  <c r="AA999" s="228"/>
      <c r="AB999" s="228"/>
    </row>
    <row r="1000">
      <c r="A1000" s="228"/>
      <c r="B1000" s="225"/>
      <c r="C1000" s="225"/>
      <c r="D1000" s="225"/>
      <c r="E1000" s="262"/>
      <c r="F1000" s="263"/>
      <c r="G1000" s="263"/>
      <c r="H1000" s="263"/>
      <c r="I1000" s="263"/>
      <c r="J1000" s="263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  <c r="AA1000" s="228"/>
      <c r="AB1000" s="228"/>
    </row>
    <row r="1001">
      <c r="A1001" s="228"/>
      <c r="B1001" s="225"/>
      <c r="C1001" s="225"/>
      <c r="D1001" s="225"/>
      <c r="E1001" s="262"/>
      <c r="F1001" s="263"/>
      <c r="G1001" s="263"/>
      <c r="H1001" s="263"/>
      <c r="I1001" s="263"/>
      <c r="J1001" s="263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  <c r="AA1001" s="228"/>
      <c r="AB1001" s="228"/>
    </row>
    <row r="1002">
      <c r="A1002" s="228"/>
      <c r="B1002" s="225"/>
      <c r="C1002" s="225"/>
      <c r="D1002" s="225"/>
      <c r="E1002" s="262"/>
      <c r="F1002" s="263"/>
      <c r="G1002" s="263"/>
      <c r="H1002" s="263"/>
      <c r="I1002" s="263"/>
      <c r="J1002" s="263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  <c r="AA1002" s="228"/>
      <c r="AB1002" s="228"/>
    </row>
    <row r="1003">
      <c r="A1003" s="228"/>
      <c r="B1003" s="225"/>
      <c r="C1003" s="225"/>
      <c r="D1003" s="225"/>
      <c r="E1003" s="262"/>
      <c r="F1003" s="263"/>
      <c r="G1003" s="263"/>
      <c r="H1003" s="263"/>
      <c r="I1003" s="263"/>
      <c r="J1003" s="263"/>
      <c r="K1003" s="228"/>
      <c r="L1003" s="228"/>
      <c r="M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8"/>
      <c r="Z1003" s="228"/>
      <c r="AA1003" s="228"/>
      <c r="AB1003" s="228"/>
    </row>
    <row r="1004">
      <c r="A1004" s="228"/>
      <c r="B1004" s="225"/>
      <c r="C1004" s="225"/>
      <c r="D1004" s="225"/>
      <c r="E1004" s="262"/>
      <c r="F1004" s="263"/>
      <c r="G1004" s="263"/>
      <c r="H1004" s="263"/>
      <c r="I1004" s="263"/>
      <c r="J1004" s="263"/>
      <c r="K1004" s="228"/>
      <c r="L1004" s="228"/>
      <c r="M1004" s="228"/>
      <c r="N1004" s="228"/>
      <c r="O1004" s="228"/>
      <c r="P1004" s="228"/>
      <c r="Q1004" s="228"/>
      <c r="R1004" s="228"/>
      <c r="S1004" s="228"/>
      <c r="T1004" s="228"/>
      <c r="U1004" s="228"/>
      <c r="V1004" s="228"/>
      <c r="W1004" s="228"/>
      <c r="X1004" s="228"/>
      <c r="Y1004" s="228"/>
      <c r="Z1004" s="228"/>
      <c r="AA1004" s="228"/>
      <c r="AB1004" s="228"/>
    </row>
    <row r="1005">
      <c r="A1005" s="228"/>
      <c r="B1005" s="225"/>
      <c r="C1005" s="225"/>
      <c r="D1005" s="225"/>
      <c r="E1005" s="262"/>
      <c r="F1005" s="263"/>
      <c r="G1005" s="263"/>
      <c r="H1005" s="263"/>
      <c r="I1005" s="263"/>
      <c r="J1005" s="263"/>
      <c r="K1005" s="228"/>
      <c r="L1005" s="228"/>
      <c r="M1005" s="228"/>
      <c r="N1005" s="228"/>
      <c r="O1005" s="228"/>
      <c r="P1005" s="228"/>
      <c r="Q1005" s="228"/>
      <c r="R1005" s="228"/>
      <c r="S1005" s="228"/>
      <c r="T1005" s="228"/>
      <c r="U1005" s="228"/>
      <c r="V1005" s="228"/>
      <c r="W1005" s="228"/>
      <c r="X1005" s="228"/>
      <c r="Y1005" s="228"/>
      <c r="Z1005" s="228"/>
      <c r="AA1005" s="228"/>
      <c r="AB1005" s="228"/>
    </row>
    <row r="1006">
      <c r="A1006" s="228"/>
      <c r="B1006" s="225"/>
      <c r="C1006" s="225"/>
      <c r="D1006" s="225"/>
      <c r="E1006" s="262"/>
      <c r="F1006" s="263"/>
      <c r="G1006" s="263"/>
      <c r="H1006" s="263"/>
      <c r="I1006" s="263"/>
      <c r="J1006" s="263"/>
      <c r="K1006" s="228"/>
      <c r="L1006" s="228"/>
      <c r="M1006" s="228"/>
      <c r="N1006" s="228"/>
      <c r="O1006" s="228"/>
      <c r="P1006" s="228"/>
      <c r="Q1006" s="228"/>
      <c r="R1006" s="228"/>
      <c r="S1006" s="228"/>
      <c r="T1006" s="228"/>
      <c r="U1006" s="228"/>
      <c r="V1006" s="228"/>
      <c r="W1006" s="228"/>
      <c r="X1006" s="228"/>
      <c r="Y1006" s="228"/>
      <c r="Z1006" s="228"/>
      <c r="AA1006" s="228"/>
      <c r="AB1006" s="228"/>
    </row>
    <row r="1007">
      <c r="A1007" s="228"/>
      <c r="B1007" s="225"/>
      <c r="C1007" s="225"/>
      <c r="D1007" s="225"/>
      <c r="E1007" s="262"/>
      <c r="F1007" s="263"/>
      <c r="G1007" s="263"/>
      <c r="H1007" s="263"/>
      <c r="I1007" s="263"/>
      <c r="J1007" s="263"/>
      <c r="K1007" s="228"/>
      <c r="L1007" s="228"/>
      <c r="M1007" s="228"/>
      <c r="N1007" s="228"/>
      <c r="O1007" s="228"/>
      <c r="P1007" s="228"/>
      <c r="Q1007" s="228"/>
      <c r="R1007" s="228"/>
      <c r="S1007" s="228"/>
      <c r="T1007" s="228"/>
      <c r="U1007" s="228"/>
      <c r="V1007" s="228"/>
      <c r="W1007" s="228"/>
      <c r="X1007" s="228"/>
      <c r="Y1007" s="228"/>
      <c r="Z1007" s="228"/>
      <c r="AA1007" s="228"/>
      <c r="AB1007" s="228"/>
    </row>
    <row r="1008">
      <c r="A1008" s="228"/>
      <c r="B1008" s="225"/>
      <c r="C1008" s="225"/>
      <c r="D1008" s="225"/>
      <c r="E1008" s="262"/>
      <c r="F1008" s="263"/>
      <c r="G1008" s="263"/>
      <c r="H1008" s="263"/>
      <c r="I1008" s="263"/>
      <c r="J1008" s="263"/>
      <c r="K1008" s="228"/>
      <c r="L1008" s="228"/>
      <c r="M1008" s="228"/>
      <c r="N1008" s="228"/>
      <c r="O1008" s="228"/>
      <c r="P1008" s="228"/>
      <c r="Q1008" s="228"/>
      <c r="R1008" s="228"/>
      <c r="S1008" s="228"/>
      <c r="T1008" s="228"/>
      <c r="U1008" s="228"/>
      <c r="V1008" s="228"/>
      <c r="W1008" s="228"/>
      <c r="X1008" s="228"/>
      <c r="Y1008" s="228"/>
      <c r="Z1008" s="228"/>
      <c r="AA1008" s="228"/>
      <c r="AB1008" s="228"/>
    </row>
    <row r="1009">
      <c r="A1009" s="228"/>
      <c r="B1009" s="225"/>
      <c r="C1009" s="225"/>
      <c r="D1009" s="225"/>
      <c r="E1009" s="262"/>
      <c r="F1009" s="263"/>
      <c r="G1009" s="263"/>
      <c r="H1009" s="263"/>
      <c r="I1009" s="263"/>
      <c r="J1009" s="263"/>
      <c r="K1009" s="228"/>
      <c r="L1009" s="228"/>
      <c r="M1009" s="228"/>
      <c r="N1009" s="228"/>
      <c r="O1009" s="228"/>
      <c r="P1009" s="228"/>
      <c r="Q1009" s="228"/>
      <c r="R1009" s="228"/>
      <c r="S1009" s="228"/>
      <c r="T1009" s="228"/>
      <c r="U1009" s="228"/>
      <c r="V1009" s="228"/>
      <c r="W1009" s="228"/>
      <c r="X1009" s="228"/>
      <c r="Y1009" s="228"/>
      <c r="Z1009" s="228"/>
      <c r="AA1009" s="228"/>
      <c r="AB1009" s="228"/>
    </row>
    <row r="1010">
      <c r="A1010" s="228"/>
      <c r="B1010" s="225"/>
      <c r="C1010" s="225"/>
      <c r="D1010" s="225"/>
      <c r="E1010" s="262"/>
      <c r="F1010" s="263"/>
      <c r="G1010" s="263"/>
      <c r="H1010" s="263"/>
      <c r="I1010" s="263"/>
      <c r="J1010" s="263"/>
      <c r="K1010" s="228"/>
      <c r="L1010" s="228"/>
      <c r="M1010" s="228"/>
      <c r="N1010" s="228"/>
      <c r="O1010" s="228"/>
      <c r="P1010" s="228"/>
      <c r="Q1010" s="228"/>
      <c r="R1010" s="228"/>
      <c r="S1010" s="228"/>
      <c r="T1010" s="228"/>
      <c r="U1010" s="228"/>
      <c r="V1010" s="228"/>
      <c r="W1010" s="228"/>
      <c r="X1010" s="228"/>
      <c r="Y1010" s="228"/>
      <c r="Z1010" s="228"/>
      <c r="AA1010" s="228"/>
      <c r="AB1010" s="228"/>
    </row>
    <row r="1011">
      <c r="A1011" s="228"/>
      <c r="B1011" s="225"/>
      <c r="C1011" s="225"/>
      <c r="D1011" s="225"/>
      <c r="E1011" s="262"/>
      <c r="F1011" s="263"/>
      <c r="G1011" s="263"/>
      <c r="H1011" s="263"/>
      <c r="I1011" s="263"/>
      <c r="J1011" s="263"/>
      <c r="K1011" s="228"/>
      <c r="L1011" s="228"/>
      <c r="M1011" s="228"/>
      <c r="N1011" s="228"/>
      <c r="O1011" s="228"/>
      <c r="P1011" s="228"/>
      <c r="Q1011" s="228"/>
      <c r="R1011" s="228"/>
      <c r="S1011" s="228"/>
      <c r="T1011" s="228"/>
      <c r="U1011" s="228"/>
      <c r="V1011" s="228"/>
      <c r="W1011" s="228"/>
      <c r="X1011" s="228"/>
      <c r="Y1011" s="228"/>
      <c r="Z1011" s="228"/>
      <c r="AA1011" s="228"/>
      <c r="AB1011" s="228"/>
    </row>
    <row r="1012">
      <c r="A1012" s="228"/>
      <c r="B1012" s="225"/>
      <c r="C1012" s="225"/>
      <c r="D1012" s="225"/>
      <c r="E1012" s="262"/>
      <c r="F1012" s="263"/>
      <c r="G1012" s="263"/>
      <c r="H1012" s="263"/>
      <c r="I1012" s="263"/>
      <c r="J1012" s="263"/>
      <c r="K1012" s="228"/>
      <c r="L1012" s="228"/>
      <c r="M1012" s="228"/>
      <c r="N1012" s="228"/>
      <c r="O1012" s="228"/>
      <c r="P1012" s="228"/>
      <c r="Q1012" s="228"/>
      <c r="R1012" s="228"/>
      <c r="S1012" s="228"/>
      <c r="T1012" s="228"/>
      <c r="U1012" s="228"/>
      <c r="V1012" s="228"/>
      <c r="W1012" s="228"/>
      <c r="X1012" s="228"/>
      <c r="Y1012" s="228"/>
      <c r="Z1012" s="228"/>
      <c r="AA1012" s="228"/>
      <c r="AB1012" s="228"/>
    </row>
    <row r="1013">
      <c r="A1013" s="228"/>
      <c r="B1013" s="225"/>
      <c r="C1013" s="225"/>
      <c r="D1013" s="225"/>
      <c r="E1013" s="262"/>
      <c r="F1013" s="263"/>
      <c r="G1013" s="263"/>
      <c r="H1013" s="263"/>
      <c r="I1013" s="263"/>
      <c r="J1013" s="263"/>
      <c r="K1013" s="228"/>
      <c r="L1013" s="228"/>
      <c r="M1013" s="228"/>
      <c r="N1013" s="228"/>
      <c r="O1013" s="228"/>
      <c r="P1013" s="228"/>
      <c r="Q1013" s="228"/>
      <c r="R1013" s="228"/>
      <c r="S1013" s="228"/>
      <c r="T1013" s="228"/>
      <c r="U1013" s="228"/>
      <c r="V1013" s="228"/>
      <c r="W1013" s="228"/>
      <c r="X1013" s="228"/>
      <c r="Y1013" s="228"/>
      <c r="Z1013" s="228"/>
      <c r="AA1013" s="228"/>
      <c r="AB1013" s="228"/>
    </row>
    <row r="1014">
      <c r="A1014" s="228"/>
      <c r="B1014" s="225"/>
      <c r="C1014" s="225"/>
      <c r="D1014" s="225"/>
      <c r="E1014" s="262"/>
      <c r="F1014" s="263"/>
      <c r="G1014" s="263"/>
      <c r="H1014" s="263"/>
      <c r="I1014" s="263"/>
      <c r="J1014" s="263"/>
      <c r="K1014" s="228"/>
      <c r="L1014" s="228"/>
      <c r="M1014" s="228"/>
      <c r="N1014" s="228"/>
      <c r="O1014" s="228"/>
      <c r="P1014" s="228"/>
      <c r="Q1014" s="228"/>
      <c r="R1014" s="228"/>
      <c r="S1014" s="228"/>
      <c r="T1014" s="228"/>
      <c r="U1014" s="228"/>
      <c r="V1014" s="228"/>
      <c r="W1014" s="228"/>
      <c r="X1014" s="228"/>
      <c r="Y1014" s="228"/>
      <c r="Z1014" s="228"/>
      <c r="AA1014" s="228"/>
      <c r="AB1014" s="228"/>
    </row>
    <row r="1015">
      <c r="A1015" s="228"/>
      <c r="B1015" s="225"/>
      <c r="C1015" s="225"/>
      <c r="D1015" s="225"/>
      <c r="E1015" s="262"/>
      <c r="F1015" s="263"/>
      <c r="G1015" s="263"/>
      <c r="H1015" s="263"/>
      <c r="I1015" s="263"/>
      <c r="J1015" s="263"/>
      <c r="K1015" s="228"/>
      <c r="L1015" s="228"/>
      <c r="M1015" s="228"/>
      <c r="N1015" s="228"/>
      <c r="O1015" s="228"/>
      <c r="P1015" s="228"/>
      <c r="Q1015" s="228"/>
      <c r="R1015" s="228"/>
      <c r="S1015" s="228"/>
      <c r="T1015" s="228"/>
      <c r="U1015" s="228"/>
      <c r="V1015" s="228"/>
      <c r="W1015" s="228"/>
      <c r="X1015" s="228"/>
      <c r="Y1015" s="228"/>
      <c r="Z1015" s="228"/>
      <c r="AA1015" s="228"/>
      <c r="AB1015" s="228"/>
    </row>
  </sheetData>
  <drawing r:id="rId1"/>
</worksheet>
</file>