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aleksejkontikov/Desktop/Obr_marshruta/"/>
    </mc:Choice>
  </mc:AlternateContent>
  <xr:revisionPtr revIDLastSave="0" documentId="13_ncr:1_{22519F44-7AA8-BC40-B278-C1304F72AAD9}" xr6:coauthVersionLast="47" xr6:coauthVersionMax="47" xr10:uidLastSave="{00000000-0000-0000-0000-000000000000}"/>
  <bookViews>
    <workbookView xWindow="0" yWindow="0" windowWidth="28800" windowHeight="18000" tabRatio="818" activeTab="2" xr2:uid="{00000000-000D-0000-FFFF-FFFF00000000}"/>
  </bookViews>
  <sheets>
    <sheet name="Лист1" sheetId="1" r:id="rId1"/>
    <sheet name="ИД" sheetId="281" r:id="rId2"/>
    <sheet name="В обсл" sheetId="444" r:id="rId3"/>
    <sheet name="У 1" sheetId="90" r:id="rId4"/>
    <sheet name="У 5" sheetId="446" r:id="rId5"/>
    <sheet name="У 25" sheetId="457" r:id="rId6"/>
    <sheet name="У 29" sheetId="461" r:id="rId7"/>
    <sheet name="У 30" sheetId="462" r:id="rId8"/>
    <sheet name="У37" sheetId="469" r:id="rId9"/>
    <sheet name="У 100" sheetId="473" r:id="rId10"/>
    <sheet name="У 101" sheetId="474" r:id="rId11"/>
    <sheet name="У 102" sheetId="475" r:id="rId12"/>
    <sheet name="У 103" sheetId="476" r:id="rId13"/>
  </sheets>
  <definedNames>
    <definedName name="_xlnm._FilterDatabase" localSheetId="2" hidden="1">'В обсл'!$A$1:$G$206</definedName>
    <definedName name="_xlnm._FilterDatabase" localSheetId="1" hidden="1">ИД!$A$1:$P$38</definedName>
    <definedName name="_Hlk26540438" localSheetId="1">ИД!#REF!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44" l="1"/>
  <c r="B3" i="444"/>
  <c r="C3" i="444"/>
  <c r="D3" i="444"/>
  <c r="E3" i="444"/>
  <c r="F3" i="444"/>
  <c r="G3" i="444"/>
  <c r="H3" i="444"/>
  <c r="I3" i="444"/>
  <c r="J3" i="444"/>
  <c r="K3" i="444"/>
  <c r="L3" i="444"/>
  <c r="A4" i="444"/>
  <c r="B4" i="444"/>
  <c r="C4" i="444"/>
  <c r="D4" i="444"/>
  <c r="E4" i="444"/>
  <c r="F4" i="444"/>
  <c r="G4" i="444"/>
  <c r="H4" i="444"/>
  <c r="I4" i="444"/>
  <c r="J4" i="444"/>
  <c r="K4" i="444"/>
  <c r="L4" i="444"/>
  <c r="A5" i="444"/>
  <c r="B5" i="444"/>
  <c r="C5" i="444"/>
  <c r="D5" i="444"/>
  <c r="E5" i="444"/>
  <c r="F5" i="444"/>
  <c r="G5" i="444"/>
  <c r="H5" i="444"/>
  <c r="I5" i="444"/>
  <c r="J5" i="444"/>
  <c r="K5" i="444"/>
  <c r="L5" i="444"/>
  <c r="A6" i="444"/>
  <c r="B6" i="444"/>
  <c r="C6" i="444"/>
  <c r="D6" i="444"/>
  <c r="E6" i="444"/>
  <c r="F6" i="444"/>
  <c r="G6" i="444"/>
  <c r="H6" i="444"/>
  <c r="I6" i="444"/>
  <c r="J6" i="444"/>
  <c r="K6" i="444"/>
  <c r="L6" i="444"/>
  <c r="A7" i="444"/>
  <c r="B7" i="444"/>
  <c r="C7" i="444"/>
  <c r="D7" i="444"/>
  <c r="E7" i="444"/>
  <c r="F7" i="444"/>
  <c r="G7" i="444"/>
  <c r="H7" i="444"/>
  <c r="I7" i="444"/>
  <c r="J7" i="444"/>
  <c r="K7" i="444"/>
  <c r="L7" i="444"/>
  <c r="A8" i="444"/>
  <c r="B8" i="444"/>
  <c r="C8" i="444"/>
  <c r="D8" i="444"/>
  <c r="E8" i="444"/>
  <c r="F8" i="444"/>
  <c r="G8" i="444"/>
  <c r="H8" i="444"/>
  <c r="I8" i="444"/>
  <c r="J8" i="444"/>
  <c r="K8" i="444"/>
  <c r="L8" i="444"/>
  <c r="A9" i="444"/>
  <c r="B9" i="444"/>
  <c r="C9" i="444"/>
  <c r="D9" i="444"/>
  <c r="E9" i="444"/>
  <c r="F9" i="444"/>
  <c r="G9" i="444"/>
  <c r="H9" i="444"/>
  <c r="I9" i="444"/>
  <c r="J9" i="444"/>
  <c r="K9" i="444"/>
  <c r="L9" i="444"/>
  <c r="A10" i="444"/>
  <c r="B10" i="444"/>
  <c r="C10" i="444"/>
  <c r="D10" i="444"/>
  <c r="E10" i="444"/>
  <c r="F10" i="444"/>
  <c r="G10" i="444"/>
  <c r="H10" i="444"/>
  <c r="I10" i="444"/>
  <c r="J10" i="444"/>
  <c r="K10" i="444"/>
  <c r="L10" i="444"/>
  <c r="A11" i="444"/>
  <c r="B11" i="444"/>
  <c r="C11" i="444"/>
  <c r="D11" i="444"/>
  <c r="E11" i="444"/>
  <c r="F11" i="444"/>
  <c r="G11" i="444"/>
  <c r="H11" i="444"/>
  <c r="I11" i="444"/>
  <c r="J11" i="444"/>
  <c r="K11" i="444"/>
  <c r="L11" i="444"/>
  <c r="A12" i="444"/>
  <c r="B12" i="444"/>
  <c r="C12" i="444"/>
  <c r="D12" i="444"/>
  <c r="E12" i="444"/>
  <c r="F12" i="444"/>
  <c r="G12" i="444"/>
  <c r="H12" i="444"/>
  <c r="I12" i="444"/>
  <c r="J12" i="444"/>
  <c r="K12" i="444"/>
  <c r="L12" i="444"/>
  <c r="A13" i="444"/>
  <c r="B13" i="444"/>
  <c r="C13" i="444"/>
  <c r="D13" i="444"/>
  <c r="E13" i="444"/>
  <c r="F13" i="444"/>
  <c r="G13" i="444"/>
  <c r="H13" i="444"/>
  <c r="I13" i="444"/>
  <c r="J13" i="444"/>
  <c r="K13" i="444"/>
  <c r="L13" i="444"/>
  <c r="A14" i="444"/>
  <c r="B14" i="444"/>
  <c r="C14" i="444"/>
  <c r="D14" i="444"/>
  <c r="E14" i="444"/>
  <c r="F14" i="444"/>
  <c r="G14" i="444"/>
  <c r="H14" i="444"/>
  <c r="I14" i="444"/>
  <c r="J14" i="444"/>
  <c r="K14" i="444"/>
  <c r="L14" i="444"/>
  <c r="A15" i="444"/>
  <c r="B15" i="444"/>
  <c r="C15" i="444"/>
  <c r="D15" i="444"/>
  <c r="E15" i="444"/>
  <c r="F15" i="444"/>
  <c r="G15" i="444"/>
  <c r="H15" i="444"/>
  <c r="I15" i="444"/>
  <c r="J15" i="444"/>
  <c r="K15" i="444"/>
  <c r="L15" i="444"/>
  <c r="A16" i="444"/>
  <c r="B16" i="444"/>
  <c r="C16" i="444"/>
  <c r="D16" i="444"/>
  <c r="E16" i="444"/>
  <c r="F16" i="444"/>
  <c r="G16" i="444"/>
  <c r="H16" i="444"/>
  <c r="I16" i="444"/>
  <c r="J16" i="444"/>
  <c r="K16" i="444"/>
  <c r="L16" i="444"/>
  <c r="A17" i="444"/>
  <c r="B17" i="444"/>
  <c r="C17" i="444"/>
  <c r="D17" i="444"/>
  <c r="E17" i="444"/>
  <c r="F17" i="444"/>
  <c r="G17" i="444"/>
  <c r="H17" i="444"/>
  <c r="I17" i="444"/>
  <c r="J17" i="444"/>
  <c r="K17" i="444"/>
  <c r="L17" i="444"/>
  <c r="A18" i="444"/>
  <c r="B18" i="444"/>
  <c r="C18" i="444"/>
  <c r="D18" i="444"/>
  <c r="E18" i="444"/>
  <c r="F18" i="444"/>
  <c r="G18" i="444"/>
  <c r="H18" i="444"/>
  <c r="I18" i="444"/>
  <c r="J18" i="444"/>
  <c r="K18" i="444"/>
  <c r="L18" i="444"/>
  <c r="A19" i="444"/>
  <c r="B19" i="444"/>
  <c r="C19" i="444"/>
  <c r="D19" i="444"/>
  <c r="E19" i="444"/>
  <c r="F19" i="444"/>
  <c r="G19" i="444"/>
  <c r="H19" i="444"/>
  <c r="I19" i="444"/>
  <c r="J19" i="444"/>
  <c r="K19" i="444"/>
  <c r="L19" i="444"/>
  <c r="A20" i="444"/>
  <c r="B20" i="444"/>
  <c r="C20" i="444"/>
  <c r="D20" i="444"/>
  <c r="E20" i="444"/>
  <c r="F20" i="444"/>
  <c r="G20" i="444"/>
  <c r="H20" i="444"/>
  <c r="I20" i="444"/>
  <c r="J20" i="444"/>
  <c r="K20" i="444"/>
  <c r="L20" i="444"/>
  <c r="A21" i="444"/>
  <c r="B21" i="444"/>
  <c r="C21" i="444"/>
  <c r="D21" i="444"/>
  <c r="E21" i="444"/>
  <c r="F21" i="444"/>
  <c r="G21" i="444"/>
  <c r="H21" i="444"/>
  <c r="I21" i="444"/>
  <c r="J21" i="444"/>
  <c r="K21" i="444"/>
  <c r="L21" i="444"/>
  <c r="A22" i="444"/>
  <c r="B22" i="444"/>
  <c r="C22" i="444"/>
  <c r="D22" i="444"/>
  <c r="E22" i="444"/>
  <c r="F22" i="444"/>
  <c r="G22" i="444"/>
  <c r="H22" i="444"/>
  <c r="I22" i="444"/>
  <c r="J22" i="444"/>
  <c r="K22" i="444"/>
  <c r="L22" i="444"/>
  <c r="A23" i="444"/>
  <c r="B23" i="444"/>
  <c r="C23" i="444"/>
  <c r="D23" i="444"/>
  <c r="E23" i="444"/>
  <c r="F23" i="444"/>
  <c r="G23" i="444"/>
  <c r="H23" i="444"/>
  <c r="I23" i="444"/>
  <c r="J23" i="444"/>
  <c r="K23" i="444"/>
  <c r="L23" i="444"/>
  <c r="A24" i="444"/>
  <c r="B24" i="444"/>
  <c r="C24" i="444"/>
  <c r="D24" i="444"/>
  <c r="E24" i="444"/>
  <c r="F24" i="444"/>
  <c r="G24" i="444"/>
  <c r="H24" i="444"/>
  <c r="I24" i="444"/>
  <c r="J24" i="444"/>
  <c r="K24" i="444"/>
  <c r="L24" i="444"/>
  <c r="A25" i="444"/>
  <c r="B25" i="444"/>
  <c r="C25" i="444"/>
  <c r="D25" i="444"/>
  <c r="E25" i="444"/>
  <c r="F25" i="444"/>
  <c r="G25" i="444"/>
  <c r="H25" i="444"/>
  <c r="I25" i="444"/>
  <c r="J25" i="444"/>
  <c r="K25" i="444"/>
  <c r="L25" i="444"/>
  <c r="A26" i="444"/>
  <c r="B26" i="444"/>
  <c r="C26" i="444"/>
  <c r="D26" i="444"/>
  <c r="E26" i="444"/>
  <c r="F26" i="444"/>
  <c r="G26" i="444"/>
  <c r="H26" i="444"/>
  <c r="I26" i="444"/>
  <c r="J26" i="444"/>
  <c r="K26" i="444"/>
  <c r="L26" i="444"/>
  <c r="A27" i="444"/>
  <c r="B27" i="444"/>
  <c r="C27" i="444"/>
  <c r="D27" i="444"/>
  <c r="E27" i="444"/>
  <c r="F27" i="444"/>
  <c r="G27" i="444"/>
  <c r="H27" i="444"/>
  <c r="I27" i="444"/>
  <c r="J27" i="444"/>
  <c r="K27" i="444"/>
  <c r="L27" i="444"/>
  <c r="A28" i="444"/>
  <c r="B28" i="444"/>
  <c r="C28" i="444"/>
  <c r="D28" i="444"/>
  <c r="E28" i="444"/>
  <c r="F28" i="444"/>
  <c r="G28" i="444"/>
  <c r="H28" i="444"/>
  <c r="I28" i="444"/>
  <c r="J28" i="444"/>
  <c r="K28" i="444"/>
  <c r="L28" i="444"/>
  <c r="A29" i="444"/>
  <c r="B29" i="444"/>
  <c r="C29" i="444"/>
  <c r="D29" i="444"/>
  <c r="E29" i="444"/>
  <c r="F29" i="444"/>
  <c r="G29" i="444"/>
  <c r="H29" i="444"/>
  <c r="I29" i="444"/>
  <c r="J29" i="444"/>
  <c r="K29" i="444"/>
  <c r="L29" i="444"/>
  <c r="A30" i="444"/>
  <c r="B30" i="444"/>
  <c r="C30" i="444"/>
  <c r="D30" i="444"/>
  <c r="E30" i="444"/>
  <c r="F30" i="444"/>
  <c r="G30" i="444"/>
  <c r="H30" i="444"/>
  <c r="I30" i="444"/>
  <c r="J30" i="444"/>
  <c r="K30" i="444"/>
  <c r="L30" i="444"/>
  <c r="A31" i="444"/>
  <c r="B31" i="444"/>
  <c r="C31" i="444"/>
  <c r="D31" i="444"/>
  <c r="E31" i="444"/>
  <c r="F31" i="444"/>
  <c r="G31" i="444"/>
  <c r="H31" i="444"/>
  <c r="I31" i="444"/>
  <c r="J31" i="444"/>
  <c r="K31" i="444"/>
  <c r="L31" i="444"/>
  <c r="A32" i="444"/>
  <c r="B32" i="444"/>
  <c r="C32" i="444"/>
  <c r="D32" i="444"/>
  <c r="E32" i="444"/>
  <c r="F32" i="444"/>
  <c r="G32" i="444"/>
  <c r="H32" i="444"/>
  <c r="I32" i="444"/>
  <c r="J32" i="444"/>
  <c r="K32" i="444"/>
  <c r="L32" i="444"/>
  <c r="A33" i="444"/>
  <c r="B33" i="444"/>
  <c r="C33" i="444"/>
  <c r="D33" i="444"/>
  <c r="E33" i="444"/>
  <c r="F33" i="444"/>
  <c r="G33" i="444"/>
  <c r="H33" i="444"/>
  <c r="I33" i="444"/>
  <c r="J33" i="444"/>
  <c r="K33" i="444"/>
  <c r="L33" i="444"/>
  <c r="A34" i="444"/>
  <c r="B34" i="444"/>
  <c r="C34" i="444"/>
  <c r="D34" i="444"/>
  <c r="E34" i="444"/>
  <c r="F34" i="444"/>
  <c r="G34" i="444"/>
  <c r="H34" i="444"/>
  <c r="I34" i="444"/>
  <c r="J34" i="444"/>
  <c r="K34" i="444"/>
  <c r="L34" i="444"/>
  <c r="A35" i="444"/>
  <c r="B35" i="444"/>
  <c r="C35" i="444"/>
  <c r="D35" i="444"/>
  <c r="E35" i="444"/>
  <c r="F35" i="444"/>
  <c r="G35" i="444"/>
  <c r="H35" i="444"/>
  <c r="I35" i="444"/>
  <c r="J35" i="444"/>
  <c r="K35" i="444"/>
  <c r="L35" i="444"/>
  <c r="A36" i="444"/>
  <c r="B36" i="444"/>
  <c r="C36" i="444"/>
  <c r="D36" i="444"/>
  <c r="E36" i="444"/>
  <c r="F36" i="444"/>
  <c r="G36" i="444"/>
  <c r="H36" i="444"/>
  <c r="I36" i="444"/>
  <c r="J36" i="444"/>
  <c r="K36" i="444"/>
  <c r="L36" i="444"/>
  <c r="A37" i="444"/>
  <c r="B37" i="444"/>
  <c r="C37" i="444"/>
  <c r="D37" i="444"/>
  <c r="E37" i="444"/>
  <c r="F37" i="444"/>
  <c r="G37" i="444"/>
  <c r="H37" i="444"/>
  <c r="I37" i="444"/>
  <c r="J37" i="444"/>
  <c r="K37" i="444"/>
  <c r="L37" i="444"/>
  <c r="A38" i="444"/>
  <c r="B38" i="444"/>
  <c r="C38" i="444"/>
  <c r="D38" i="444"/>
  <c r="E38" i="444"/>
  <c r="F38" i="444"/>
  <c r="G38" i="444"/>
  <c r="H38" i="444"/>
  <c r="I38" i="444"/>
  <c r="J38" i="444"/>
  <c r="K38" i="444"/>
  <c r="L38" i="444"/>
  <c r="A39" i="444"/>
  <c r="B39" i="444"/>
  <c r="C39" i="444"/>
  <c r="D39" i="444"/>
  <c r="E39" i="444"/>
  <c r="F39" i="444"/>
  <c r="G39" i="444"/>
  <c r="H39" i="444"/>
  <c r="I39" i="444"/>
  <c r="J39" i="444"/>
  <c r="K39" i="444"/>
  <c r="L39" i="444"/>
  <c r="A40" i="444"/>
  <c r="B40" i="444"/>
  <c r="C40" i="444"/>
  <c r="D40" i="444"/>
  <c r="E40" i="444"/>
  <c r="F40" i="444"/>
  <c r="G40" i="444"/>
  <c r="H40" i="444"/>
  <c r="I40" i="444"/>
  <c r="J40" i="444"/>
  <c r="K40" i="444"/>
  <c r="L40" i="444"/>
  <c r="A41" i="444"/>
  <c r="B41" i="444"/>
  <c r="C41" i="444"/>
  <c r="D41" i="444"/>
  <c r="E41" i="444"/>
  <c r="F41" i="444"/>
  <c r="G41" i="444"/>
  <c r="H41" i="444"/>
  <c r="I41" i="444"/>
  <c r="J41" i="444"/>
  <c r="K41" i="444"/>
  <c r="L41" i="444"/>
  <c r="A42" i="444"/>
  <c r="B42" i="444"/>
  <c r="C42" i="444"/>
  <c r="D42" i="444"/>
  <c r="E42" i="444"/>
  <c r="F42" i="444"/>
  <c r="G42" i="444"/>
  <c r="H42" i="444"/>
  <c r="I42" i="444"/>
  <c r="J42" i="444"/>
  <c r="K42" i="444"/>
  <c r="L42" i="444"/>
  <c r="A43" i="444"/>
  <c r="B43" i="444"/>
  <c r="C43" i="444"/>
  <c r="D43" i="444"/>
  <c r="E43" i="444"/>
  <c r="F43" i="444"/>
  <c r="G43" i="444"/>
  <c r="H43" i="444"/>
  <c r="I43" i="444"/>
  <c r="J43" i="444"/>
  <c r="K43" i="444"/>
  <c r="L43" i="444"/>
  <c r="A44" i="444"/>
  <c r="B44" i="444"/>
  <c r="C44" i="444"/>
  <c r="D44" i="444"/>
  <c r="E44" i="444"/>
  <c r="F44" i="444"/>
  <c r="G44" i="444"/>
  <c r="H44" i="444"/>
  <c r="I44" i="444"/>
  <c r="J44" i="444"/>
  <c r="K44" i="444"/>
  <c r="L44" i="444"/>
  <c r="A45" i="444"/>
  <c r="B45" i="444"/>
  <c r="C45" i="444"/>
  <c r="D45" i="444"/>
  <c r="E45" i="444"/>
  <c r="F45" i="444"/>
  <c r="G45" i="444"/>
  <c r="H45" i="444"/>
  <c r="I45" i="444"/>
  <c r="J45" i="444"/>
  <c r="K45" i="444"/>
  <c r="L45" i="444"/>
  <c r="A46" i="444"/>
  <c r="B46" i="444"/>
  <c r="C46" i="444"/>
  <c r="D46" i="444"/>
  <c r="E46" i="444"/>
  <c r="F46" i="444"/>
  <c r="G46" i="444"/>
  <c r="H46" i="444"/>
  <c r="I46" i="444"/>
  <c r="J46" i="444"/>
  <c r="K46" i="444"/>
  <c r="L46" i="444"/>
  <c r="A47" i="444"/>
  <c r="B47" i="444"/>
  <c r="C47" i="444"/>
  <c r="D47" i="444"/>
  <c r="E47" i="444"/>
  <c r="F47" i="444"/>
  <c r="G47" i="444"/>
  <c r="H47" i="444"/>
  <c r="I47" i="444"/>
  <c r="J47" i="444"/>
  <c r="K47" i="444"/>
  <c r="L47" i="444"/>
  <c r="A48" i="444"/>
  <c r="B48" i="444"/>
  <c r="C48" i="444"/>
  <c r="D48" i="444"/>
  <c r="E48" i="444"/>
  <c r="F48" i="444"/>
  <c r="G48" i="444"/>
  <c r="H48" i="444"/>
  <c r="I48" i="444"/>
  <c r="J48" i="444"/>
  <c r="K48" i="444"/>
  <c r="L48" i="444"/>
  <c r="A49" i="444"/>
  <c r="B49" i="444"/>
  <c r="C49" i="444"/>
  <c r="D49" i="444"/>
  <c r="E49" i="444"/>
  <c r="F49" i="444"/>
  <c r="G49" i="444"/>
  <c r="H49" i="444"/>
  <c r="I49" i="444"/>
  <c r="J49" i="444"/>
  <c r="K49" i="444"/>
  <c r="L49" i="444"/>
  <c r="A50" i="444"/>
  <c r="B50" i="444"/>
  <c r="C50" i="444"/>
  <c r="D50" i="444"/>
  <c r="E50" i="444"/>
  <c r="F50" i="444"/>
  <c r="G50" i="444"/>
  <c r="H50" i="444"/>
  <c r="I50" i="444"/>
  <c r="J50" i="444"/>
  <c r="K50" i="444"/>
  <c r="L50" i="444"/>
  <c r="A51" i="444"/>
  <c r="B51" i="444"/>
  <c r="C51" i="444"/>
  <c r="D51" i="444"/>
  <c r="E51" i="444"/>
  <c r="F51" i="444"/>
  <c r="G51" i="444"/>
  <c r="H51" i="444"/>
  <c r="I51" i="444"/>
  <c r="J51" i="444"/>
  <c r="K51" i="444"/>
  <c r="L51" i="444"/>
  <c r="A52" i="444"/>
  <c r="B52" i="444"/>
  <c r="C52" i="444"/>
  <c r="D52" i="444"/>
  <c r="E52" i="444"/>
  <c r="F52" i="444"/>
  <c r="G52" i="444"/>
  <c r="H52" i="444"/>
  <c r="I52" i="444"/>
  <c r="J52" i="444"/>
  <c r="K52" i="444"/>
  <c r="L52" i="444"/>
  <c r="A53" i="444"/>
  <c r="B53" i="444"/>
  <c r="C53" i="444"/>
  <c r="D53" i="444"/>
  <c r="E53" i="444"/>
  <c r="F53" i="444"/>
  <c r="G53" i="444"/>
  <c r="H53" i="444"/>
  <c r="I53" i="444"/>
  <c r="J53" i="444"/>
  <c r="K53" i="444"/>
  <c r="L53" i="444"/>
  <c r="A54" i="444"/>
  <c r="B54" i="444"/>
  <c r="C54" i="444"/>
  <c r="D54" i="444"/>
  <c r="E54" i="444"/>
  <c r="F54" i="444"/>
  <c r="G54" i="444"/>
  <c r="H54" i="444"/>
  <c r="I54" i="444"/>
  <c r="J54" i="444"/>
  <c r="K54" i="444"/>
  <c r="L54" i="444"/>
  <c r="A55" i="444"/>
  <c r="B55" i="444"/>
  <c r="C55" i="444"/>
  <c r="D55" i="444"/>
  <c r="E55" i="444"/>
  <c r="F55" i="444"/>
  <c r="G55" i="444"/>
  <c r="H55" i="444"/>
  <c r="I55" i="444"/>
  <c r="J55" i="444"/>
  <c r="K55" i="444"/>
  <c r="L55" i="444"/>
  <c r="A56" i="444"/>
  <c r="B56" i="444"/>
  <c r="C56" i="444"/>
  <c r="D56" i="444"/>
  <c r="E56" i="444"/>
  <c r="F56" i="444"/>
  <c r="G56" i="444"/>
  <c r="H56" i="444"/>
  <c r="I56" i="444"/>
  <c r="J56" i="444"/>
  <c r="K56" i="444"/>
  <c r="L56" i="444"/>
  <c r="A57" i="444"/>
  <c r="B57" i="444"/>
  <c r="C57" i="444"/>
  <c r="D57" i="444"/>
  <c r="E57" i="444"/>
  <c r="F57" i="444"/>
  <c r="G57" i="444"/>
  <c r="H57" i="444"/>
  <c r="I57" i="444"/>
  <c r="J57" i="444"/>
  <c r="K57" i="444"/>
  <c r="L57" i="444"/>
  <c r="A58" i="444"/>
  <c r="B58" i="444"/>
  <c r="C58" i="444"/>
  <c r="D58" i="444"/>
  <c r="E58" i="444"/>
  <c r="F58" i="444"/>
  <c r="G58" i="444"/>
  <c r="H58" i="444"/>
  <c r="I58" i="444"/>
  <c r="J58" i="444"/>
  <c r="K58" i="444"/>
  <c r="L58" i="444"/>
  <c r="A59" i="444"/>
  <c r="B59" i="444"/>
  <c r="C59" i="444"/>
  <c r="D59" i="444"/>
  <c r="E59" i="444"/>
  <c r="F59" i="444"/>
  <c r="G59" i="444"/>
  <c r="H59" i="444"/>
  <c r="I59" i="444"/>
  <c r="J59" i="444"/>
  <c r="K59" i="444"/>
  <c r="L59" i="444"/>
  <c r="A60" i="444"/>
  <c r="B60" i="444"/>
  <c r="C60" i="444"/>
  <c r="D60" i="444"/>
  <c r="E60" i="444"/>
  <c r="F60" i="444"/>
  <c r="G60" i="444"/>
  <c r="H60" i="444"/>
  <c r="I60" i="444"/>
  <c r="J60" i="444"/>
  <c r="K60" i="444"/>
  <c r="L60" i="444"/>
  <c r="A61" i="444"/>
  <c r="B61" i="444"/>
  <c r="C61" i="444"/>
  <c r="D61" i="444"/>
  <c r="E61" i="444"/>
  <c r="F61" i="444"/>
  <c r="G61" i="444"/>
  <c r="H61" i="444"/>
  <c r="I61" i="444"/>
  <c r="J61" i="444"/>
  <c r="K61" i="444"/>
  <c r="L61" i="444"/>
  <c r="A62" i="444"/>
  <c r="B62" i="444"/>
  <c r="C62" i="444"/>
  <c r="D62" i="444"/>
  <c r="E62" i="444"/>
  <c r="F62" i="444"/>
  <c r="G62" i="444"/>
  <c r="H62" i="444"/>
  <c r="I62" i="444"/>
  <c r="J62" i="444"/>
  <c r="K62" i="444"/>
  <c r="L62" i="444"/>
  <c r="A63" i="444"/>
  <c r="B63" i="444"/>
  <c r="C63" i="444"/>
  <c r="D63" i="444"/>
  <c r="E63" i="444"/>
  <c r="F63" i="444"/>
  <c r="G63" i="444"/>
  <c r="H63" i="444"/>
  <c r="I63" i="444"/>
  <c r="J63" i="444"/>
  <c r="K63" i="444"/>
  <c r="L63" i="444"/>
  <c r="A64" i="444"/>
  <c r="B64" i="444"/>
  <c r="C64" i="444"/>
  <c r="D64" i="444"/>
  <c r="E64" i="444"/>
  <c r="F64" i="444"/>
  <c r="G64" i="444"/>
  <c r="H64" i="444"/>
  <c r="I64" i="444"/>
  <c r="J64" i="444"/>
  <c r="K64" i="444"/>
  <c r="L64" i="444"/>
  <c r="A65" i="444"/>
  <c r="B65" i="444"/>
  <c r="C65" i="444"/>
  <c r="D65" i="444"/>
  <c r="E65" i="444"/>
  <c r="F65" i="444"/>
  <c r="G65" i="444"/>
  <c r="H65" i="444"/>
  <c r="I65" i="444"/>
  <c r="J65" i="444"/>
  <c r="K65" i="444"/>
  <c r="L65" i="444"/>
  <c r="A66" i="444"/>
  <c r="B66" i="444"/>
  <c r="C66" i="444"/>
  <c r="D66" i="444"/>
  <c r="E66" i="444"/>
  <c r="F66" i="444"/>
  <c r="G66" i="444"/>
  <c r="H66" i="444"/>
  <c r="I66" i="444"/>
  <c r="J66" i="444"/>
  <c r="K66" i="444"/>
  <c r="L66" i="444"/>
  <c r="A67" i="444"/>
  <c r="B67" i="444"/>
  <c r="C67" i="444"/>
  <c r="D67" i="444"/>
  <c r="E67" i="444"/>
  <c r="F67" i="444"/>
  <c r="G67" i="444"/>
  <c r="H67" i="444"/>
  <c r="I67" i="444"/>
  <c r="J67" i="444"/>
  <c r="K67" i="444"/>
  <c r="L67" i="444"/>
  <c r="A68" i="444"/>
  <c r="B68" i="444"/>
  <c r="C68" i="444"/>
  <c r="D68" i="444"/>
  <c r="E68" i="444"/>
  <c r="F68" i="444"/>
  <c r="G68" i="444"/>
  <c r="H68" i="444"/>
  <c r="I68" i="444"/>
  <c r="J68" i="444"/>
  <c r="K68" i="444"/>
  <c r="L68" i="444"/>
  <c r="A69" i="444"/>
  <c r="B69" i="444"/>
  <c r="C69" i="444"/>
  <c r="D69" i="444"/>
  <c r="E69" i="444"/>
  <c r="F69" i="444"/>
  <c r="G69" i="444"/>
  <c r="H69" i="444"/>
  <c r="I69" i="444"/>
  <c r="J69" i="444"/>
  <c r="K69" i="444"/>
  <c r="L69" i="444"/>
  <c r="A70" i="444"/>
  <c r="B70" i="444"/>
  <c r="C70" i="444"/>
  <c r="D70" i="444"/>
  <c r="E70" i="444"/>
  <c r="F70" i="444"/>
  <c r="G70" i="444"/>
  <c r="H70" i="444"/>
  <c r="I70" i="444"/>
  <c r="J70" i="444"/>
  <c r="K70" i="444"/>
  <c r="L70" i="444"/>
  <c r="A71" i="444"/>
  <c r="B71" i="444"/>
  <c r="C71" i="444"/>
  <c r="D71" i="444"/>
  <c r="E71" i="444"/>
  <c r="F71" i="444"/>
  <c r="G71" i="444"/>
  <c r="H71" i="444"/>
  <c r="I71" i="444"/>
  <c r="J71" i="444"/>
  <c r="K71" i="444"/>
  <c r="L71" i="444"/>
  <c r="A72" i="444"/>
  <c r="B72" i="444"/>
  <c r="C72" i="444"/>
  <c r="D72" i="444"/>
  <c r="E72" i="444"/>
  <c r="F72" i="444"/>
  <c r="G72" i="444"/>
  <c r="H72" i="444"/>
  <c r="I72" i="444"/>
  <c r="J72" i="444"/>
  <c r="K72" i="444"/>
  <c r="L72" i="444"/>
  <c r="A73" i="444"/>
  <c r="B73" i="444"/>
  <c r="C73" i="444"/>
  <c r="D73" i="444"/>
  <c r="E73" i="444"/>
  <c r="F73" i="444"/>
  <c r="G73" i="444"/>
  <c r="H73" i="444"/>
  <c r="I73" i="444"/>
  <c r="J73" i="444"/>
  <c r="K73" i="444"/>
  <c r="L73" i="444"/>
  <c r="A74" i="444"/>
  <c r="B74" i="444"/>
  <c r="C74" i="444"/>
  <c r="D74" i="444"/>
  <c r="E74" i="444"/>
  <c r="F74" i="444"/>
  <c r="G74" i="444"/>
  <c r="H74" i="444"/>
  <c r="I74" i="444"/>
  <c r="J74" i="444"/>
  <c r="K74" i="444"/>
  <c r="L74" i="444"/>
  <c r="A75" i="444"/>
  <c r="B75" i="444"/>
  <c r="C75" i="444"/>
  <c r="D75" i="444"/>
  <c r="E75" i="444"/>
  <c r="F75" i="444"/>
  <c r="G75" i="444"/>
  <c r="H75" i="444"/>
  <c r="I75" i="444"/>
  <c r="J75" i="444"/>
  <c r="K75" i="444"/>
  <c r="L75" i="444"/>
  <c r="A76" i="444"/>
  <c r="B76" i="444"/>
  <c r="C76" i="444"/>
  <c r="D76" i="444"/>
  <c r="E76" i="444"/>
  <c r="F76" i="444"/>
  <c r="G76" i="444"/>
  <c r="H76" i="444"/>
  <c r="I76" i="444"/>
  <c r="J76" i="444"/>
  <c r="K76" i="444"/>
  <c r="L76" i="444"/>
  <c r="A77" i="444"/>
  <c r="B77" i="444"/>
  <c r="C77" i="444"/>
  <c r="D77" i="444"/>
  <c r="E77" i="444"/>
  <c r="F77" i="444"/>
  <c r="G77" i="444"/>
  <c r="H77" i="444"/>
  <c r="I77" i="444"/>
  <c r="J77" i="444"/>
  <c r="K77" i="444"/>
  <c r="L77" i="444"/>
  <c r="A78" i="444"/>
  <c r="B78" i="444"/>
  <c r="C78" i="444"/>
  <c r="D78" i="444"/>
  <c r="E78" i="444"/>
  <c r="F78" i="444"/>
  <c r="G78" i="444"/>
  <c r="H78" i="444"/>
  <c r="I78" i="444"/>
  <c r="J78" i="444"/>
  <c r="K78" i="444"/>
  <c r="L78" i="444"/>
  <c r="A79" i="444"/>
  <c r="B79" i="444"/>
  <c r="C79" i="444"/>
  <c r="D79" i="444"/>
  <c r="E79" i="444"/>
  <c r="F79" i="444"/>
  <c r="G79" i="444"/>
  <c r="H79" i="444"/>
  <c r="I79" i="444"/>
  <c r="J79" i="444"/>
  <c r="K79" i="444"/>
  <c r="L79" i="444"/>
  <c r="A80" i="444"/>
  <c r="B80" i="444"/>
  <c r="C80" i="444"/>
  <c r="D80" i="444"/>
  <c r="E80" i="444"/>
  <c r="F80" i="444"/>
  <c r="G80" i="444"/>
  <c r="H80" i="444"/>
  <c r="I80" i="444"/>
  <c r="J80" i="444"/>
  <c r="K80" i="444"/>
  <c r="L80" i="444"/>
  <c r="A81" i="444"/>
  <c r="B81" i="444"/>
  <c r="C81" i="444"/>
  <c r="D81" i="444"/>
  <c r="E81" i="444"/>
  <c r="F81" i="444"/>
  <c r="G81" i="444"/>
  <c r="H81" i="444"/>
  <c r="I81" i="444"/>
  <c r="J81" i="444"/>
  <c r="K81" i="444"/>
  <c r="L81" i="444"/>
  <c r="A82" i="444"/>
  <c r="B82" i="444"/>
  <c r="C82" i="444"/>
  <c r="D82" i="444"/>
  <c r="E82" i="444"/>
  <c r="F82" i="444"/>
  <c r="G82" i="444"/>
  <c r="H82" i="444"/>
  <c r="I82" i="444"/>
  <c r="J82" i="444"/>
  <c r="K82" i="444"/>
  <c r="L82" i="444"/>
  <c r="A83" i="444"/>
  <c r="B83" i="444"/>
  <c r="C83" i="444"/>
  <c r="D83" i="444"/>
  <c r="E83" i="444"/>
  <c r="F83" i="444"/>
  <c r="G83" i="444"/>
  <c r="H83" i="444"/>
  <c r="I83" i="444"/>
  <c r="J83" i="444"/>
  <c r="K83" i="444"/>
  <c r="L83" i="444"/>
  <c r="A84" i="444"/>
  <c r="B84" i="444"/>
  <c r="C84" i="444"/>
  <c r="D84" i="444"/>
  <c r="E84" i="444"/>
  <c r="F84" i="444"/>
  <c r="G84" i="444"/>
  <c r="H84" i="444"/>
  <c r="I84" i="444"/>
  <c r="J84" i="444"/>
  <c r="K84" i="444"/>
  <c r="L84" i="444"/>
  <c r="A85" i="444"/>
  <c r="B85" i="444"/>
  <c r="C85" i="444"/>
  <c r="D85" i="444"/>
  <c r="E85" i="444"/>
  <c r="F85" i="444"/>
  <c r="G85" i="444"/>
  <c r="H85" i="444"/>
  <c r="I85" i="444"/>
  <c r="J85" i="444"/>
  <c r="K85" i="444"/>
  <c r="L85" i="444"/>
  <c r="A86" i="444"/>
  <c r="B86" i="444"/>
  <c r="C86" i="444"/>
  <c r="D86" i="444"/>
  <c r="E86" i="444"/>
  <c r="F86" i="444"/>
  <c r="G86" i="444"/>
  <c r="H86" i="444"/>
  <c r="I86" i="444"/>
  <c r="J86" i="444"/>
  <c r="K86" i="444"/>
  <c r="L86" i="444"/>
  <c r="A87" i="444"/>
  <c r="B87" i="444"/>
  <c r="C87" i="444"/>
  <c r="D87" i="444"/>
  <c r="E87" i="444"/>
  <c r="F87" i="444"/>
  <c r="G87" i="444"/>
  <c r="H87" i="444"/>
  <c r="I87" i="444"/>
  <c r="J87" i="444"/>
  <c r="K87" i="444"/>
  <c r="L87" i="444"/>
  <c r="A88" i="444"/>
  <c r="B88" i="444"/>
  <c r="C88" i="444"/>
  <c r="D88" i="444"/>
  <c r="E88" i="444"/>
  <c r="F88" i="444"/>
  <c r="G88" i="444"/>
  <c r="H88" i="444"/>
  <c r="I88" i="444"/>
  <c r="J88" i="444"/>
  <c r="K88" i="444"/>
  <c r="L88" i="444"/>
  <c r="A89" i="444"/>
  <c r="B89" i="444"/>
  <c r="C89" i="444"/>
  <c r="D89" i="444"/>
  <c r="E89" i="444"/>
  <c r="F89" i="444"/>
  <c r="G89" i="444"/>
  <c r="H89" i="444"/>
  <c r="I89" i="444"/>
  <c r="J89" i="444"/>
  <c r="K89" i="444"/>
  <c r="L89" i="444"/>
  <c r="A90" i="444"/>
  <c r="B90" i="444"/>
  <c r="C90" i="444"/>
  <c r="D90" i="444"/>
  <c r="E90" i="444"/>
  <c r="F90" i="444"/>
  <c r="G90" i="444"/>
  <c r="H90" i="444"/>
  <c r="I90" i="444"/>
  <c r="J90" i="444"/>
  <c r="K90" i="444"/>
  <c r="L90" i="444"/>
  <c r="A91" i="444"/>
  <c r="B91" i="444"/>
  <c r="C91" i="444"/>
  <c r="D91" i="444"/>
  <c r="E91" i="444"/>
  <c r="F91" i="444"/>
  <c r="G91" i="444"/>
  <c r="H91" i="444"/>
  <c r="I91" i="444"/>
  <c r="J91" i="444"/>
  <c r="K91" i="444"/>
  <c r="L91" i="444"/>
  <c r="A92" i="444"/>
  <c r="B92" i="444"/>
  <c r="C92" i="444"/>
  <c r="D92" i="444"/>
  <c r="E92" i="444"/>
  <c r="F92" i="444"/>
  <c r="G92" i="444"/>
  <c r="H92" i="444"/>
  <c r="I92" i="444"/>
  <c r="J92" i="444"/>
  <c r="K92" i="444"/>
  <c r="L92" i="444"/>
  <c r="A93" i="444"/>
  <c r="B93" i="444"/>
  <c r="C93" i="444"/>
  <c r="D93" i="444"/>
  <c r="E93" i="444"/>
  <c r="F93" i="444"/>
  <c r="G93" i="444"/>
  <c r="H93" i="444"/>
  <c r="I93" i="444"/>
  <c r="J93" i="444"/>
  <c r="K93" i="444"/>
  <c r="L93" i="444"/>
  <c r="A94" i="444"/>
  <c r="B94" i="444"/>
  <c r="C94" i="444"/>
  <c r="D94" i="444"/>
  <c r="E94" i="444"/>
  <c r="F94" i="444"/>
  <c r="G94" i="444"/>
  <c r="H94" i="444"/>
  <c r="I94" i="444"/>
  <c r="J94" i="444"/>
  <c r="K94" i="444"/>
  <c r="L94" i="444"/>
  <c r="A95" i="444"/>
  <c r="B95" i="444"/>
  <c r="C95" i="444"/>
  <c r="D95" i="444"/>
  <c r="E95" i="444"/>
  <c r="F95" i="444"/>
  <c r="G95" i="444"/>
  <c r="H95" i="444"/>
  <c r="I95" i="444"/>
  <c r="J95" i="444"/>
  <c r="K95" i="444"/>
  <c r="L95" i="444"/>
  <c r="A96" i="444"/>
  <c r="B96" i="444"/>
  <c r="C96" i="444"/>
  <c r="D96" i="444"/>
  <c r="E96" i="444"/>
  <c r="F96" i="444"/>
  <c r="G96" i="444"/>
  <c r="H96" i="444"/>
  <c r="I96" i="444"/>
  <c r="J96" i="444"/>
  <c r="K96" i="444"/>
  <c r="L96" i="444"/>
  <c r="A97" i="444"/>
  <c r="B97" i="444"/>
  <c r="C97" i="444"/>
  <c r="D97" i="444"/>
  <c r="E97" i="444"/>
  <c r="F97" i="444"/>
  <c r="G97" i="444"/>
  <c r="H97" i="444"/>
  <c r="I97" i="444"/>
  <c r="J97" i="444"/>
  <c r="K97" i="444"/>
  <c r="L97" i="444"/>
  <c r="A98" i="444"/>
  <c r="B98" i="444"/>
  <c r="C98" i="444"/>
  <c r="D98" i="444"/>
  <c r="E98" i="444"/>
  <c r="F98" i="444"/>
  <c r="G98" i="444"/>
  <c r="H98" i="444"/>
  <c r="I98" i="444"/>
  <c r="J98" i="444"/>
  <c r="K98" i="444"/>
  <c r="L98" i="444"/>
  <c r="A99" i="444"/>
  <c r="B99" i="444"/>
  <c r="C99" i="444"/>
  <c r="D99" i="444"/>
  <c r="E99" i="444"/>
  <c r="F99" i="444"/>
  <c r="G99" i="444"/>
  <c r="H99" i="444"/>
  <c r="I99" i="444"/>
  <c r="J99" i="444"/>
  <c r="K99" i="444"/>
  <c r="L99" i="444"/>
  <c r="A100" i="444"/>
  <c r="B100" i="444"/>
  <c r="C100" i="444"/>
  <c r="D100" i="444"/>
  <c r="E100" i="444"/>
  <c r="F100" i="444"/>
  <c r="G100" i="444"/>
  <c r="H100" i="444"/>
  <c r="I100" i="444"/>
  <c r="J100" i="444"/>
  <c r="K100" i="444"/>
  <c r="L100" i="444"/>
  <c r="A101" i="444"/>
  <c r="B101" i="444"/>
  <c r="C101" i="444"/>
  <c r="D101" i="444"/>
  <c r="E101" i="444"/>
  <c r="F101" i="444"/>
  <c r="G101" i="444"/>
  <c r="H101" i="444"/>
  <c r="I101" i="444"/>
  <c r="J101" i="444"/>
  <c r="K101" i="444"/>
  <c r="L101" i="444"/>
  <c r="A102" i="444"/>
  <c r="B102" i="444"/>
  <c r="C102" i="444"/>
  <c r="D102" i="444"/>
  <c r="E102" i="444"/>
  <c r="F102" i="444"/>
  <c r="G102" i="444"/>
  <c r="H102" i="444"/>
  <c r="I102" i="444"/>
  <c r="J102" i="444"/>
  <c r="K102" i="444"/>
  <c r="L102" i="444"/>
  <c r="A103" i="444"/>
  <c r="B103" i="444"/>
  <c r="C103" i="444"/>
  <c r="D103" i="444"/>
  <c r="E103" i="444"/>
  <c r="F103" i="444"/>
  <c r="G103" i="444"/>
  <c r="H103" i="444"/>
  <c r="I103" i="444"/>
  <c r="J103" i="444"/>
  <c r="K103" i="444"/>
  <c r="L103" i="444"/>
  <c r="A104" i="444"/>
  <c r="B104" i="444"/>
  <c r="C104" i="444"/>
  <c r="D104" i="444"/>
  <c r="E104" i="444"/>
  <c r="F104" i="444"/>
  <c r="G104" i="444"/>
  <c r="H104" i="444"/>
  <c r="I104" i="444"/>
  <c r="J104" i="444"/>
  <c r="K104" i="444"/>
  <c r="L104" i="444"/>
  <c r="A105" i="444"/>
  <c r="B105" i="444"/>
  <c r="C105" i="444"/>
  <c r="D105" i="444"/>
  <c r="E105" i="444"/>
  <c r="F105" i="444"/>
  <c r="G105" i="444"/>
  <c r="H105" i="444"/>
  <c r="I105" i="444"/>
  <c r="J105" i="444"/>
  <c r="K105" i="444"/>
  <c r="L105" i="444"/>
  <c r="A106" i="444"/>
  <c r="B106" i="444"/>
  <c r="C106" i="444"/>
  <c r="D106" i="444"/>
  <c r="E106" i="444"/>
  <c r="F106" i="444"/>
  <c r="G106" i="444"/>
  <c r="H106" i="444"/>
  <c r="I106" i="444"/>
  <c r="J106" i="444"/>
  <c r="K106" i="444"/>
  <c r="L106" i="444"/>
  <c r="A107" i="444"/>
  <c r="B107" i="444"/>
  <c r="C107" i="444"/>
  <c r="D107" i="444"/>
  <c r="E107" i="444"/>
  <c r="F107" i="444"/>
  <c r="G107" i="444"/>
  <c r="H107" i="444"/>
  <c r="I107" i="444"/>
  <c r="J107" i="444"/>
  <c r="K107" i="444"/>
  <c r="L107" i="444"/>
  <c r="A108" i="444"/>
  <c r="B108" i="444"/>
  <c r="C108" i="444"/>
  <c r="D108" i="444"/>
  <c r="E108" i="444"/>
  <c r="F108" i="444"/>
  <c r="G108" i="444"/>
  <c r="H108" i="444"/>
  <c r="I108" i="444"/>
  <c r="J108" i="444"/>
  <c r="K108" i="444"/>
  <c r="L108" i="444"/>
  <c r="A109" i="444"/>
  <c r="B109" i="444"/>
  <c r="C109" i="444"/>
  <c r="D109" i="444"/>
  <c r="E109" i="444"/>
  <c r="F109" i="444"/>
  <c r="G109" i="444"/>
  <c r="H109" i="444"/>
  <c r="I109" i="444"/>
  <c r="J109" i="444"/>
  <c r="K109" i="444"/>
  <c r="L109" i="444"/>
  <c r="A110" i="444"/>
  <c r="B110" i="444"/>
  <c r="C110" i="444"/>
  <c r="D110" i="444"/>
  <c r="E110" i="444"/>
  <c r="F110" i="444"/>
  <c r="G110" i="444"/>
  <c r="H110" i="444"/>
  <c r="I110" i="444"/>
  <c r="J110" i="444"/>
  <c r="K110" i="444"/>
  <c r="L110" i="444"/>
  <c r="A111" i="444"/>
  <c r="B111" i="444"/>
  <c r="C111" i="444"/>
  <c r="D111" i="444"/>
  <c r="E111" i="444"/>
  <c r="F111" i="444"/>
  <c r="G111" i="444"/>
  <c r="H111" i="444"/>
  <c r="I111" i="444"/>
  <c r="J111" i="444"/>
  <c r="K111" i="444"/>
  <c r="L111" i="444"/>
  <c r="A112" i="444"/>
  <c r="B112" i="444"/>
  <c r="C112" i="444"/>
  <c r="D112" i="444"/>
  <c r="E112" i="444"/>
  <c r="F112" i="444"/>
  <c r="G112" i="444"/>
  <c r="H112" i="444"/>
  <c r="I112" i="444"/>
  <c r="J112" i="444"/>
  <c r="K112" i="444"/>
  <c r="L112" i="444"/>
  <c r="A113" i="444"/>
  <c r="B113" i="444"/>
  <c r="C113" i="444"/>
  <c r="D113" i="444"/>
  <c r="E113" i="444"/>
  <c r="F113" i="444"/>
  <c r="G113" i="444"/>
  <c r="H113" i="444"/>
  <c r="I113" i="444"/>
  <c r="J113" i="444"/>
  <c r="K113" i="444"/>
  <c r="L113" i="444"/>
  <c r="A114" i="444"/>
  <c r="B114" i="444"/>
  <c r="C114" i="444"/>
  <c r="D114" i="444"/>
  <c r="E114" i="444"/>
  <c r="F114" i="444"/>
  <c r="G114" i="444"/>
  <c r="H114" i="444"/>
  <c r="I114" i="444"/>
  <c r="J114" i="444"/>
  <c r="K114" i="444"/>
  <c r="L114" i="444"/>
  <c r="A115" i="444"/>
  <c r="B115" i="444"/>
  <c r="C115" i="444"/>
  <c r="D115" i="444"/>
  <c r="E115" i="444"/>
  <c r="F115" i="444"/>
  <c r="G115" i="444"/>
  <c r="H115" i="444"/>
  <c r="I115" i="444"/>
  <c r="J115" i="444"/>
  <c r="K115" i="444"/>
  <c r="L115" i="444"/>
  <c r="A116" i="444"/>
  <c r="B116" i="444"/>
  <c r="C116" i="444"/>
  <c r="D116" i="444"/>
  <c r="E116" i="444"/>
  <c r="F116" i="444"/>
  <c r="G116" i="444"/>
  <c r="H116" i="444"/>
  <c r="I116" i="444"/>
  <c r="J116" i="444"/>
  <c r="K116" i="444"/>
  <c r="L116" i="444"/>
  <c r="A117" i="444"/>
  <c r="B117" i="444"/>
  <c r="C117" i="444"/>
  <c r="D117" i="444"/>
  <c r="E117" i="444"/>
  <c r="F117" i="444"/>
  <c r="G117" i="444"/>
  <c r="H117" i="444"/>
  <c r="I117" i="444"/>
  <c r="J117" i="444"/>
  <c r="K117" i="444"/>
  <c r="L117" i="444"/>
  <c r="A118" i="444"/>
  <c r="B118" i="444"/>
  <c r="C118" i="444"/>
  <c r="D118" i="444"/>
  <c r="E118" i="444"/>
  <c r="F118" i="444"/>
  <c r="G118" i="444"/>
  <c r="H118" i="444"/>
  <c r="I118" i="444"/>
  <c r="J118" i="444"/>
  <c r="K118" i="444"/>
  <c r="L118" i="444"/>
  <c r="A119" i="444"/>
  <c r="B119" i="444"/>
  <c r="C119" i="444"/>
  <c r="D119" i="444"/>
  <c r="E119" i="444"/>
  <c r="F119" i="444"/>
  <c r="G119" i="444"/>
  <c r="H119" i="444"/>
  <c r="I119" i="444"/>
  <c r="J119" i="444"/>
  <c r="K119" i="444"/>
  <c r="L119" i="444"/>
  <c r="A120" i="444"/>
  <c r="B120" i="444"/>
  <c r="C120" i="444"/>
  <c r="D120" i="444"/>
  <c r="E120" i="444"/>
  <c r="F120" i="444"/>
  <c r="G120" i="444"/>
  <c r="H120" i="444"/>
  <c r="I120" i="444"/>
  <c r="J120" i="444"/>
  <c r="K120" i="444"/>
  <c r="L120" i="444"/>
  <c r="A121" i="444"/>
  <c r="B121" i="444"/>
  <c r="C121" i="444"/>
  <c r="D121" i="444"/>
  <c r="E121" i="444"/>
  <c r="F121" i="444"/>
  <c r="G121" i="444"/>
  <c r="H121" i="444"/>
  <c r="I121" i="444"/>
  <c r="J121" i="444"/>
  <c r="K121" i="444"/>
  <c r="L121" i="444"/>
  <c r="A122" i="444"/>
  <c r="B122" i="444"/>
  <c r="C122" i="444"/>
  <c r="D122" i="444"/>
  <c r="E122" i="444"/>
  <c r="F122" i="444"/>
  <c r="G122" i="444"/>
  <c r="H122" i="444"/>
  <c r="I122" i="444"/>
  <c r="J122" i="444"/>
  <c r="K122" i="444"/>
  <c r="L122" i="444"/>
  <c r="A123" i="444"/>
  <c r="B123" i="444"/>
  <c r="C123" i="444"/>
  <c r="D123" i="444"/>
  <c r="E123" i="444"/>
  <c r="F123" i="444"/>
  <c r="G123" i="444"/>
  <c r="H123" i="444"/>
  <c r="I123" i="444"/>
  <c r="J123" i="444"/>
  <c r="K123" i="444"/>
  <c r="L123" i="444"/>
  <c r="A124" i="444"/>
  <c r="B124" i="444"/>
  <c r="C124" i="444"/>
  <c r="D124" i="444"/>
  <c r="E124" i="444"/>
  <c r="F124" i="444"/>
  <c r="G124" i="444"/>
  <c r="H124" i="444"/>
  <c r="I124" i="444"/>
  <c r="J124" i="444"/>
  <c r="K124" i="444"/>
  <c r="L124" i="444"/>
  <c r="A125" i="444"/>
  <c r="B125" i="444"/>
  <c r="C125" i="444"/>
  <c r="D125" i="444"/>
  <c r="E125" i="444"/>
  <c r="F125" i="444"/>
  <c r="G125" i="444"/>
  <c r="H125" i="444"/>
  <c r="I125" i="444"/>
  <c r="J125" i="444"/>
  <c r="K125" i="444"/>
  <c r="L125" i="444"/>
  <c r="A126" i="444"/>
  <c r="B126" i="444"/>
  <c r="C126" i="444"/>
  <c r="D126" i="444"/>
  <c r="E126" i="444"/>
  <c r="F126" i="444"/>
  <c r="G126" i="444"/>
  <c r="H126" i="444"/>
  <c r="I126" i="444"/>
  <c r="J126" i="444"/>
  <c r="K126" i="444"/>
  <c r="L126" i="444"/>
  <c r="A127" i="444"/>
  <c r="B127" i="444"/>
  <c r="C127" i="444"/>
  <c r="D127" i="444"/>
  <c r="E127" i="444"/>
  <c r="F127" i="444"/>
  <c r="G127" i="444"/>
  <c r="H127" i="444"/>
  <c r="I127" i="444"/>
  <c r="J127" i="444"/>
  <c r="K127" i="444"/>
  <c r="L127" i="444"/>
  <c r="A128" i="444"/>
  <c r="B128" i="444"/>
  <c r="C128" i="444"/>
  <c r="D128" i="444"/>
  <c r="E128" i="444"/>
  <c r="F128" i="444"/>
  <c r="G128" i="444"/>
  <c r="H128" i="444"/>
  <c r="I128" i="444"/>
  <c r="J128" i="444"/>
  <c r="K128" i="444"/>
  <c r="L128" i="444"/>
  <c r="A129" i="444"/>
  <c r="B129" i="444"/>
  <c r="C129" i="444"/>
  <c r="D129" i="444"/>
  <c r="E129" i="444"/>
  <c r="F129" i="444"/>
  <c r="G129" i="444"/>
  <c r="H129" i="444"/>
  <c r="I129" i="444"/>
  <c r="J129" i="444"/>
  <c r="K129" i="444"/>
  <c r="L129" i="444"/>
  <c r="A130" i="444"/>
  <c r="B130" i="444"/>
  <c r="C130" i="444"/>
  <c r="D130" i="444"/>
  <c r="E130" i="444"/>
  <c r="F130" i="444"/>
  <c r="G130" i="444"/>
  <c r="H130" i="444"/>
  <c r="I130" i="444"/>
  <c r="J130" i="444"/>
  <c r="K130" i="444"/>
  <c r="L130" i="444"/>
  <c r="A131" i="444"/>
  <c r="B131" i="444"/>
  <c r="C131" i="444"/>
  <c r="D131" i="444"/>
  <c r="E131" i="444"/>
  <c r="F131" i="444"/>
  <c r="G131" i="444"/>
  <c r="H131" i="444"/>
  <c r="I131" i="444"/>
  <c r="J131" i="444"/>
  <c r="K131" i="444"/>
  <c r="L131" i="444"/>
  <c r="A132" i="444"/>
  <c r="B132" i="444"/>
  <c r="C132" i="444"/>
  <c r="D132" i="444"/>
  <c r="E132" i="444"/>
  <c r="F132" i="444"/>
  <c r="G132" i="444"/>
  <c r="H132" i="444"/>
  <c r="I132" i="444"/>
  <c r="J132" i="444"/>
  <c r="K132" i="444"/>
  <c r="L132" i="444"/>
  <c r="A133" i="444"/>
  <c r="B133" i="444"/>
  <c r="C133" i="444"/>
  <c r="D133" i="444"/>
  <c r="E133" i="444"/>
  <c r="F133" i="444"/>
  <c r="G133" i="444"/>
  <c r="H133" i="444"/>
  <c r="I133" i="444"/>
  <c r="J133" i="444"/>
  <c r="K133" i="444"/>
  <c r="L133" i="444"/>
  <c r="A134" i="444"/>
  <c r="B134" i="444"/>
  <c r="C134" i="444"/>
  <c r="D134" i="444"/>
  <c r="E134" i="444"/>
  <c r="F134" i="444"/>
  <c r="G134" i="444"/>
  <c r="H134" i="444"/>
  <c r="I134" i="444"/>
  <c r="J134" i="444"/>
  <c r="K134" i="444"/>
  <c r="L134" i="444"/>
  <c r="A135" i="444"/>
  <c r="B135" i="444"/>
  <c r="C135" i="444"/>
  <c r="D135" i="444"/>
  <c r="E135" i="444"/>
  <c r="F135" i="444"/>
  <c r="G135" i="444"/>
  <c r="H135" i="444"/>
  <c r="I135" i="444"/>
  <c r="J135" i="444"/>
  <c r="K135" i="444"/>
  <c r="L135" i="444"/>
  <c r="A136" i="444"/>
  <c r="B136" i="444"/>
  <c r="C136" i="444"/>
  <c r="D136" i="444"/>
  <c r="E136" i="444"/>
  <c r="F136" i="444"/>
  <c r="G136" i="444"/>
  <c r="H136" i="444"/>
  <c r="I136" i="444"/>
  <c r="J136" i="444"/>
  <c r="K136" i="444"/>
  <c r="L136" i="444"/>
  <c r="A137" i="444"/>
  <c r="B137" i="444"/>
  <c r="C137" i="444"/>
  <c r="D137" i="444"/>
  <c r="E137" i="444"/>
  <c r="F137" i="444"/>
  <c r="G137" i="444"/>
  <c r="H137" i="444"/>
  <c r="I137" i="444"/>
  <c r="J137" i="444"/>
  <c r="K137" i="444"/>
  <c r="L137" i="444"/>
  <c r="A138" i="444"/>
  <c r="B138" i="444"/>
  <c r="C138" i="444"/>
  <c r="D138" i="444"/>
  <c r="E138" i="444"/>
  <c r="F138" i="444"/>
  <c r="G138" i="444"/>
  <c r="H138" i="444"/>
  <c r="I138" i="444"/>
  <c r="J138" i="444"/>
  <c r="K138" i="444"/>
  <c r="L138" i="444"/>
  <c r="A139" i="444"/>
  <c r="B139" i="444"/>
  <c r="C139" i="444"/>
  <c r="D139" i="444"/>
  <c r="E139" i="444"/>
  <c r="F139" i="444"/>
  <c r="G139" i="444"/>
  <c r="H139" i="444"/>
  <c r="I139" i="444"/>
  <c r="J139" i="444"/>
  <c r="K139" i="444"/>
  <c r="L139" i="444"/>
  <c r="A140" i="444"/>
  <c r="B140" i="444"/>
  <c r="C140" i="444"/>
  <c r="D140" i="444"/>
  <c r="E140" i="444"/>
  <c r="F140" i="444"/>
  <c r="G140" i="444"/>
  <c r="H140" i="444"/>
  <c r="I140" i="444"/>
  <c r="J140" i="444"/>
  <c r="K140" i="444"/>
  <c r="L140" i="444"/>
  <c r="A141" i="444"/>
  <c r="B141" i="444"/>
  <c r="C141" i="444"/>
  <c r="D141" i="444"/>
  <c r="E141" i="444"/>
  <c r="F141" i="444"/>
  <c r="G141" i="444"/>
  <c r="H141" i="444"/>
  <c r="I141" i="444"/>
  <c r="J141" i="444"/>
  <c r="K141" i="444"/>
  <c r="L141" i="444"/>
  <c r="A142" i="444"/>
  <c r="B142" i="444"/>
  <c r="C142" i="444"/>
  <c r="D142" i="444"/>
  <c r="E142" i="444"/>
  <c r="F142" i="444"/>
  <c r="G142" i="444"/>
  <c r="H142" i="444"/>
  <c r="I142" i="444"/>
  <c r="J142" i="444"/>
  <c r="K142" i="444"/>
  <c r="L142" i="444"/>
  <c r="A143" i="444"/>
  <c r="B143" i="444"/>
  <c r="C143" i="444"/>
  <c r="D143" i="444"/>
  <c r="E143" i="444"/>
  <c r="F143" i="444"/>
  <c r="G143" i="444"/>
  <c r="H143" i="444"/>
  <c r="I143" i="444"/>
  <c r="J143" i="444"/>
  <c r="K143" i="444"/>
  <c r="L143" i="444"/>
  <c r="A144" i="444"/>
  <c r="B144" i="444"/>
  <c r="C144" i="444"/>
  <c r="D144" i="444"/>
  <c r="E144" i="444"/>
  <c r="F144" i="444"/>
  <c r="G144" i="444"/>
  <c r="H144" i="444"/>
  <c r="I144" i="444"/>
  <c r="J144" i="444"/>
  <c r="K144" i="444"/>
  <c r="L144" i="444"/>
  <c r="A145" i="444"/>
  <c r="B145" i="444"/>
  <c r="C145" i="444"/>
  <c r="D145" i="444"/>
  <c r="E145" i="444"/>
  <c r="F145" i="444"/>
  <c r="G145" i="444"/>
  <c r="H145" i="444"/>
  <c r="I145" i="444"/>
  <c r="J145" i="444"/>
  <c r="K145" i="444"/>
  <c r="L145" i="444"/>
  <c r="A146" i="444"/>
  <c r="B146" i="444"/>
  <c r="C146" i="444"/>
  <c r="D146" i="444"/>
  <c r="E146" i="444"/>
  <c r="F146" i="444"/>
  <c r="G146" i="444"/>
  <c r="H146" i="444"/>
  <c r="I146" i="444"/>
  <c r="J146" i="444"/>
  <c r="K146" i="444"/>
  <c r="L146" i="444"/>
  <c r="A147" i="444"/>
  <c r="B147" i="444"/>
  <c r="C147" i="444"/>
  <c r="D147" i="444"/>
  <c r="E147" i="444"/>
  <c r="F147" i="444"/>
  <c r="G147" i="444"/>
  <c r="H147" i="444"/>
  <c r="I147" i="444"/>
  <c r="J147" i="444"/>
  <c r="K147" i="444"/>
  <c r="L147" i="444"/>
  <c r="A148" i="444"/>
  <c r="B148" i="444"/>
  <c r="C148" i="444"/>
  <c r="D148" i="444"/>
  <c r="E148" i="444"/>
  <c r="F148" i="444"/>
  <c r="G148" i="444"/>
  <c r="H148" i="444"/>
  <c r="I148" i="444"/>
  <c r="J148" i="444"/>
  <c r="K148" i="444"/>
  <c r="L148" i="444"/>
  <c r="A149" i="444"/>
  <c r="B149" i="444"/>
  <c r="C149" i="444"/>
  <c r="D149" i="444"/>
  <c r="E149" i="444"/>
  <c r="F149" i="444"/>
  <c r="G149" i="444"/>
  <c r="H149" i="444"/>
  <c r="I149" i="444"/>
  <c r="J149" i="444"/>
  <c r="K149" i="444"/>
  <c r="L149" i="444"/>
  <c r="A150" i="444"/>
  <c r="B150" i="444"/>
  <c r="C150" i="444"/>
  <c r="D150" i="444"/>
  <c r="E150" i="444"/>
  <c r="F150" i="444"/>
  <c r="G150" i="444"/>
  <c r="H150" i="444"/>
  <c r="I150" i="444"/>
  <c r="J150" i="444"/>
  <c r="K150" i="444"/>
  <c r="L150" i="444"/>
  <c r="A151" i="444"/>
  <c r="B151" i="444"/>
  <c r="C151" i="444"/>
  <c r="D151" i="444"/>
  <c r="E151" i="444"/>
  <c r="F151" i="444"/>
  <c r="G151" i="444"/>
  <c r="H151" i="444"/>
  <c r="I151" i="444"/>
  <c r="J151" i="444"/>
  <c r="K151" i="444"/>
  <c r="L151" i="444"/>
  <c r="A152" i="444"/>
  <c r="B152" i="444"/>
  <c r="C152" i="444"/>
  <c r="D152" i="444"/>
  <c r="E152" i="444"/>
  <c r="F152" i="444"/>
  <c r="G152" i="444"/>
  <c r="H152" i="444"/>
  <c r="I152" i="444"/>
  <c r="J152" i="444"/>
  <c r="K152" i="444"/>
  <c r="L152" i="444"/>
  <c r="A153" i="444"/>
  <c r="B153" i="444"/>
  <c r="C153" i="444"/>
  <c r="D153" i="444"/>
  <c r="E153" i="444"/>
  <c r="F153" i="444"/>
  <c r="G153" i="444"/>
  <c r="H153" i="444"/>
  <c r="I153" i="444"/>
  <c r="J153" i="444"/>
  <c r="K153" i="444"/>
  <c r="L153" i="444"/>
  <c r="A154" i="444"/>
  <c r="B154" i="444"/>
  <c r="C154" i="444"/>
  <c r="D154" i="444"/>
  <c r="E154" i="444"/>
  <c r="F154" i="444"/>
  <c r="G154" i="444"/>
  <c r="H154" i="444"/>
  <c r="I154" i="444"/>
  <c r="J154" i="444"/>
  <c r="K154" i="444"/>
  <c r="L154" i="444"/>
  <c r="A155" i="444"/>
  <c r="B155" i="444"/>
  <c r="C155" i="444"/>
  <c r="D155" i="444"/>
  <c r="E155" i="444"/>
  <c r="F155" i="444"/>
  <c r="G155" i="444"/>
  <c r="H155" i="444"/>
  <c r="I155" i="444"/>
  <c r="J155" i="444"/>
  <c r="K155" i="444"/>
  <c r="L155" i="444"/>
  <c r="A156" i="444"/>
  <c r="B156" i="444"/>
  <c r="C156" i="444"/>
  <c r="D156" i="444"/>
  <c r="E156" i="444"/>
  <c r="F156" i="444"/>
  <c r="G156" i="444"/>
  <c r="H156" i="444"/>
  <c r="I156" i="444"/>
  <c r="J156" i="444"/>
  <c r="K156" i="444"/>
  <c r="L156" i="444"/>
  <c r="A157" i="444"/>
  <c r="B157" i="444"/>
  <c r="C157" i="444"/>
  <c r="D157" i="444"/>
  <c r="E157" i="444"/>
  <c r="F157" i="444"/>
  <c r="G157" i="444"/>
  <c r="H157" i="444"/>
  <c r="I157" i="444"/>
  <c r="J157" i="444"/>
  <c r="K157" i="444"/>
  <c r="L157" i="444"/>
  <c r="A158" i="444"/>
  <c r="B158" i="444"/>
  <c r="C158" i="444"/>
  <c r="D158" i="444"/>
  <c r="E158" i="444"/>
  <c r="F158" i="444"/>
  <c r="G158" i="444"/>
  <c r="H158" i="444"/>
  <c r="I158" i="444"/>
  <c r="J158" i="444"/>
  <c r="K158" i="444"/>
  <c r="L158" i="444"/>
  <c r="A159" i="444"/>
  <c r="B159" i="444"/>
  <c r="C159" i="444"/>
  <c r="D159" i="444"/>
  <c r="E159" i="444"/>
  <c r="F159" i="444"/>
  <c r="G159" i="444"/>
  <c r="H159" i="444"/>
  <c r="I159" i="444"/>
  <c r="J159" i="444"/>
  <c r="K159" i="444"/>
  <c r="L159" i="444"/>
  <c r="A160" i="444"/>
  <c r="B160" i="444"/>
  <c r="C160" i="444"/>
  <c r="D160" i="444"/>
  <c r="E160" i="444"/>
  <c r="F160" i="444"/>
  <c r="G160" i="444"/>
  <c r="H160" i="444"/>
  <c r="I160" i="444"/>
  <c r="J160" i="444"/>
  <c r="K160" i="444"/>
  <c r="L160" i="444"/>
  <c r="A161" i="444"/>
  <c r="B161" i="444"/>
  <c r="C161" i="444"/>
  <c r="D161" i="444"/>
  <c r="E161" i="444"/>
  <c r="F161" i="444"/>
  <c r="G161" i="444"/>
  <c r="H161" i="444"/>
  <c r="I161" i="444"/>
  <c r="J161" i="444"/>
  <c r="K161" i="444"/>
  <c r="L161" i="444"/>
  <c r="A162" i="444"/>
  <c r="B162" i="444"/>
  <c r="C162" i="444"/>
  <c r="D162" i="444"/>
  <c r="E162" i="444"/>
  <c r="F162" i="444"/>
  <c r="G162" i="444"/>
  <c r="H162" i="444"/>
  <c r="I162" i="444"/>
  <c r="J162" i="444"/>
  <c r="K162" i="444"/>
  <c r="L162" i="444"/>
  <c r="A163" i="444"/>
  <c r="B163" i="444"/>
  <c r="C163" i="444"/>
  <c r="D163" i="444"/>
  <c r="E163" i="444"/>
  <c r="F163" i="444"/>
  <c r="G163" i="444"/>
  <c r="H163" i="444"/>
  <c r="I163" i="444"/>
  <c r="J163" i="444"/>
  <c r="K163" i="444"/>
  <c r="L163" i="444"/>
  <c r="A164" i="444"/>
  <c r="B164" i="444"/>
  <c r="C164" i="444"/>
  <c r="D164" i="444"/>
  <c r="E164" i="444"/>
  <c r="F164" i="444"/>
  <c r="G164" i="444"/>
  <c r="H164" i="444"/>
  <c r="I164" i="444"/>
  <c r="J164" i="444"/>
  <c r="K164" i="444"/>
  <c r="L164" i="444"/>
  <c r="A165" i="444"/>
  <c r="B165" i="444"/>
  <c r="C165" i="444"/>
  <c r="D165" i="444"/>
  <c r="E165" i="444"/>
  <c r="F165" i="444"/>
  <c r="G165" i="444"/>
  <c r="H165" i="444"/>
  <c r="I165" i="444"/>
  <c r="J165" i="444"/>
  <c r="K165" i="444"/>
  <c r="L165" i="444"/>
  <c r="A166" i="444"/>
  <c r="B166" i="444"/>
  <c r="C166" i="444"/>
  <c r="D166" i="444"/>
  <c r="E166" i="444"/>
  <c r="F166" i="444"/>
  <c r="G166" i="444"/>
  <c r="H166" i="444"/>
  <c r="I166" i="444"/>
  <c r="J166" i="444"/>
  <c r="K166" i="444"/>
  <c r="L166" i="444"/>
  <c r="A167" i="444"/>
  <c r="B167" i="444"/>
  <c r="C167" i="444"/>
  <c r="D167" i="444"/>
  <c r="E167" i="444"/>
  <c r="F167" i="444"/>
  <c r="G167" i="444"/>
  <c r="H167" i="444"/>
  <c r="I167" i="444"/>
  <c r="J167" i="444"/>
  <c r="K167" i="444"/>
  <c r="L167" i="444"/>
  <c r="A168" i="444"/>
  <c r="B168" i="444"/>
  <c r="C168" i="444"/>
  <c r="D168" i="444"/>
  <c r="E168" i="444"/>
  <c r="F168" i="444"/>
  <c r="G168" i="444"/>
  <c r="H168" i="444"/>
  <c r="I168" i="444"/>
  <c r="J168" i="444"/>
  <c r="K168" i="444"/>
  <c r="L168" i="444"/>
  <c r="A169" i="444"/>
  <c r="B169" i="444"/>
  <c r="C169" i="444"/>
  <c r="D169" i="444"/>
  <c r="E169" i="444"/>
  <c r="F169" i="444"/>
  <c r="G169" i="444"/>
  <c r="H169" i="444"/>
  <c r="I169" i="444"/>
  <c r="J169" i="444"/>
  <c r="K169" i="444"/>
  <c r="L169" i="444"/>
  <c r="A170" i="444"/>
  <c r="B170" i="444"/>
  <c r="C170" i="444"/>
  <c r="D170" i="444"/>
  <c r="E170" i="444"/>
  <c r="F170" i="444"/>
  <c r="G170" i="444"/>
  <c r="H170" i="444"/>
  <c r="I170" i="444"/>
  <c r="J170" i="444"/>
  <c r="K170" i="444"/>
  <c r="L170" i="444"/>
  <c r="A171" i="444"/>
  <c r="B171" i="444"/>
  <c r="C171" i="444"/>
  <c r="D171" i="444"/>
  <c r="E171" i="444"/>
  <c r="F171" i="444"/>
  <c r="G171" i="444"/>
  <c r="H171" i="444"/>
  <c r="I171" i="444"/>
  <c r="J171" i="444"/>
  <c r="K171" i="444"/>
  <c r="L171" i="444"/>
  <c r="A172" i="444"/>
  <c r="B172" i="444"/>
  <c r="C172" i="444"/>
  <c r="D172" i="444"/>
  <c r="E172" i="444"/>
  <c r="F172" i="444"/>
  <c r="G172" i="444"/>
  <c r="H172" i="444"/>
  <c r="I172" i="444"/>
  <c r="J172" i="444"/>
  <c r="K172" i="444"/>
  <c r="L172" i="444"/>
  <c r="A173" i="444"/>
  <c r="B173" i="444"/>
  <c r="C173" i="444"/>
  <c r="D173" i="444"/>
  <c r="E173" i="444"/>
  <c r="F173" i="444"/>
  <c r="G173" i="444"/>
  <c r="H173" i="444"/>
  <c r="I173" i="444"/>
  <c r="J173" i="444"/>
  <c r="K173" i="444"/>
  <c r="L173" i="444"/>
  <c r="A174" i="444"/>
  <c r="B174" i="444"/>
  <c r="C174" i="444"/>
  <c r="D174" i="444"/>
  <c r="E174" i="444"/>
  <c r="F174" i="444"/>
  <c r="G174" i="444"/>
  <c r="H174" i="444"/>
  <c r="I174" i="444"/>
  <c r="J174" i="444"/>
  <c r="K174" i="444"/>
  <c r="L174" i="444"/>
  <c r="A175" i="444"/>
  <c r="B175" i="444"/>
  <c r="C175" i="444"/>
  <c r="D175" i="444"/>
  <c r="E175" i="444"/>
  <c r="F175" i="444"/>
  <c r="G175" i="444"/>
  <c r="H175" i="444"/>
  <c r="I175" i="444"/>
  <c r="J175" i="444"/>
  <c r="K175" i="444"/>
  <c r="L175" i="444"/>
  <c r="A176" i="444"/>
  <c r="B176" i="444"/>
  <c r="C176" i="444"/>
  <c r="D176" i="444"/>
  <c r="E176" i="444"/>
  <c r="F176" i="444"/>
  <c r="G176" i="444"/>
  <c r="H176" i="444"/>
  <c r="I176" i="444"/>
  <c r="J176" i="444"/>
  <c r="K176" i="444"/>
  <c r="L176" i="444"/>
  <c r="A177" i="444"/>
  <c r="B177" i="444"/>
  <c r="C177" i="444"/>
  <c r="D177" i="444"/>
  <c r="E177" i="444"/>
  <c r="F177" i="444"/>
  <c r="G177" i="444"/>
  <c r="H177" i="444"/>
  <c r="I177" i="444"/>
  <c r="J177" i="444"/>
  <c r="K177" i="444"/>
  <c r="L177" i="444"/>
  <c r="A178" i="444"/>
  <c r="B178" i="444"/>
  <c r="C178" i="444"/>
  <c r="D178" i="444"/>
  <c r="E178" i="444"/>
  <c r="F178" i="444"/>
  <c r="G178" i="444"/>
  <c r="H178" i="444"/>
  <c r="I178" i="444"/>
  <c r="J178" i="444"/>
  <c r="K178" i="444"/>
  <c r="L178" i="444"/>
  <c r="A179" i="444"/>
  <c r="B179" i="444"/>
  <c r="C179" i="444"/>
  <c r="D179" i="444"/>
  <c r="E179" i="444"/>
  <c r="F179" i="444"/>
  <c r="G179" i="444"/>
  <c r="H179" i="444"/>
  <c r="I179" i="444"/>
  <c r="J179" i="444"/>
  <c r="K179" i="444"/>
  <c r="L179" i="444"/>
  <c r="A180" i="444"/>
  <c r="B180" i="444"/>
  <c r="C180" i="444"/>
  <c r="D180" i="444"/>
  <c r="E180" i="444"/>
  <c r="F180" i="444"/>
  <c r="G180" i="444"/>
  <c r="H180" i="444"/>
  <c r="I180" i="444"/>
  <c r="J180" i="444"/>
  <c r="K180" i="444"/>
  <c r="L180" i="444"/>
  <c r="A181" i="444"/>
  <c r="B181" i="444"/>
  <c r="C181" i="444"/>
  <c r="D181" i="444"/>
  <c r="E181" i="444"/>
  <c r="F181" i="444"/>
  <c r="G181" i="444"/>
  <c r="H181" i="444"/>
  <c r="I181" i="444"/>
  <c r="J181" i="444"/>
  <c r="K181" i="444"/>
  <c r="L181" i="444"/>
  <c r="A182" i="444"/>
  <c r="B182" i="444"/>
  <c r="C182" i="444"/>
  <c r="D182" i="444"/>
  <c r="E182" i="444"/>
  <c r="F182" i="444"/>
  <c r="G182" i="444"/>
  <c r="H182" i="444"/>
  <c r="I182" i="444"/>
  <c r="J182" i="444"/>
  <c r="K182" i="444"/>
  <c r="L182" i="444"/>
  <c r="A183" i="444"/>
  <c r="B183" i="444"/>
  <c r="C183" i="444"/>
  <c r="D183" i="444"/>
  <c r="E183" i="444"/>
  <c r="F183" i="444"/>
  <c r="G183" i="444"/>
  <c r="H183" i="444"/>
  <c r="I183" i="444"/>
  <c r="J183" i="444"/>
  <c r="K183" i="444"/>
  <c r="L183" i="444"/>
  <c r="A184" i="444"/>
  <c r="B184" i="444"/>
  <c r="C184" i="444"/>
  <c r="D184" i="444"/>
  <c r="E184" i="444"/>
  <c r="F184" i="444"/>
  <c r="G184" i="444"/>
  <c r="H184" i="444"/>
  <c r="I184" i="444"/>
  <c r="J184" i="444"/>
  <c r="K184" i="444"/>
  <c r="L184" i="444"/>
  <c r="A185" i="444"/>
  <c r="B185" i="444"/>
  <c r="C185" i="444"/>
  <c r="D185" i="444"/>
  <c r="E185" i="444"/>
  <c r="F185" i="444"/>
  <c r="G185" i="444"/>
  <c r="H185" i="444"/>
  <c r="I185" i="444"/>
  <c r="J185" i="444"/>
  <c r="K185" i="444"/>
  <c r="L185" i="444"/>
  <c r="A186" i="444"/>
  <c r="B186" i="444"/>
  <c r="C186" i="444"/>
  <c r="D186" i="444"/>
  <c r="E186" i="444"/>
  <c r="F186" i="444"/>
  <c r="G186" i="444"/>
  <c r="H186" i="444"/>
  <c r="I186" i="444"/>
  <c r="J186" i="444"/>
  <c r="K186" i="444"/>
  <c r="L186" i="444"/>
  <c r="A187" i="444"/>
  <c r="B187" i="444"/>
  <c r="C187" i="444"/>
  <c r="D187" i="444"/>
  <c r="E187" i="444"/>
  <c r="F187" i="444"/>
  <c r="G187" i="444"/>
  <c r="H187" i="444"/>
  <c r="I187" i="444"/>
  <c r="J187" i="444"/>
  <c r="K187" i="444"/>
  <c r="L187" i="444"/>
  <c r="AV12" i="476" l="1"/>
  <c r="AU12" i="476"/>
  <c r="AD12" i="476"/>
  <c r="AC12" i="476"/>
  <c r="AB12" i="476"/>
  <c r="AA12" i="476"/>
  <c r="Z12" i="476"/>
  <c r="Y12" i="476"/>
  <c r="X12" i="476"/>
  <c r="W12" i="476"/>
  <c r="V12" i="476"/>
  <c r="AP12" i="476" s="1"/>
  <c r="U12" i="476"/>
  <c r="T12" i="476"/>
  <c r="S12" i="476"/>
  <c r="R12" i="476"/>
  <c r="Q12" i="476"/>
  <c r="P12" i="476"/>
  <c r="O12" i="476"/>
  <c r="N12" i="476"/>
  <c r="AN12" i="476" s="1"/>
  <c r="AO12" i="476" s="1"/>
  <c r="C12" i="476"/>
  <c r="K3" i="476" s="1"/>
  <c r="AE11" i="476"/>
  <c r="AV12" i="475"/>
  <c r="AU12" i="475"/>
  <c r="AD12" i="475"/>
  <c r="AC12" i="475"/>
  <c r="AB12" i="475"/>
  <c r="AA12" i="475"/>
  <c r="Z12" i="475"/>
  <c r="Y12" i="475"/>
  <c r="X12" i="475"/>
  <c r="W12" i="475"/>
  <c r="V12" i="475"/>
  <c r="AP12" i="475" s="1"/>
  <c r="U12" i="475"/>
  <c r="T12" i="475"/>
  <c r="S12" i="475"/>
  <c r="R12" i="475"/>
  <c r="Q12" i="475"/>
  <c r="P12" i="475"/>
  <c r="O12" i="475"/>
  <c r="N12" i="475"/>
  <c r="AN12" i="475" s="1"/>
  <c r="AO12" i="475" s="1"/>
  <c r="C12" i="475"/>
  <c r="AE11" i="475"/>
  <c r="K3" i="475"/>
  <c r="AV12" i="474"/>
  <c r="AU12" i="474"/>
  <c r="AC12" i="474"/>
  <c r="AB12" i="474"/>
  <c r="AA12" i="474"/>
  <c r="Z12" i="474"/>
  <c r="Y12" i="474"/>
  <c r="X12" i="474"/>
  <c r="W12" i="474"/>
  <c r="V12" i="474"/>
  <c r="AP12" i="474" s="1"/>
  <c r="U12" i="474"/>
  <c r="T12" i="474"/>
  <c r="S12" i="474"/>
  <c r="R12" i="474"/>
  <c r="Q12" i="474"/>
  <c r="P12" i="474"/>
  <c r="O12" i="474"/>
  <c r="N12" i="474"/>
  <c r="AN12" i="474" s="1"/>
  <c r="AO12" i="474" s="1"/>
  <c r="C12" i="474"/>
  <c r="K3" i="474" s="1"/>
  <c r="AE11" i="474"/>
  <c r="AD12" i="474" s="1"/>
  <c r="BE12" i="476" l="1"/>
  <c r="AW12" i="476"/>
  <c r="AZ12" i="476" s="1"/>
  <c r="AQ12" i="476"/>
  <c r="K2" i="476" s="1"/>
  <c r="AG12" i="476"/>
  <c r="AJ12" i="476" s="1"/>
  <c r="AE12" i="476"/>
  <c r="AS12" i="476"/>
  <c r="AF12" i="476"/>
  <c r="BE12" i="475"/>
  <c r="AW12" i="475"/>
  <c r="AZ12" i="475" s="1"/>
  <c r="AQ12" i="475"/>
  <c r="K2" i="475" s="1"/>
  <c r="AG12" i="475"/>
  <c r="AJ12" i="475" s="1"/>
  <c r="AE12" i="475"/>
  <c r="AS12" i="475"/>
  <c r="AF12" i="475"/>
  <c r="AF12" i="474"/>
  <c r="AS12" i="474"/>
  <c r="AE12" i="474"/>
  <c r="BE12" i="474"/>
  <c r="AW12" i="474"/>
  <c r="AZ12" i="474" s="1"/>
  <c r="AQ12" i="474"/>
  <c r="K2" i="474" s="1"/>
  <c r="AH12" i="476" l="1"/>
  <c r="AI12" i="476" s="1"/>
  <c r="AK12" i="476" s="1"/>
  <c r="AM12" i="476" s="1"/>
  <c r="AT12" i="476"/>
  <c r="O3" i="476"/>
  <c r="K4" i="476"/>
  <c r="BA12" i="476"/>
  <c r="K4" i="475"/>
  <c r="O3" i="475"/>
  <c r="AM2" i="475" s="1"/>
  <c r="AH12" i="475"/>
  <c r="AT12" i="475"/>
  <c r="BA12" i="475"/>
  <c r="BA12" i="474"/>
  <c r="AG12" i="474"/>
  <c r="AJ12" i="474" s="1"/>
  <c r="AT12" i="474"/>
  <c r="AH12" i="474"/>
  <c r="AI12" i="474" s="1"/>
  <c r="AK12" i="474" s="1"/>
  <c r="K4" i="474"/>
  <c r="O3" i="474"/>
  <c r="AM2" i="476" l="1"/>
  <c r="AY12" i="476"/>
  <c r="BD12" i="476"/>
  <c r="AI12" i="475"/>
  <c r="AK12" i="475" s="1"/>
  <c r="AM12" i="475" s="1"/>
  <c r="AM2" i="474"/>
  <c r="AM12" i="474"/>
  <c r="AY12" i="475" l="1"/>
  <c r="BD12" i="475"/>
  <c r="AY12" i="474"/>
  <c r="BD12" i="474"/>
  <c r="AV12" i="473" l="1"/>
  <c r="AU12" i="473"/>
  <c r="AC12" i="473"/>
  <c r="AB12" i="473"/>
  <c r="AA12" i="473"/>
  <c r="Z12" i="473"/>
  <c r="Y12" i="473"/>
  <c r="X12" i="473"/>
  <c r="W12" i="473"/>
  <c r="V12" i="473"/>
  <c r="U12" i="473"/>
  <c r="T12" i="473"/>
  <c r="S12" i="473"/>
  <c r="R12" i="473"/>
  <c r="Q12" i="473"/>
  <c r="P12" i="473"/>
  <c r="O12" i="473"/>
  <c r="N12" i="473"/>
  <c r="C12" i="473"/>
  <c r="K3" i="473" s="1"/>
  <c r="AE11" i="473"/>
  <c r="AD12" i="473" s="1"/>
  <c r="AV12" i="469"/>
  <c r="AU12" i="469"/>
  <c r="AC12" i="469"/>
  <c r="AB12" i="469"/>
  <c r="AA12" i="469"/>
  <c r="Z12" i="469"/>
  <c r="Y12" i="469"/>
  <c r="X12" i="469"/>
  <c r="W12" i="469"/>
  <c r="V12" i="469"/>
  <c r="U12" i="469"/>
  <c r="T12" i="469"/>
  <c r="S12" i="469"/>
  <c r="R12" i="469"/>
  <c r="Q12" i="469"/>
  <c r="P12" i="469"/>
  <c r="O12" i="469"/>
  <c r="N12" i="469"/>
  <c r="C12" i="469"/>
  <c r="AE11" i="469"/>
  <c r="AD12" i="469" s="1"/>
  <c r="K3" i="469"/>
  <c r="AU13" i="462"/>
  <c r="AV13" i="462"/>
  <c r="AW13" i="462"/>
  <c r="AZ13" i="462" s="1"/>
  <c r="BA13" i="462"/>
  <c r="BE13" i="462"/>
  <c r="AN13" i="462"/>
  <c r="AO13" i="462" s="1"/>
  <c r="C13" i="462"/>
  <c r="AV12" i="462"/>
  <c r="AU12" i="462"/>
  <c r="AD12" i="462"/>
  <c r="AC12" i="462"/>
  <c r="AB12" i="462"/>
  <c r="AA12" i="462"/>
  <c r="Z12" i="462"/>
  <c r="Y12" i="462"/>
  <c r="X12" i="462"/>
  <c r="W12" i="462"/>
  <c r="V12" i="462"/>
  <c r="U12" i="462"/>
  <c r="T12" i="462"/>
  <c r="S12" i="462"/>
  <c r="R12" i="462"/>
  <c r="Q12" i="462"/>
  <c r="P12" i="462"/>
  <c r="O12" i="462"/>
  <c r="N12" i="462"/>
  <c r="C12" i="462"/>
  <c r="AE11" i="462"/>
  <c r="AV12" i="461"/>
  <c r="AU12" i="461"/>
  <c r="AD12" i="461"/>
  <c r="AC12" i="461"/>
  <c r="AB12" i="461"/>
  <c r="AA12" i="461"/>
  <c r="Z12" i="461"/>
  <c r="Y12" i="461"/>
  <c r="X12" i="461"/>
  <c r="W12" i="461"/>
  <c r="V12" i="461"/>
  <c r="U12" i="461"/>
  <c r="T12" i="461"/>
  <c r="S12" i="461"/>
  <c r="R12" i="461"/>
  <c r="Q12" i="461"/>
  <c r="P12" i="461"/>
  <c r="O12" i="461"/>
  <c r="N12" i="461"/>
  <c r="C12" i="461"/>
  <c r="K3" i="461" s="1"/>
  <c r="AE11" i="461"/>
  <c r="AV12" i="457"/>
  <c r="AU12" i="457"/>
  <c r="AC12" i="457"/>
  <c r="AB12" i="457"/>
  <c r="AA12" i="457"/>
  <c r="Z12" i="457"/>
  <c r="Y12" i="457"/>
  <c r="X12" i="457"/>
  <c r="W12" i="457"/>
  <c r="V12" i="457"/>
  <c r="U12" i="457"/>
  <c r="T12" i="457"/>
  <c r="S12" i="457"/>
  <c r="R12" i="457"/>
  <c r="Q12" i="457"/>
  <c r="P12" i="457"/>
  <c r="O12" i="457"/>
  <c r="N12" i="457"/>
  <c r="C12" i="457"/>
  <c r="K3" i="457" s="1"/>
  <c r="AE11" i="457"/>
  <c r="AD12" i="457" s="1"/>
  <c r="AF12" i="457" s="1"/>
  <c r="L2" i="281"/>
  <c r="D10" i="90"/>
  <c r="E10" i="90" s="1"/>
  <c r="K3" i="462" l="1"/>
  <c r="AN12" i="457"/>
  <c r="AO12" i="457" s="1"/>
  <c r="AN12" i="473"/>
  <c r="AO12" i="473" s="1"/>
  <c r="AP12" i="473"/>
  <c r="AQ12" i="473" s="1"/>
  <c r="K2" i="473" s="1"/>
  <c r="AW12" i="473"/>
  <c r="AZ12" i="473" s="1"/>
  <c r="AE12" i="473"/>
  <c r="AS12" i="473"/>
  <c r="AF12" i="473"/>
  <c r="AG12" i="473" s="1"/>
  <c r="AJ12" i="473" s="1"/>
  <c r="AN12" i="469"/>
  <c r="AO12" i="469" s="1"/>
  <c r="AP12" i="469"/>
  <c r="BE12" i="469" s="1"/>
  <c r="AF12" i="469"/>
  <c r="AS12" i="469"/>
  <c r="AE12" i="469"/>
  <c r="AN12" i="462"/>
  <c r="AO12" i="462" s="1"/>
  <c r="AP12" i="462"/>
  <c r="AQ12" i="462" s="1"/>
  <c r="K2" i="462" s="1"/>
  <c r="BE12" i="462"/>
  <c r="AW12" i="462"/>
  <c r="AZ12" i="462" s="1"/>
  <c r="AE12" i="462"/>
  <c r="AD13" i="462" s="1"/>
  <c r="AS12" i="462"/>
  <c r="AF12" i="462"/>
  <c r="AG12" i="462" s="1"/>
  <c r="AJ12" i="462" s="1"/>
  <c r="AN12" i="461"/>
  <c r="AO12" i="461" s="1"/>
  <c r="AP12" i="461"/>
  <c r="BE12" i="461" s="1"/>
  <c r="AW12" i="461"/>
  <c r="AZ12" i="461" s="1"/>
  <c r="AE12" i="461"/>
  <c r="AS12" i="461"/>
  <c r="AF12" i="461"/>
  <c r="AG12" i="461" s="1"/>
  <c r="AJ12" i="461" s="1"/>
  <c r="AP12" i="457"/>
  <c r="AQ12" i="457" s="1"/>
  <c r="AG12" i="457"/>
  <c r="AJ12" i="457" s="1"/>
  <c r="AW12" i="457"/>
  <c r="AZ12" i="457" s="1"/>
  <c r="AE12" i="457"/>
  <c r="AS12" i="457"/>
  <c r="AE13" i="462" l="1"/>
  <c r="AF13" i="462"/>
  <c r="AG13" i="462"/>
  <c r="AJ13" i="462" s="1"/>
  <c r="AS13" i="462"/>
  <c r="BE12" i="473"/>
  <c r="AQ12" i="469"/>
  <c r="K2" i="469" s="1"/>
  <c r="BA12" i="473"/>
  <c r="AH12" i="473"/>
  <c r="AT12" i="473"/>
  <c r="K4" i="473"/>
  <c r="O3" i="473"/>
  <c r="AW12" i="469"/>
  <c r="AZ12" i="469" s="1"/>
  <c r="AT12" i="469"/>
  <c r="AH12" i="469"/>
  <c r="AI12" i="469" s="1"/>
  <c r="AK12" i="469" s="1"/>
  <c r="K4" i="469"/>
  <c r="O3" i="469"/>
  <c r="BA12" i="469"/>
  <c r="AG12" i="469"/>
  <c r="AJ12" i="469" s="1"/>
  <c r="BA12" i="462"/>
  <c r="AH12" i="462"/>
  <c r="AT12" i="462"/>
  <c r="K4" i="462"/>
  <c r="O3" i="462"/>
  <c r="AQ12" i="461"/>
  <c r="K2" i="461" s="1"/>
  <c r="O3" i="461" s="1"/>
  <c r="AT12" i="461"/>
  <c r="AH12" i="461"/>
  <c r="AI12" i="461"/>
  <c r="AK12" i="461" s="1"/>
  <c r="AM12" i="461" s="1"/>
  <c r="BA12" i="461"/>
  <c r="BE12" i="457"/>
  <c r="K2" i="457"/>
  <c r="AT12" i="457"/>
  <c r="AH12" i="457"/>
  <c r="BA12" i="457"/>
  <c r="AT13" i="462" l="1"/>
  <c r="AH13" i="462"/>
  <c r="AI13" i="462" s="1"/>
  <c r="AK13" i="462" s="1"/>
  <c r="AM13" i="462" s="1"/>
  <c r="AM12" i="469"/>
  <c r="AM2" i="473"/>
  <c r="AI12" i="473"/>
  <c r="AK12" i="473" s="1"/>
  <c r="AM12" i="473" s="1"/>
  <c r="AM2" i="469"/>
  <c r="AY12" i="469"/>
  <c r="BD12" i="469"/>
  <c r="AM2" i="462"/>
  <c r="AI12" i="462"/>
  <c r="AK12" i="462" s="1"/>
  <c r="AM12" i="462" s="1"/>
  <c r="K4" i="461"/>
  <c r="AM2" i="461" s="1"/>
  <c r="AY12" i="461"/>
  <c r="BD12" i="461"/>
  <c r="AI12" i="457"/>
  <c r="AK12" i="457" s="1"/>
  <c r="AM12" i="457" s="1"/>
  <c r="K4" i="457"/>
  <c r="O3" i="457"/>
  <c r="AM2" i="457" s="1"/>
  <c r="AY13" i="462" l="1"/>
  <c r="BD13" i="462"/>
  <c r="AY12" i="473"/>
  <c r="BD12" i="473"/>
  <c r="AY12" i="462"/>
  <c r="BD12" i="462"/>
  <c r="AY12" i="457"/>
  <c r="BD12" i="457"/>
  <c r="D32" i="281" l="1"/>
  <c r="J28" i="281" l="1"/>
  <c r="D28" i="281"/>
  <c r="J27" i="281"/>
  <c r="D27" i="281"/>
  <c r="J12" i="281"/>
  <c r="J26" i="281"/>
  <c r="D26" i="281"/>
  <c r="D12" i="281"/>
  <c r="J11" i="281"/>
  <c r="J10" i="281"/>
  <c r="D11" i="281"/>
  <c r="J25" i="281" l="1"/>
  <c r="D25" i="281"/>
  <c r="D10" i="281"/>
  <c r="J24" i="281"/>
  <c r="D24" i="281"/>
  <c r="J23" i="281"/>
  <c r="D23" i="281"/>
  <c r="J22" i="281"/>
  <c r="D22" i="281"/>
  <c r="J9" i="281"/>
  <c r="J20" i="281"/>
  <c r="J21" i="281"/>
  <c r="D9" i="281"/>
  <c r="D21" i="281"/>
  <c r="D20" i="281"/>
  <c r="J8" i="281"/>
  <c r="D8" i="281"/>
  <c r="D6" i="281"/>
  <c r="J6" i="281"/>
  <c r="J5" i="281"/>
  <c r="D3" i="281" l="1"/>
  <c r="J3" i="281"/>
  <c r="D4" i="281"/>
  <c r="J4" i="281"/>
  <c r="D5" i="281"/>
  <c r="D7" i="281"/>
  <c r="J7" i="281"/>
  <c r="C12" i="446" l="1"/>
  <c r="C13" i="446"/>
  <c r="C14" i="446"/>
  <c r="C15" i="446"/>
  <c r="C16" i="446"/>
  <c r="C17" i="446"/>
  <c r="C18" i="446"/>
  <c r="C19" i="446"/>
  <c r="C20" i="446"/>
  <c r="C21" i="446"/>
  <c r="C22" i="446"/>
  <c r="C23" i="446"/>
  <c r="C24" i="446"/>
  <c r="C25" i="446"/>
  <c r="C26" i="446"/>
  <c r="C27" i="446"/>
  <c r="C28" i="446"/>
  <c r="C29" i="446"/>
  <c r="C30" i="446"/>
  <c r="C31" i="446"/>
  <c r="C32" i="446"/>
  <c r="C33" i="446"/>
  <c r="C34" i="446"/>
  <c r="C35" i="446"/>
  <c r="AV64" i="446"/>
  <c r="AU64" i="446"/>
  <c r="AC64" i="446"/>
  <c r="AB64" i="446"/>
  <c r="AA64" i="446"/>
  <c r="Z64" i="446"/>
  <c r="Y64" i="446"/>
  <c r="X64" i="446"/>
  <c r="W64" i="446"/>
  <c r="V64" i="446"/>
  <c r="U64" i="446"/>
  <c r="T64" i="446"/>
  <c r="S64" i="446"/>
  <c r="R64" i="446"/>
  <c r="Q64" i="446"/>
  <c r="P64" i="446"/>
  <c r="O64" i="446"/>
  <c r="N64" i="446"/>
  <c r="C64" i="446"/>
  <c r="AV63" i="446"/>
  <c r="AU63" i="446"/>
  <c r="AC63" i="446"/>
  <c r="AB63" i="446"/>
  <c r="AA63" i="446"/>
  <c r="Z63" i="446"/>
  <c r="Y63" i="446"/>
  <c r="X63" i="446"/>
  <c r="W63" i="446"/>
  <c r="V63" i="446"/>
  <c r="U63" i="446"/>
  <c r="T63" i="446"/>
  <c r="S63" i="446"/>
  <c r="R63" i="446"/>
  <c r="Q63" i="446"/>
  <c r="P63" i="446"/>
  <c r="O63" i="446"/>
  <c r="N63" i="446"/>
  <c r="C63" i="446"/>
  <c r="AV62" i="446"/>
  <c r="AU62" i="446"/>
  <c r="AC62" i="446"/>
  <c r="AB62" i="446"/>
  <c r="AA62" i="446"/>
  <c r="Z62" i="446"/>
  <c r="Y62" i="446"/>
  <c r="X62" i="446"/>
  <c r="W62" i="446"/>
  <c r="V62" i="446"/>
  <c r="U62" i="446"/>
  <c r="T62" i="446"/>
  <c r="S62" i="446"/>
  <c r="R62" i="446"/>
  <c r="Q62" i="446"/>
  <c r="P62" i="446"/>
  <c r="O62" i="446"/>
  <c r="N62" i="446"/>
  <c r="C62" i="446"/>
  <c r="AV61" i="446"/>
  <c r="AU61" i="446"/>
  <c r="AC61" i="446"/>
  <c r="AB61" i="446"/>
  <c r="AA61" i="446"/>
  <c r="Z61" i="446"/>
  <c r="Y61" i="446"/>
  <c r="X61" i="446"/>
  <c r="W61" i="446"/>
  <c r="V61" i="446"/>
  <c r="U61" i="446"/>
  <c r="T61" i="446"/>
  <c r="S61" i="446"/>
  <c r="R61" i="446"/>
  <c r="Q61" i="446"/>
  <c r="P61" i="446"/>
  <c r="O61" i="446"/>
  <c r="N61" i="446"/>
  <c r="C61" i="446"/>
  <c r="AV60" i="446"/>
  <c r="AU60" i="446"/>
  <c r="AC60" i="446"/>
  <c r="AB60" i="446"/>
  <c r="AA60" i="446"/>
  <c r="Z60" i="446"/>
  <c r="Y60" i="446"/>
  <c r="X60" i="446"/>
  <c r="W60" i="446"/>
  <c r="V60" i="446"/>
  <c r="U60" i="446"/>
  <c r="T60" i="446"/>
  <c r="S60" i="446"/>
  <c r="R60" i="446"/>
  <c r="Q60" i="446"/>
  <c r="P60" i="446"/>
  <c r="O60" i="446"/>
  <c r="N60" i="446"/>
  <c r="C60" i="446"/>
  <c r="AV59" i="446"/>
  <c r="AU59" i="446"/>
  <c r="AC59" i="446"/>
  <c r="AB59" i="446"/>
  <c r="AA59" i="446"/>
  <c r="Z59" i="446"/>
  <c r="Y59" i="446"/>
  <c r="X59" i="446"/>
  <c r="W59" i="446"/>
  <c r="V59" i="446"/>
  <c r="U59" i="446"/>
  <c r="T59" i="446"/>
  <c r="S59" i="446"/>
  <c r="R59" i="446"/>
  <c r="Q59" i="446"/>
  <c r="P59" i="446"/>
  <c r="O59" i="446"/>
  <c r="N59" i="446"/>
  <c r="C59" i="446"/>
  <c r="AV58" i="446"/>
  <c r="AU58" i="446"/>
  <c r="AC58" i="446"/>
  <c r="AB58" i="446"/>
  <c r="AA58" i="446"/>
  <c r="Z58" i="446"/>
  <c r="Y58" i="446"/>
  <c r="X58" i="446"/>
  <c r="W58" i="446"/>
  <c r="V58" i="446"/>
  <c r="U58" i="446"/>
  <c r="T58" i="446"/>
  <c r="S58" i="446"/>
  <c r="R58" i="446"/>
  <c r="Q58" i="446"/>
  <c r="P58" i="446"/>
  <c r="O58" i="446"/>
  <c r="N58" i="446"/>
  <c r="C58" i="446"/>
  <c r="AV57" i="446"/>
  <c r="AU57" i="446"/>
  <c r="AC57" i="446"/>
  <c r="AB57" i="446"/>
  <c r="AA57" i="446"/>
  <c r="Z57" i="446"/>
  <c r="Y57" i="446"/>
  <c r="X57" i="446"/>
  <c r="W57" i="446"/>
  <c r="V57" i="446"/>
  <c r="U57" i="446"/>
  <c r="T57" i="446"/>
  <c r="S57" i="446"/>
  <c r="R57" i="446"/>
  <c r="Q57" i="446"/>
  <c r="P57" i="446"/>
  <c r="O57" i="446"/>
  <c r="N57" i="446"/>
  <c r="C57" i="446"/>
  <c r="AV56" i="446"/>
  <c r="AU56" i="446"/>
  <c r="AC56" i="446"/>
  <c r="AB56" i="446"/>
  <c r="AA56" i="446"/>
  <c r="Z56" i="446"/>
  <c r="Y56" i="446"/>
  <c r="X56" i="446"/>
  <c r="W56" i="446"/>
  <c r="V56" i="446"/>
  <c r="U56" i="446"/>
  <c r="T56" i="446"/>
  <c r="S56" i="446"/>
  <c r="R56" i="446"/>
  <c r="Q56" i="446"/>
  <c r="P56" i="446"/>
  <c r="O56" i="446"/>
  <c r="N56" i="446"/>
  <c r="C56" i="446"/>
  <c r="AV55" i="446"/>
  <c r="AU55" i="446"/>
  <c r="AC55" i="446"/>
  <c r="AB55" i="446"/>
  <c r="AA55" i="446"/>
  <c r="Z55" i="446"/>
  <c r="Y55" i="446"/>
  <c r="X55" i="446"/>
  <c r="W55" i="446"/>
  <c r="V55" i="446"/>
  <c r="U55" i="446"/>
  <c r="T55" i="446"/>
  <c r="S55" i="446"/>
  <c r="R55" i="446"/>
  <c r="Q55" i="446"/>
  <c r="P55" i="446"/>
  <c r="O55" i="446"/>
  <c r="N55" i="446"/>
  <c r="C55" i="446"/>
  <c r="AV54" i="446"/>
  <c r="AU54" i="446"/>
  <c r="AC54" i="446"/>
  <c r="AB54" i="446"/>
  <c r="AA54" i="446"/>
  <c r="Z54" i="446"/>
  <c r="Y54" i="446"/>
  <c r="X54" i="446"/>
  <c r="W54" i="446"/>
  <c r="V54" i="446"/>
  <c r="U54" i="446"/>
  <c r="T54" i="446"/>
  <c r="S54" i="446"/>
  <c r="R54" i="446"/>
  <c r="Q54" i="446"/>
  <c r="P54" i="446"/>
  <c r="O54" i="446"/>
  <c r="N54" i="446"/>
  <c r="C54" i="446"/>
  <c r="AV53" i="446"/>
  <c r="AU53" i="446"/>
  <c r="AC53" i="446"/>
  <c r="AB53" i="446"/>
  <c r="AA53" i="446"/>
  <c r="Z53" i="446"/>
  <c r="Y53" i="446"/>
  <c r="X53" i="446"/>
  <c r="W53" i="446"/>
  <c r="V53" i="446"/>
  <c r="U53" i="446"/>
  <c r="T53" i="446"/>
  <c r="S53" i="446"/>
  <c r="R53" i="446"/>
  <c r="Q53" i="446"/>
  <c r="P53" i="446"/>
  <c r="O53" i="446"/>
  <c r="N53" i="446"/>
  <c r="C53" i="446"/>
  <c r="AV52" i="446"/>
  <c r="AU52" i="446"/>
  <c r="AC52" i="446"/>
  <c r="AB52" i="446"/>
  <c r="AA52" i="446"/>
  <c r="Z52" i="446"/>
  <c r="Y52" i="446"/>
  <c r="X52" i="446"/>
  <c r="W52" i="446"/>
  <c r="V52" i="446"/>
  <c r="U52" i="446"/>
  <c r="T52" i="446"/>
  <c r="S52" i="446"/>
  <c r="R52" i="446"/>
  <c r="Q52" i="446"/>
  <c r="P52" i="446"/>
  <c r="O52" i="446"/>
  <c r="N52" i="446"/>
  <c r="C52" i="446"/>
  <c r="AV51" i="446"/>
  <c r="AU51" i="446"/>
  <c r="AC51" i="446"/>
  <c r="AB51" i="446"/>
  <c r="AA51" i="446"/>
  <c r="Z51" i="446"/>
  <c r="Y51" i="446"/>
  <c r="X51" i="446"/>
  <c r="W51" i="446"/>
  <c r="V51" i="446"/>
  <c r="AP51" i="446" s="1"/>
  <c r="U51" i="446"/>
  <c r="T51" i="446"/>
  <c r="S51" i="446"/>
  <c r="R51" i="446"/>
  <c r="Q51" i="446"/>
  <c r="P51" i="446"/>
  <c r="O51" i="446"/>
  <c r="N51" i="446"/>
  <c r="C51" i="446"/>
  <c r="AV50" i="446"/>
  <c r="AU50" i="446"/>
  <c r="AC50" i="446"/>
  <c r="AB50" i="446"/>
  <c r="AA50" i="446"/>
  <c r="Z50" i="446"/>
  <c r="Y50" i="446"/>
  <c r="X50" i="446"/>
  <c r="W50" i="446"/>
  <c r="V50" i="446"/>
  <c r="U50" i="446"/>
  <c r="T50" i="446"/>
  <c r="S50" i="446"/>
  <c r="R50" i="446"/>
  <c r="Q50" i="446"/>
  <c r="P50" i="446"/>
  <c r="O50" i="446"/>
  <c r="N50" i="446"/>
  <c r="C50" i="446"/>
  <c r="AV49" i="446"/>
  <c r="AU49" i="446"/>
  <c r="AC49" i="446"/>
  <c r="AB49" i="446"/>
  <c r="AA49" i="446"/>
  <c r="Z49" i="446"/>
  <c r="Y49" i="446"/>
  <c r="X49" i="446"/>
  <c r="W49" i="446"/>
  <c r="V49" i="446"/>
  <c r="U49" i="446"/>
  <c r="T49" i="446"/>
  <c r="S49" i="446"/>
  <c r="R49" i="446"/>
  <c r="Q49" i="446"/>
  <c r="P49" i="446"/>
  <c r="O49" i="446"/>
  <c r="N49" i="446"/>
  <c r="C49" i="446"/>
  <c r="AV48" i="446"/>
  <c r="AU48" i="446"/>
  <c r="AC48" i="446"/>
  <c r="AB48" i="446"/>
  <c r="AA48" i="446"/>
  <c r="Z48" i="446"/>
  <c r="Y48" i="446"/>
  <c r="X48" i="446"/>
  <c r="W48" i="446"/>
  <c r="V48" i="446"/>
  <c r="U48" i="446"/>
  <c r="T48" i="446"/>
  <c r="S48" i="446"/>
  <c r="R48" i="446"/>
  <c r="Q48" i="446"/>
  <c r="P48" i="446"/>
  <c r="O48" i="446"/>
  <c r="N48" i="446"/>
  <c r="C48" i="446"/>
  <c r="AV47" i="446"/>
  <c r="AU47" i="446"/>
  <c r="AC47" i="446"/>
  <c r="AB47" i="446"/>
  <c r="AA47" i="446"/>
  <c r="Z47" i="446"/>
  <c r="Y47" i="446"/>
  <c r="X47" i="446"/>
  <c r="W47" i="446"/>
  <c r="V47" i="446"/>
  <c r="U47" i="446"/>
  <c r="T47" i="446"/>
  <c r="S47" i="446"/>
  <c r="R47" i="446"/>
  <c r="Q47" i="446"/>
  <c r="P47" i="446"/>
  <c r="O47" i="446"/>
  <c r="N47" i="446"/>
  <c r="C47" i="446"/>
  <c r="AV46" i="446"/>
  <c r="AU46" i="446"/>
  <c r="AC46" i="446"/>
  <c r="AB46" i="446"/>
  <c r="AA46" i="446"/>
  <c r="Z46" i="446"/>
  <c r="Y46" i="446"/>
  <c r="X46" i="446"/>
  <c r="W46" i="446"/>
  <c r="V46" i="446"/>
  <c r="U46" i="446"/>
  <c r="T46" i="446"/>
  <c r="S46" i="446"/>
  <c r="R46" i="446"/>
  <c r="Q46" i="446"/>
  <c r="P46" i="446"/>
  <c r="O46" i="446"/>
  <c r="N46" i="446"/>
  <c r="C46" i="446"/>
  <c r="AV45" i="446"/>
  <c r="AU45" i="446"/>
  <c r="AC45" i="446"/>
  <c r="AB45" i="446"/>
  <c r="AA45" i="446"/>
  <c r="Z45" i="446"/>
  <c r="Y45" i="446"/>
  <c r="X45" i="446"/>
  <c r="W45" i="446"/>
  <c r="V45" i="446"/>
  <c r="U45" i="446"/>
  <c r="T45" i="446"/>
  <c r="S45" i="446"/>
  <c r="R45" i="446"/>
  <c r="Q45" i="446"/>
  <c r="P45" i="446"/>
  <c r="O45" i="446"/>
  <c r="N45" i="446"/>
  <c r="C45" i="446"/>
  <c r="AV44" i="446"/>
  <c r="AU44" i="446"/>
  <c r="AC44" i="446"/>
  <c r="AB44" i="446"/>
  <c r="AA44" i="446"/>
  <c r="Z44" i="446"/>
  <c r="Y44" i="446"/>
  <c r="X44" i="446"/>
  <c r="W44" i="446"/>
  <c r="V44" i="446"/>
  <c r="U44" i="446"/>
  <c r="T44" i="446"/>
  <c r="S44" i="446"/>
  <c r="R44" i="446"/>
  <c r="Q44" i="446"/>
  <c r="P44" i="446"/>
  <c r="O44" i="446"/>
  <c r="N44" i="446"/>
  <c r="C44" i="446"/>
  <c r="AV43" i="446"/>
  <c r="AU43" i="446"/>
  <c r="AC43" i="446"/>
  <c r="AB43" i="446"/>
  <c r="AA43" i="446"/>
  <c r="Z43" i="446"/>
  <c r="Y43" i="446"/>
  <c r="X43" i="446"/>
  <c r="W43" i="446"/>
  <c r="V43" i="446"/>
  <c r="U43" i="446"/>
  <c r="T43" i="446"/>
  <c r="S43" i="446"/>
  <c r="R43" i="446"/>
  <c r="Q43" i="446"/>
  <c r="P43" i="446"/>
  <c r="O43" i="446"/>
  <c r="N43" i="446"/>
  <c r="C43" i="446"/>
  <c r="AV42" i="446"/>
  <c r="AU42" i="446"/>
  <c r="AC42" i="446"/>
  <c r="AB42" i="446"/>
  <c r="AA42" i="446"/>
  <c r="Z42" i="446"/>
  <c r="Y42" i="446"/>
  <c r="X42" i="446"/>
  <c r="W42" i="446"/>
  <c r="V42" i="446"/>
  <c r="AP42" i="446" s="1"/>
  <c r="U42" i="446"/>
  <c r="T42" i="446"/>
  <c r="S42" i="446"/>
  <c r="R42" i="446"/>
  <c r="Q42" i="446"/>
  <c r="P42" i="446"/>
  <c r="O42" i="446"/>
  <c r="N42" i="446"/>
  <c r="AN42" i="446" s="1"/>
  <c r="AO42" i="446" s="1"/>
  <c r="C42" i="446"/>
  <c r="AV41" i="446"/>
  <c r="AU41" i="446"/>
  <c r="AC41" i="446"/>
  <c r="AB41" i="446"/>
  <c r="AA41" i="446"/>
  <c r="Z41" i="446"/>
  <c r="Y41" i="446"/>
  <c r="X41" i="446"/>
  <c r="W41" i="446"/>
  <c r="V41" i="446"/>
  <c r="U41" i="446"/>
  <c r="T41" i="446"/>
  <c r="S41" i="446"/>
  <c r="R41" i="446"/>
  <c r="Q41" i="446"/>
  <c r="P41" i="446"/>
  <c r="O41" i="446"/>
  <c r="N41" i="446"/>
  <c r="C41" i="446"/>
  <c r="AV40" i="446"/>
  <c r="AU40" i="446"/>
  <c r="AC40" i="446"/>
  <c r="AB40" i="446"/>
  <c r="AA40" i="446"/>
  <c r="Z40" i="446"/>
  <c r="Y40" i="446"/>
  <c r="X40" i="446"/>
  <c r="W40" i="446"/>
  <c r="V40" i="446"/>
  <c r="U40" i="446"/>
  <c r="T40" i="446"/>
  <c r="S40" i="446"/>
  <c r="R40" i="446"/>
  <c r="Q40" i="446"/>
  <c r="P40" i="446"/>
  <c r="O40" i="446"/>
  <c r="N40" i="446"/>
  <c r="C40" i="446"/>
  <c r="AV39" i="446"/>
  <c r="AU39" i="446"/>
  <c r="AC39" i="446"/>
  <c r="AB39" i="446"/>
  <c r="AA39" i="446"/>
  <c r="Z39" i="446"/>
  <c r="Y39" i="446"/>
  <c r="X39" i="446"/>
  <c r="W39" i="446"/>
  <c r="V39" i="446"/>
  <c r="U39" i="446"/>
  <c r="T39" i="446"/>
  <c r="S39" i="446"/>
  <c r="R39" i="446"/>
  <c r="Q39" i="446"/>
  <c r="P39" i="446"/>
  <c r="O39" i="446"/>
  <c r="AN39" i="446" s="1"/>
  <c r="AO39" i="446" s="1"/>
  <c r="N39" i="446"/>
  <c r="C39" i="446"/>
  <c r="AV38" i="446"/>
  <c r="AU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C38" i="446"/>
  <c r="AV37" i="446"/>
  <c r="AU37" i="446"/>
  <c r="AC37" i="446"/>
  <c r="AB37" i="446"/>
  <c r="AA37" i="446"/>
  <c r="Z37" i="446"/>
  <c r="Y37" i="446"/>
  <c r="X37" i="446"/>
  <c r="W37" i="446"/>
  <c r="V37" i="446"/>
  <c r="U37" i="446"/>
  <c r="T37" i="446"/>
  <c r="S37" i="446"/>
  <c r="R37" i="446"/>
  <c r="Q37" i="446"/>
  <c r="P37" i="446"/>
  <c r="O37" i="446"/>
  <c r="N37" i="446"/>
  <c r="C37" i="446"/>
  <c r="AV36" i="446"/>
  <c r="AU36" i="446"/>
  <c r="AC36" i="446"/>
  <c r="AB36" i="446"/>
  <c r="AA36" i="446"/>
  <c r="Z36" i="446"/>
  <c r="Y36" i="446"/>
  <c r="X36" i="446"/>
  <c r="W36" i="446"/>
  <c r="V36" i="446"/>
  <c r="U36" i="446"/>
  <c r="T36" i="446"/>
  <c r="S36" i="446"/>
  <c r="R36" i="446"/>
  <c r="Q36" i="446"/>
  <c r="P36" i="446"/>
  <c r="O36" i="446"/>
  <c r="N36" i="446"/>
  <c r="C36" i="446"/>
  <c r="AV35" i="446"/>
  <c r="AU35" i="446"/>
  <c r="AC35" i="446"/>
  <c r="AB35" i="446"/>
  <c r="AA35" i="446"/>
  <c r="Z35" i="446"/>
  <c r="Y35" i="446"/>
  <c r="X35" i="446"/>
  <c r="W35" i="446"/>
  <c r="V35" i="446"/>
  <c r="U35" i="446"/>
  <c r="T35" i="446"/>
  <c r="S35" i="446"/>
  <c r="R35" i="446"/>
  <c r="Q35" i="446"/>
  <c r="P35" i="446"/>
  <c r="O35" i="446"/>
  <c r="N35" i="446"/>
  <c r="AV34" i="446"/>
  <c r="AU34" i="446"/>
  <c r="AC34" i="446"/>
  <c r="AB34" i="446"/>
  <c r="AA34" i="446"/>
  <c r="Z34" i="446"/>
  <c r="Y34" i="446"/>
  <c r="X34" i="446"/>
  <c r="W34" i="446"/>
  <c r="V34" i="446"/>
  <c r="U34" i="446"/>
  <c r="T34" i="446"/>
  <c r="S34" i="446"/>
  <c r="R34" i="446"/>
  <c r="Q34" i="446"/>
  <c r="P34" i="446"/>
  <c r="O34" i="446"/>
  <c r="N34" i="446"/>
  <c r="AV33" i="446"/>
  <c r="AU33" i="446"/>
  <c r="AC33" i="446"/>
  <c r="AB33" i="446"/>
  <c r="AA33" i="446"/>
  <c r="Z33" i="446"/>
  <c r="Y33" i="446"/>
  <c r="X33" i="446"/>
  <c r="W33" i="446"/>
  <c r="V33" i="446"/>
  <c r="U33" i="446"/>
  <c r="T33" i="446"/>
  <c r="S33" i="446"/>
  <c r="R33" i="446"/>
  <c r="Q33" i="446"/>
  <c r="P33" i="446"/>
  <c r="O33" i="446"/>
  <c r="N33" i="446"/>
  <c r="AV32" i="446"/>
  <c r="AU32" i="446"/>
  <c r="AC32" i="446"/>
  <c r="AB32" i="446"/>
  <c r="AA32" i="446"/>
  <c r="Z32" i="446"/>
  <c r="Y32" i="446"/>
  <c r="X32" i="446"/>
  <c r="W32" i="446"/>
  <c r="V32" i="446"/>
  <c r="U32" i="446"/>
  <c r="T32" i="446"/>
  <c r="S32" i="446"/>
  <c r="R32" i="446"/>
  <c r="Q32" i="446"/>
  <c r="P32" i="446"/>
  <c r="O32" i="446"/>
  <c r="N32" i="446"/>
  <c r="AV31" i="446"/>
  <c r="AU31" i="446"/>
  <c r="AC31" i="446"/>
  <c r="AB31" i="446"/>
  <c r="AA31" i="446"/>
  <c r="Z31" i="446"/>
  <c r="Y31" i="446"/>
  <c r="X31" i="446"/>
  <c r="W31" i="446"/>
  <c r="V31" i="446"/>
  <c r="U31" i="446"/>
  <c r="T31" i="446"/>
  <c r="S31" i="446"/>
  <c r="R31" i="446"/>
  <c r="Q31" i="446"/>
  <c r="P31" i="446"/>
  <c r="O31" i="446"/>
  <c r="N31" i="446"/>
  <c r="AV30" i="446"/>
  <c r="AU30" i="446"/>
  <c r="AC30" i="446"/>
  <c r="AB30" i="446"/>
  <c r="AA30" i="446"/>
  <c r="Z30" i="446"/>
  <c r="Y30" i="446"/>
  <c r="X30" i="446"/>
  <c r="W30" i="446"/>
  <c r="V30" i="446"/>
  <c r="U30" i="446"/>
  <c r="T30" i="446"/>
  <c r="S30" i="446"/>
  <c r="R30" i="446"/>
  <c r="Q30" i="446"/>
  <c r="P30" i="446"/>
  <c r="O30" i="446"/>
  <c r="N30" i="446"/>
  <c r="AV29" i="446"/>
  <c r="AU29" i="446"/>
  <c r="AC29" i="446"/>
  <c r="AB29" i="446"/>
  <c r="AA29" i="446"/>
  <c r="Z29" i="446"/>
  <c r="Y29" i="446"/>
  <c r="X29" i="446"/>
  <c r="W29" i="446"/>
  <c r="V29" i="446"/>
  <c r="U29" i="446"/>
  <c r="T29" i="446"/>
  <c r="S29" i="446"/>
  <c r="R29" i="446"/>
  <c r="Q29" i="446"/>
  <c r="P29" i="446"/>
  <c r="O29" i="446"/>
  <c r="N29" i="446"/>
  <c r="AV28" i="446"/>
  <c r="AU28" i="446"/>
  <c r="AC28" i="446"/>
  <c r="AB28" i="446"/>
  <c r="AA28" i="446"/>
  <c r="Z28" i="446"/>
  <c r="Y28" i="446"/>
  <c r="X28" i="446"/>
  <c r="W28" i="446"/>
  <c r="V28" i="446"/>
  <c r="U28" i="446"/>
  <c r="T28" i="446"/>
  <c r="S28" i="446"/>
  <c r="R28" i="446"/>
  <c r="Q28" i="446"/>
  <c r="P28" i="446"/>
  <c r="O28" i="446"/>
  <c r="N28" i="446"/>
  <c r="AV27" i="446"/>
  <c r="AU27" i="446"/>
  <c r="AC27" i="446"/>
  <c r="AB27" i="446"/>
  <c r="AA27" i="446"/>
  <c r="Z27" i="446"/>
  <c r="Y27" i="446"/>
  <c r="X27" i="446"/>
  <c r="W27" i="446"/>
  <c r="V27" i="446"/>
  <c r="U27" i="446"/>
  <c r="T27" i="446"/>
  <c r="S27" i="446"/>
  <c r="R27" i="446"/>
  <c r="Q27" i="446"/>
  <c r="P27" i="446"/>
  <c r="O27" i="446"/>
  <c r="N27" i="446"/>
  <c r="AV26" i="446"/>
  <c r="AU26" i="446"/>
  <c r="AC26" i="446"/>
  <c r="AB26" i="446"/>
  <c r="AA26" i="446"/>
  <c r="Z26" i="446"/>
  <c r="Y26" i="446"/>
  <c r="X26" i="446"/>
  <c r="W26" i="446"/>
  <c r="V26" i="446"/>
  <c r="U26" i="446"/>
  <c r="T26" i="446"/>
  <c r="S26" i="446"/>
  <c r="R26" i="446"/>
  <c r="Q26" i="446"/>
  <c r="P26" i="446"/>
  <c r="O26" i="446"/>
  <c r="N26" i="446"/>
  <c r="AV25" i="446"/>
  <c r="AU25" i="446"/>
  <c r="AC25" i="446"/>
  <c r="AB25" i="446"/>
  <c r="AA25" i="446"/>
  <c r="Z25" i="446"/>
  <c r="Y25" i="446"/>
  <c r="X25" i="446"/>
  <c r="W25" i="446"/>
  <c r="V25" i="446"/>
  <c r="U25" i="446"/>
  <c r="T25" i="446"/>
  <c r="S25" i="446"/>
  <c r="R25" i="446"/>
  <c r="Q25" i="446"/>
  <c r="P25" i="446"/>
  <c r="O25" i="446"/>
  <c r="N25" i="446"/>
  <c r="AV24" i="446"/>
  <c r="AU24" i="446"/>
  <c r="AC24" i="446"/>
  <c r="AB24" i="446"/>
  <c r="AA24" i="446"/>
  <c r="Z24" i="446"/>
  <c r="Y24" i="446"/>
  <c r="X24" i="446"/>
  <c r="W24" i="446"/>
  <c r="V24" i="446"/>
  <c r="U24" i="446"/>
  <c r="T24" i="446"/>
  <c r="S24" i="446"/>
  <c r="R24" i="446"/>
  <c r="Q24" i="446"/>
  <c r="P24" i="446"/>
  <c r="O24" i="446"/>
  <c r="N24" i="446"/>
  <c r="AV23" i="446"/>
  <c r="AU23" i="446"/>
  <c r="AC23" i="446"/>
  <c r="AB23" i="446"/>
  <c r="AA23" i="446"/>
  <c r="Z23" i="446"/>
  <c r="Y23" i="446"/>
  <c r="X23" i="446"/>
  <c r="W23" i="446"/>
  <c r="V23" i="446"/>
  <c r="U23" i="446"/>
  <c r="T23" i="446"/>
  <c r="S23" i="446"/>
  <c r="R23" i="446"/>
  <c r="Q23" i="446"/>
  <c r="P23" i="446"/>
  <c r="O23" i="446"/>
  <c r="N23" i="446"/>
  <c r="AV22" i="446"/>
  <c r="AU22" i="446"/>
  <c r="AC22" i="446"/>
  <c r="AB22" i="446"/>
  <c r="AA22" i="446"/>
  <c r="Z22" i="446"/>
  <c r="Y22" i="446"/>
  <c r="X22" i="446"/>
  <c r="W22" i="446"/>
  <c r="V22" i="446"/>
  <c r="U22" i="446"/>
  <c r="T22" i="446"/>
  <c r="S22" i="446"/>
  <c r="R22" i="446"/>
  <c r="Q22" i="446"/>
  <c r="P22" i="446"/>
  <c r="O22" i="446"/>
  <c r="N22" i="446"/>
  <c r="AV21" i="446"/>
  <c r="AU21" i="446"/>
  <c r="AC21" i="446"/>
  <c r="AB21" i="446"/>
  <c r="AA21" i="446"/>
  <c r="Z21" i="446"/>
  <c r="Y21" i="446"/>
  <c r="X21" i="446"/>
  <c r="W21" i="446"/>
  <c r="V21" i="446"/>
  <c r="U21" i="446"/>
  <c r="T21" i="446"/>
  <c r="S21" i="446"/>
  <c r="R21" i="446"/>
  <c r="Q21" i="446"/>
  <c r="P21" i="446"/>
  <c r="O21" i="446"/>
  <c r="N21" i="446"/>
  <c r="AV20" i="446"/>
  <c r="AU20" i="446"/>
  <c r="AC20" i="446"/>
  <c r="AB20" i="446"/>
  <c r="AA20" i="446"/>
  <c r="Z20" i="446"/>
  <c r="Y20" i="446"/>
  <c r="X20" i="446"/>
  <c r="W20" i="446"/>
  <c r="V20" i="446"/>
  <c r="U20" i="446"/>
  <c r="T20" i="446"/>
  <c r="S20" i="446"/>
  <c r="R20" i="446"/>
  <c r="Q20" i="446"/>
  <c r="P20" i="446"/>
  <c r="O20" i="446"/>
  <c r="N20" i="446"/>
  <c r="AV19" i="446"/>
  <c r="AU19" i="446"/>
  <c r="AC19" i="446"/>
  <c r="AB19" i="446"/>
  <c r="AA19" i="446"/>
  <c r="Z19" i="446"/>
  <c r="Y19" i="446"/>
  <c r="X19" i="446"/>
  <c r="W19" i="446"/>
  <c r="V19" i="446"/>
  <c r="U19" i="446"/>
  <c r="T19" i="446"/>
  <c r="S19" i="446"/>
  <c r="R19" i="446"/>
  <c r="Q19" i="446"/>
  <c r="P19" i="446"/>
  <c r="O19" i="446"/>
  <c r="N19" i="446"/>
  <c r="AV18" i="446"/>
  <c r="AU18" i="446"/>
  <c r="AC18" i="446"/>
  <c r="AB18" i="446"/>
  <c r="AA18" i="446"/>
  <c r="Z18" i="446"/>
  <c r="Y18" i="446"/>
  <c r="X18" i="446"/>
  <c r="W18" i="446"/>
  <c r="V18" i="446"/>
  <c r="U18" i="446"/>
  <c r="T18" i="446"/>
  <c r="S18" i="446"/>
  <c r="R18" i="446"/>
  <c r="Q18" i="446"/>
  <c r="P18" i="446"/>
  <c r="O18" i="446"/>
  <c r="N18" i="446"/>
  <c r="AV17" i="446"/>
  <c r="AU17" i="446"/>
  <c r="AC17" i="446"/>
  <c r="AB17" i="446"/>
  <c r="AA17" i="446"/>
  <c r="Z17" i="446"/>
  <c r="Y17" i="446"/>
  <c r="X17" i="446"/>
  <c r="W17" i="446"/>
  <c r="V17" i="446"/>
  <c r="U17" i="446"/>
  <c r="T17" i="446"/>
  <c r="S17" i="446"/>
  <c r="R17" i="446"/>
  <c r="Q17" i="446"/>
  <c r="P17" i="446"/>
  <c r="O17" i="446"/>
  <c r="N17" i="446"/>
  <c r="AV16" i="446"/>
  <c r="AU16" i="446"/>
  <c r="AC16" i="446"/>
  <c r="AB16" i="446"/>
  <c r="AA16" i="446"/>
  <c r="Z16" i="446"/>
  <c r="Y16" i="446"/>
  <c r="X16" i="446"/>
  <c r="W16" i="446"/>
  <c r="V16" i="446"/>
  <c r="U16" i="446"/>
  <c r="T16" i="446"/>
  <c r="S16" i="446"/>
  <c r="R16" i="446"/>
  <c r="Q16" i="446"/>
  <c r="P16" i="446"/>
  <c r="O16" i="446"/>
  <c r="N16" i="446"/>
  <c r="AV15" i="446"/>
  <c r="AU15" i="446"/>
  <c r="AC15" i="446"/>
  <c r="AB15" i="446"/>
  <c r="AA15" i="446"/>
  <c r="Z15" i="446"/>
  <c r="Y15" i="446"/>
  <c r="X15" i="446"/>
  <c r="W15" i="446"/>
  <c r="V15" i="446"/>
  <c r="U15" i="446"/>
  <c r="T15" i="446"/>
  <c r="S15" i="446"/>
  <c r="R15" i="446"/>
  <c r="Q15" i="446"/>
  <c r="P15" i="446"/>
  <c r="O15" i="446"/>
  <c r="N15" i="446"/>
  <c r="AV14" i="446"/>
  <c r="AU14" i="446"/>
  <c r="AC14" i="446"/>
  <c r="AB14" i="446"/>
  <c r="AA14" i="446"/>
  <c r="Z14" i="446"/>
  <c r="Y14" i="446"/>
  <c r="X14" i="446"/>
  <c r="W14" i="446"/>
  <c r="V14" i="446"/>
  <c r="U14" i="446"/>
  <c r="T14" i="446"/>
  <c r="S14" i="446"/>
  <c r="R14" i="446"/>
  <c r="Q14" i="446"/>
  <c r="P14" i="446"/>
  <c r="O14" i="446"/>
  <c r="N14" i="446"/>
  <c r="AV13" i="446"/>
  <c r="AU13" i="446"/>
  <c r="AC13" i="446"/>
  <c r="AB13" i="446"/>
  <c r="AA13" i="446"/>
  <c r="Z13" i="446"/>
  <c r="Y13" i="446"/>
  <c r="X13" i="446"/>
  <c r="W13" i="446"/>
  <c r="V13" i="446"/>
  <c r="U13" i="446"/>
  <c r="T13" i="446"/>
  <c r="S13" i="446"/>
  <c r="R13" i="446"/>
  <c r="Q13" i="446"/>
  <c r="P13" i="446"/>
  <c r="O13" i="446"/>
  <c r="N13" i="446"/>
  <c r="AV12" i="446"/>
  <c r="AU12" i="446"/>
  <c r="AC12" i="446"/>
  <c r="AB12" i="446"/>
  <c r="AA12" i="446"/>
  <c r="Z12" i="446"/>
  <c r="Y12" i="446"/>
  <c r="X12" i="446"/>
  <c r="W12" i="446"/>
  <c r="V12" i="446"/>
  <c r="U12" i="446"/>
  <c r="T12" i="446"/>
  <c r="S12" i="446"/>
  <c r="R12" i="446"/>
  <c r="Q12" i="446"/>
  <c r="P12" i="446"/>
  <c r="O12" i="446"/>
  <c r="N12" i="446"/>
  <c r="AE11" i="446"/>
  <c r="AD12" i="446" s="1"/>
  <c r="U15" i="90"/>
  <c r="U14" i="90"/>
  <c r="U13" i="90"/>
  <c r="U12" i="90"/>
  <c r="N13" i="90"/>
  <c r="N14" i="90"/>
  <c r="N15" i="90"/>
  <c r="AP61" i="446" l="1"/>
  <c r="AP55" i="446"/>
  <c r="AP38" i="446"/>
  <c r="AN43" i="446"/>
  <c r="AO43" i="446" s="1"/>
  <c r="AP48" i="446"/>
  <c r="AN49" i="446"/>
  <c r="AO49" i="446" s="1"/>
  <c r="AN52" i="446"/>
  <c r="AO52" i="446" s="1"/>
  <c r="AN57" i="446"/>
  <c r="AO57" i="446" s="1"/>
  <c r="AP41" i="446"/>
  <c r="BE41" i="446" s="1"/>
  <c r="AN38" i="446"/>
  <c r="AO38" i="446" s="1"/>
  <c r="AP49" i="446"/>
  <c r="AN50" i="446"/>
  <c r="AO50" i="446" s="1"/>
  <c r="AP50" i="446"/>
  <c r="AP58" i="446"/>
  <c r="AQ58" i="446" s="1"/>
  <c r="AN61" i="446"/>
  <c r="AO61" i="446" s="1"/>
  <c r="AP63" i="446"/>
  <c r="BE63" i="446" s="1"/>
  <c r="AN64" i="446"/>
  <c r="AO64" i="446" s="1"/>
  <c r="AN37" i="446"/>
  <c r="AO37" i="446" s="1"/>
  <c r="AP39" i="446"/>
  <c r="AN40" i="446"/>
  <c r="AO40" i="446" s="1"/>
  <c r="AP40" i="446"/>
  <c r="AP43" i="446"/>
  <c r="AP44" i="446"/>
  <c r="BE44" i="446" s="1"/>
  <c r="AN45" i="446"/>
  <c r="AO45" i="446" s="1"/>
  <c r="AN48" i="446"/>
  <c r="AO48" i="446" s="1"/>
  <c r="AP53" i="446"/>
  <c r="BE53" i="446" s="1"/>
  <c r="AN54" i="446"/>
  <c r="AO54" i="446" s="1"/>
  <c r="AP54" i="446"/>
  <c r="BE54" i="446" s="1"/>
  <c r="AN59" i="446"/>
  <c r="AO59" i="446" s="1"/>
  <c r="AN36" i="446"/>
  <c r="AO36" i="446" s="1"/>
  <c r="AP36" i="446"/>
  <c r="AN44" i="446"/>
  <c r="AO44" i="446" s="1"/>
  <c r="AP46" i="446"/>
  <c r="AW46" i="446" s="1"/>
  <c r="AZ46" i="446" s="1"/>
  <c r="AN47" i="446"/>
  <c r="AO47" i="446" s="1"/>
  <c r="AN53" i="446"/>
  <c r="AO53" i="446" s="1"/>
  <c r="AP57" i="446"/>
  <c r="AW57" i="446" s="1"/>
  <c r="AZ57" i="446" s="1"/>
  <c r="AP60" i="446"/>
  <c r="AN62" i="446"/>
  <c r="AO62" i="446" s="1"/>
  <c r="AP62" i="446"/>
  <c r="K3" i="446"/>
  <c r="AP20" i="446"/>
  <c r="AQ20" i="446" s="1"/>
  <c r="AP12" i="446"/>
  <c r="AQ12" i="446" s="1"/>
  <c r="AN16" i="446"/>
  <c r="AO16" i="446" s="1"/>
  <c r="AN18" i="446"/>
  <c r="AO18" i="446" s="1"/>
  <c r="AN20" i="446"/>
  <c r="AO20" i="446" s="1"/>
  <c r="AN28" i="446"/>
  <c r="AO28" i="446" s="1"/>
  <c r="AN30" i="446"/>
  <c r="AO30" i="446" s="1"/>
  <c r="AP15" i="446"/>
  <c r="AQ15" i="446" s="1"/>
  <c r="AP17" i="446"/>
  <c r="AQ17" i="446" s="1"/>
  <c r="AP31" i="446"/>
  <c r="AQ31" i="446" s="1"/>
  <c r="AP29" i="446"/>
  <c r="BE29" i="446" s="1"/>
  <c r="AP34" i="446"/>
  <c r="AQ34" i="446" s="1"/>
  <c r="AP35" i="446"/>
  <c r="BE35" i="446" s="1"/>
  <c r="AN12" i="446"/>
  <c r="AO12" i="446" s="1"/>
  <c r="AN13" i="446"/>
  <c r="AO13" i="446" s="1"/>
  <c r="AP13" i="446"/>
  <c r="AW13" i="446" s="1"/>
  <c r="AZ13" i="446" s="1"/>
  <c r="AN19" i="446"/>
  <c r="AO19" i="446" s="1"/>
  <c r="AN25" i="446"/>
  <c r="AO25" i="446" s="1"/>
  <c r="AN27" i="446"/>
  <c r="AO27" i="446" s="1"/>
  <c r="AN29" i="446"/>
  <c r="AO29" i="446" s="1"/>
  <c r="AN31" i="446"/>
  <c r="AO31" i="446" s="1"/>
  <c r="AN15" i="446"/>
  <c r="AO15" i="446" s="1"/>
  <c r="AN17" i="446"/>
  <c r="AO17" i="446" s="1"/>
  <c r="AN21" i="446"/>
  <c r="AO21" i="446" s="1"/>
  <c r="AP18" i="446"/>
  <c r="BE18" i="446" s="1"/>
  <c r="AP26" i="446"/>
  <c r="BE26" i="446" s="1"/>
  <c r="AP30" i="446"/>
  <c r="BE30" i="446" s="1"/>
  <c r="AN33" i="446"/>
  <c r="AO33" i="446" s="1"/>
  <c r="AN35" i="446"/>
  <c r="AO35" i="446" s="1"/>
  <c r="AP22" i="446"/>
  <c r="BE22" i="446" s="1"/>
  <c r="AP27" i="446"/>
  <c r="AW27" i="446" s="1"/>
  <c r="AZ27" i="446" s="1"/>
  <c r="AP14" i="446"/>
  <c r="BE14" i="446" s="1"/>
  <c r="AN14" i="446"/>
  <c r="AO14" i="446" s="1"/>
  <c r="AN22" i="446"/>
  <c r="AO22" i="446" s="1"/>
  <c r="AN26" i="446"/>
  <c r="AO26" i="446" s="1"/>
  <c r="AN32" i="446"/>
  <c r="AO32" i="446" s="1"/>
  <c r="AP16" i="446"/>
  <c r="AW16" i="446" s="1"/>
  <c r="AZ16" i="446" s="1"/>
  <c r="AP19" i="446"/>
  <c r="AQ19" i="446" s="1"/>
  <c r="AN24" i="446"/>
  <c r="AO24" i="446" s="1"/>
  <c r="AP24" i="446"/>
  <c r="AW24" i="446" s="1"/>
  <c r="AZ24" i="446" s="1"/>
  <c r="AQ63" i="446"/>
  <c r="BA44" i="446"/>
  <c r="AW20" i="446"/>
  <c r="AZ20" i="446" s="1"/>
  <c r="BE12" i="446"/>
  <c r="BE27" i="446"/>
  <c r="AQ39" i="446"/>
  <c r="BE39" i="446"/>
  <c r="AW39" i="446"/>
  <c r="AZ39" i="446" s="1"/>
  <c r="AQ30" i="446"/>
  <c r="AW30" i="446"/>
  <c r="AZ30" i="446" s="1"/>
  <c r="AP45" i="446"/>
  <c r="AQ49" i="446"/>
  <c r="BE49" i="446"/>
  <c r="AW49" i="446"/>
  <c r="AZ49" i="446" s="1"/>
  <c r="AN58" i="446"/>
  <c r="AO58" i="446" s="1"/>
  <c r="AP64" i="446"/>
  <c r="AQ51" i="446"/>
  <c r="BE51" i="446"/>
  <c r="AW51" i="446"/>
  <c r="AZ51" i="446" s="1"/>
  <c r="AP56" i="446"/>
  <c r="AE12" i="446"/>
  <c r="AS12" i="446"/>
  <c r="AN23" i="446"/>
  <c r="AO23" i="446" s="1"/>
  <c r="AP33" i="446"/>
  <c r="AP37" i="446"/>
  <c r="AN46" i="446"/>
  <c r="AO46" i="446" s="1"/>
  <c r="AP52" i="446"/>
  <c r="AW58" i="446"/>
  <c r="AZ58" i="446" s="1"/>
  <c r="BE58" i="446"/>
  <c r="AF12" i="446"/>
  <c r="AG12" i="446" s="1"/>
  <c r="AJ12" i="446" s="1"/>
  <c r="AP25" i="446"/>
  <c r="AQ44" i="446"/>
  <c r="AW44" i="446"/>
  <c r="AZ44" i="446" s="1"/>
  <c r="AW60" i="446"/>
  <c r="AZ60" i="446" s="1"/>
  <c r="AQ60" i="446"/>
  <c r="BE60" i="446"/>
  <c r="AN34" i="446"/>
  <c r="AO34" i="446" s="1"/>
  <c r="BE40" i="446"/>
  <c r="AW40" i="446"/>
  <c r="AZ40" i="446" s="1"/>
  <c r="AQ40" i="446"/>
  <c r="AP59" i="446"/>
  <c r="AQ29" i="446"/>
  <c r="AP32" i="446"/>
  <c r="AN41" i="446"/>
  <c r="AO41" i="446" s="1"/>
  <c r="AW48" i="446"/>
  <c r="AZ48" i="446" s="1"/>
  <c r="AQ48" i="446"/>
  <c r="BE48" i="446"/>
  <c r="AN60" i="446"/>
  <c r="AO60" i="446" s="1"/>
  <c r="AP28" i="446"/>
  <c r="AQ46" i="446"/>
  <c r="AP47" i="446"/>
  <c r="AW53" i="446"/>
  <c r="AZ53" i="446" s="1"/>
  <c r="AQ53" i="446"/>
  <c r="AN56" i="446"/>
  <c r="AO56" i="446" s="1"/>
  <c r="AW62" i="446"/>
  <c r="AZ62" i="446" s="1"/>
  <c r="AQ62" i="446"/>
  <c r="BE62" i="446"/>
  <c r="AP21" i="446"/>
  <c r="AQ35" i="446"/>
  <c r="AW41" i="446"/>
  <c r="AZ41" i="446" s="1"/>
  <c r="AQ41" i="446"/>
  <c r="AQ54" i="446"/>
  <c r="AW55" i="446"/>
  <c r="AZ55" i="446" s="1"/>
  <c r="AQ55" i="446"/>
  <c r="BE55" i="446"/>
  <c r="AN63" i="446"/>
  <c r="AO63" i="446" s="1"/>
  <c r="AW31" i="446"/>
  <c r="AZ31" i="446" s="1"/>
  <c r="AW50" i="446"/>
  <c r="AZ50" i="446" s="1"/>
  <c r="AQ50" i="446"/>
  <c r="BE50" i="446"/>
  <c r="AP23" i="446"/>
  <c r="AW36" i="446"/>
  <c r="AZ36" i="446" s="1"/>
  <c r="AQ36" i="446"/>
  <c r="BE36" i="446"/>
  <c r="AQ42" i="446"/>
  <c r="BE42" i="446"/>
  <c r="AW42" i="446"/>
  <c r="AZ42" i="446" s="1"/>
  <c r="AW43" i="446"/>
  <c r="AZ43" i="446" s="1"/>
  <c r="AQ43" i="446"/>
  <c r="BE43" i="446"/>
  <c r="AN51" i="446"/>
  <c r="AO51" i="446" s="1"/>
  <c r="AN55" i="446"/>
  <c r="AO55" i="446" s="1"/>
  <c r="AQ57" i="446"/>
  <c r="AQ61" i="446"/>
  <c r="BE61" i="446"/>
  <c r="AW61" i="446"/>
  <c r="AZ61" i="446" s="1"/>
  <c r="AW38" i="446"/>
  <c r="AZ38" i="446" s="1"/>
  <c r="AQ38" i="446"/>
  <c r="BE38" i="446"/>
  <c r="BE20" i="446" l="1"/>
  <c r="BE46" i="446"/>
  <c r="AQ16" i="446"/>
  <c r="BE57" i="446"/>
  <c r="BA57" i="446" s="1"/>
  <c r="AW15" i="446"/>
  <c r="AZ15" i="446" s="1"/>
  <c r="AW54" i="446"/>
  <c r="AZ54" i="446" s="1"/>
  <c r="BE13" i="446"/>
  <c r="BA13" i="446" s="1"/>
  <c r="AW63" i="446"/>
  <c r="AZ63" i="446" s="1"/>
  <c r="BE15" i="446"/>
  <c r="BE19" i="446"/>
  <c r="AQ13" i="446"/>
  <c r="AQ14" i="446"/>
  <c r="AW17" i="446"/>
  <c r="AZ17" i="446" s="1"/>
  <c r="BE31" i="446"/>
  <c r="BA31" i="446" s="1"/>
  <c r="AW14" i="446"/>
  <c r="AZ14" i="446" s="1"/>
  <c r="BE17" i="446"/>
  <c r="BA17" i="446" s="1"/>
  <c r="AQ27" i="446"/>
  <c r="AW35" i="446"/>
  <c r="AZ35" i="446" s="1"/>
  <c r="AW34" i="446"/>
  <c r="AZ34" i="446" s="1"/>
  <c r="AW12" i="446"/>
  <c r="AZ12" i="446" s="1"/>
  <c r="AQ26" i="446"/>
  <c r="AW26" i="446"/>
  <c r="AZ26" i="446" s="1"/>
  <c r="AW18" i="446"/>
  <c r="AZ18" i="446" s="1"/>
  <c r="AW19" i="446"/>
  <c r="AZ19" i="446" s="1"/>
  <c r="BE16" i="446"/>
  <c r="AW29" i="446"/>
  <c r="AZ29" i="446" s="1"/>
  <c r="AQ18" i="446"/>
  <c r="BE24" i="446"/>
  <c r="BA24" i="446" s="1"/>
  <c r="BE34" i="446"/>
  <c r="AQ22" i="446"/>
  <c r="AQ24" i="446"/>
  <c r="AW22" i="446"/>
  <c r="AZ22" i="446" s="1"/>
  <c r="BA14" i="446"/>
  <c r="BA50" i="446"/>
  <c r="AQ37" i="446"/>
  <c r="BE37" i="446"/>
  <c r="AW37" i="446"/>
  <c r="AZ37" i="446" s="1"/>
  <c r="BA39" i="446"/>
  <c r="BA41" i="446"/>
  <c r="AQ32" i="446"/>
  <c r="AW32" i="446"/>
  <c r="AZ32" i="446" s="1"/>
  <c r="BE32" i="446"/>
  <c r="BA60" i="446"/>
  <c r="BE33" i="446"/>
  <c r="AQ33" i="446"/>
  <c r="AW33" i="446"/>
  <c r="AZ33" i="446" s="1"/>
  <c r="BE64" i="446"/>
  <c r="AW64" i="446"/>
  <c r="AZ64" i="446" s="1"/>
  <c r="AQ64" i="446"/>
  <c r="BA19" i="446"/>
  <c r="BA54" i="446"/>
  <c r="BA16" i="446"/>
  <c r="AQ47" i="446"/>
  <c r="BE47" i="446"/>
  <c r="AW47" i="446"/>
  <c r="AZ47" i="446" s="1"/>
  <c r="BA38" i="446"/>
  <c r="AH12" i="446"/>
  <c r="AI12" i="446" s="1"/>
  <c r="AK12" i="446" s="1"/>
  <c r="AT12" i="446"/>
  <c r="BA49" i="446"/>
  <c r="BA18" i="446"/>
  <c r="BA12" i="446"/>
  <c r="BA43" i="446"/>
  <c r="BA29" i="446"/>
  <c r="BA35" i="446"/>
  <c r="AQ59" i="446"/>
  <c r="BE59" i="446"/>
  <c r="AW59" i="446"/>
  <c r="AZ59" i="446" s="1"/>
  <c r="AQ23" i="446"/>
  <c r="BE23" i="446"/>
  <c r="AW23" i="446"/>
  <c r="AZ23" i="446" s="1"/>
  <c r="BA53" i="446"/>
  <c r="BA42" i="446"/>
  <c r="BA46" i="446"/>
  <c r="AQ25" i="446"/>
  <c r="BE25" i="446"/>
  <c r="AW25" i="446"/>
  <c r="AZ25" i="446" s="1"/>
  <c r="AQ56" i="446"/>
  <c r="AW56" i="446"/>
  <c r="AZ56" i="446" s="1"/>
  <c r="BE56" i="446"/>
  <c r="BE45" i="446"/>
  <c r="AQ45" i="446"/>
  <c r="AW45" i="446"/>
  <c r="AZ45" i="446" s="1"/>
  <c r="BA63" i="446"/>
  <c r="BA55" i="446"/>
  <c r="BA22" i="446"/>
  <c r="BA61" i="446"/>
  <c r="BA36" i="446"/>
  <c r="BA62" i="446"/>
  <c r="BA58" i="446"/>
  <c r="BA51" i="446"/>
  <c r="BA30" i="446"/>
  <c r="AQ21" i="446"/>
  <c r="BE21" i="446"/>
  <c r="AW21" i="446"/>
  <c r="AZ21" i="446" s="1"/>
  <c r="BE28" i="446"/>
  <c r="AW28" i="446"/>
  <c r="AZ28" i="446" s="1"/>
  <c r="AQ28" i="446"/>
  <c r="BA48" i="446"/>
  <c r="BA27" i="446"/>
  <c r="BA20" i="446"/>
  <c r="BA15" i="446"/>
  <c r="BA40" i="446"/>
  <c r="BE52" i="446"/>
  <c r="AW52" i="446"/>
  <c r="AZ52" i="446" s="1"/>
  <c r="AQ52" i="446"/>
  <c r="BA26" i="446"/>
  <c r="L70" i="281"/>
  <c r="J13" i="281"/>
  <c r="J14" i="281"/>
  <c r="J15" i="281"/>
  <c r="J16" i="281"/>
  <c r="J17" i="281"/>
  <c r="J18" i="281"/>
  <c r="J19" i="281"/>
  <c r="J29" i="281"/>
  <c r="J30" i="281"/>
  <c r="J31" i="281"/>
  <c r="J32" i="281"/>
  <c r="J2" i="281"/>
  <c r="K2" i="446" l="1"/>
  <c r="O3" i="446" s="1"/>
  <c r="AM12" i="446"/>
  <c r="AY12" i="446" s="1"/>
  <c r="BA34" i="446"/>
  <c r="BA59" i="446"/>
  <c r="BA45" i="446"/>
  <c r="BA33" i="446"/>
  <c r="BA56" i="446"/>
  <c r="BA52" i="446"/>
  <c r="BA23" i="446"/>
  <c r="BA32" i="446"/>
  <c r="BA37" i="446"/>
  <c r="BA25" i="446"/>
  <c r="BA28" i="446"/>
  <c r="BA47" i="446"/>
  <c r="BA21" i="446"/>
  <c r="BA64" i="446"/>
  <c r="I188" i="444"/>
  <c r="J188" i="444"/>
  <c r="K188" i="444"/>
  <c r="L188" i="444"/>
  <c r="I189" i="444"/>
  <c r="J189" i="444"/>
  <c r="K189" i="444"/>
  <c r="L189" i="444"/>
  <c r="I190" i="444"/>
  <c r="J190" i="444"/>
  <c r="K190" i="444"/>
  <c r="L190" i="444"/>
  <c r="I191" i="444"/>
  <c r="J191" i="444"/>
  <c r="K191" i="444"/>
  <c r="L191" i="444"/>
  <c r="I192" i="444"/>
  <c r="J192" i="444"/>
  <c r="K192" i="444"/>
  <c r="L192" i="444"/>
  <c r="I193" i="444"/>
  <c r="J193" i="444"/>
  <c r="K193" i="444"/>
  <c r="L193" i="444"/>
  <c r="I194" i="444"/>
  <c r="J194" i="444"/>
  <c r="K194" i="444"/>
  <c r="L194" i="444"/>
  <c r="I195" i="444"/>
  <c r="J195" i="444"/>
  <c r="K195" i="444"/>
  <c r="L195" i="444"/>
  <c r="I196" i="444"/>
  <c r="J196" i="444"/>
  <c r="K196" i="444"/>
  <c r="L196" i="444"/>
  <c r="I197" i="444"/>
  <c r="J197" i="444"/>
  <c r="K197" i="444"/>
  <c r="L197" i="444"/>
  <c r="I198" i="444"/>
  <c r="J198" i="444"/>
  <c r="K198" i="444"/>
  <c r="L198" i="444"/>
  <c r="I199" i="444"/>
  <c r="J199" i="444"/>
  <c r="K199" i="444"/>
  <c r="L199" i="444"/>
  <c r="I200" i="444"/>
  <c r="J200" i="444"/>
  <c r="K200" i="444"/>
  <c r="L200" i="444"/>
  <c r="I201" i="444"/>
  <c r="J201" i="444"/>
  <c r="K201" i="444"/>
  <c r="L201" i="444"/>
  <c r="I202" i="444"/>
  <c r="J202" i="444"/>
  <c r="K202" i="444"/>
  <c r="L202" i="444"/>
  <c r="I203" i="444"/>
  <c r="J203" i="444"/>
  <c r="K203" i="444"/>
  <c r="L203" i="444"/>
  <c r="I204" i="444"/>
  <c r="J204" i="444"/>
  <c r="K204" i="444"/>
  <c r="L204" i="444"/>
  <c r="I205" i="444"/>
  <c r="J205" i="444"/>
  <c r="K205" i="444"/>
  <c r="L205" i="444"/>
  <c r="I206" i="444"/>
  <c r="J206" i="444"/>
  <c r="K206" i="444"/>
  <c r="L206" i="444"/>
  <c r="J2" i="444"/>
  <c r="K2" i="444"/>
  <c r="L2" i="444"/>
  <c r="I2" i="444"/>
  <c r="K4" i="446" l="1"/>
  <c r="AM2" i="446" s="1"/>
  <c r="BD12" i="446"/>
  <c r="H188" i="444"/>
  <c r="H189" i="444"/>
  <c r="H190" i="444"/>
  <c r="H191" i="444"/>
  <c r="H192" i="444"/>
  <c r="H193" i="444"/>
  <c r="H194" i="444"/>
  <c r="H195" i="444"/>
  <c r="H196" i="444"/>
  <c r="H197" i="444"/>
  <c r="H198" i="444"/>
  <c r="H199" i="444"/>
  <c r="H200" i="444"/>
  <c r="H201" i="444"/>
  <c r="H202" i="444"/>
  <c r="H203" i="444"/>
  <c r="H204" i="444"/>
  <c r="H205" i="444"/>
  <c r="H206" i="444"/>
  <c r="H2" i="444"/>
  <c r="A188" i="444" l="1"/>
  <c r="B188" i="444"/>
  <c r="C188" i="444"/>
  <c r="D188" i="444"/>
  <c r="E188" i="444"/>
  <c r="F188" i="444"/>
  <c r="G188" i="444"/>
  <c r="A189" i="444"/>
  <c r="B189" i="444"/>
  <c r="C189" i="444"/>
  <c r="D189" i="444"/>
  <c r="E189" i="444"/>
  <c r="F189" i="444"/>
  <c r="G189" i="444"/>
  <c r="A190" i="444"/>
  <c r="B190" i="444"/>
  <c r="C190" i="444"/>
  <c r="D190" i="444"/>
  <c r="E190" i="444"/>
  <c r="F190" i="444"/>
  <c r="G190" i="444"/>
  <c r="A191" i="444"/>
  <c r="B191" i="444"/>
  <c r="C191" i="444"/>
  <c r="D191" i="444"/>
  <c r="E191" i="444"/>
  <c r="F191" i="444"/>
  <c r="G191" i="444"/>
  <c r="A192" i="444"/>
  <c r="B192" i="444"/>
  <c r="C192" i="444"/>
  <c r="D192" i="444"/>
  <c r="E192" i="444"/>
  <c r="F192" i="444"/>
  <c r="G192" i="444"/>
  <c r="A193" i="444"/>
  <c r="B193" i="444"/>
  <c r="C193" i="444"/>
  <c r="D193" i="444"/>
  <c r="E193" i="444"/>
  <c r="F193" i="444"/>
  <c r="G193" i="444"/>
  <c r="A194" i="444"/>
  <c r="B194" i="444"/>
  <c r="C194" i="444"/>
  <c r="D194" i="444"/>
  <c r="E194" i="444"/>
  <c r="F194" i="444"/>
  <c r="G194" i="444"/>
  <c r="A195" i="444"/>
  <c r="B195" i="444"/>
  <c r="C195" i="444"/>
  <c r="D195" i="444"/>
  <c r="E195" i="444"/>
  <c r="F195" i="444"/>
  <c r="G195" i="444"/>
  <c r="A196" i="444"/>
  <c r="B196" i="444"/>
  <c r="C196" i="444"/>
  <c r="D196" i="444"/>
  <c r="E196" i="444"/>
  <c r="F196" i="444"/>
  <c r="G196" i="444"/>
  <c r="A197" i="444"/>
  <c r="B197" i="444"/>
  <c r="C197" i="444"/>
  <c r="D197" i="444"/>
  <c r="E197" i="444"/>
  <c r="F197" i="444"/>
  <c r="G197" i="444"/>
  <c r="A198" i="444"/>
  <c r="B198" i="444"/>
  <c r="C198" i="444"/>
  <c r="D198" i="444"/>
  <c r="E198" i="444"/>
  <c r="F198" i="444"/>
  <c r="G198" i="444"/>
  <c r="A199" i="444"/>
  <c r="B199" i="444"/>
  <c r="C199" i="444"/>
  <c r="D199" i="444"/>
  <c r="E199" i="444"/>
  <c r="F199" i="444"/>
  <c r="G199" i="444"/>
  <c r="A200" i="444"/>
  <c r="B200" i="444"/>
  <c r="C200" i="444"/>
  <c r="D200" i="444"/>
  <c r="E200" i="444"/>
  <c r="F200" i="444"/>
  <c r="G200" i="444"/>
  <c r="A201" i="444"/>
  <c r="B201" i="444"/>
  <c r="C201" i="444"/>
  <c r="D201" i="444"/>
  <c r="E201" i="444"/>
  <c r="F201" i="444"/>
  <c r="G201" i="444"/>
  <c r="A202" i="444"/>
  <c r="B202" i="444"/>
  <c r="C202" i="444"/>
  <c r="D202" i="444"/>
  <c r="E202" i="444"/>
  <c r="F202" i="444"/>
  <c r="G202" i="444"/>
  <c r="A203" i="444"/>
  <c r="B203" i="444"/>
  <c r="C203" i="444"/>
  <c r="D203" i="444"/>
  <c r="E203" i="444"/>
  <c r="F203" i="444"/>
  <c r="G203" i="444"/>
  <c r="A204" i="444"/>
  <c r="B204" i="444"/>
  <c r="C204" i="444"/>
  <c r="D204" i="444"/>
  <c r="E204" i="444"/>
  <c r="F204" i="444"/>
  <c r="G204" i="444"/>
  <c r="A205" i="444"/>
  <c r="B205" i="444"/>
  <c r="C205" i="444"/>
  <c r="D205" i="444"/>
  <c r="E205" i="444"/>
  <c r="F205" i="444"/>
  <c r="G205" i="444"/>
  <c r="A206" i="444"/>
  <c r="B206" i="444"/>
  <c r="C206" i="444"/>
  <c r="D206" i="444"/>
  <c r="E206" i="444"/>
  <c r="F206" i="444"/>
  <c r="G206" i="444"/>
  <c r="G2" i="444"/>
  <c r="F2" i="444"/>
  <c r="E2" i="444"/>
  <c r="D2" i="444"/>
  <c r="C2" i="444"/>
  <c r="B2" i="444"/>
  <c r="D31" i="281"/>
  <c r="D30" i="281"/>
  <c r="D29" i="281"/>
  <c r="D19" i="281"/>
  <c r="D18" i="281"/>
  <c r="D17" i="281"/>
  <c r="D16" i="281"/>
  <c r="D15" i="281"/>
  <c r="D14" i="281"/>
  <c r="D13" i="281"/>
  <c r="D2" i="281"/>
  <c r="B4" i="475" l="1"/>
  <c r="B4" i="474"/>
  <c r="D6" i="476"/>
  <c r="B7" i="474"/>
  <c r="C1" i="474"/>
  <c r="D7" i="476"/>
  <c r="E3" i="476"/>
  <c r="O1" i="476" s="1"/>
  <c r="E3" i="474"/>
  <c r="O1" i="474" s="1"/>
  <c r="N2" i="476"/>
  <c r="B2" i="476" s="1"/>
  <c r="D6" i="475"/>
  <c r="B6" i="475"/>
  <c r="C1" i="475"/>
  <c r="B7" i="476"/>
  <c r="D7" i="475"/>
  <c r="E3" i="475"/>
  <c r="O1" i="475" s="1"/>
  <c r="D7" i="474"/>
  <c r="N2" i="474"/>
  <c r="B2" i="474" s="1"/>
  <c r="B7" i="475"/>
  <c r="N2" i="475"/>
  <c r="B2" i="475" s="1"/>
  <c r="B6" i="476"/>
  <c r="C1" i="476"/>
  <c r="D6" i="474"/>
  <c r="K5" i="476"/>
  <c r="B6" i="474"/>
  <c r="B5" i="476"/>
  <c r="K5" i="475"/>
  <c r="K5" i="474"/>
  <c r="B5" i="474"/>
  <c r="B5" i="475"/>
  <c r="B4" i="476"/>
  <c r="B6" i="473"/>
  <c r="K5" i="469"/>
  <c r="E3" i="462"/>
  <c r="O1" i="462" s="1"/>
  <c r="E3" i="461"/>
  <c r="O1" i="461" s="1"/>
  <c r="K5" i="473"/>
  <c r="B5" i="469"/>
  <c r="D7" i="462"/>
  <c r="N2" i="462"/>
  <c r="B2" i="462" s="1"/>
  <c r="D7" i="461"/>
  <c r="N2" i="461"/>
  <c r="B2" i="461" s="1"/>
  <c r="B5" i="473"/>
  <c r="B4" i="469"/>
  <c r="B7" i="462"/>
  <c r="B7" i="461"/>
  <c r="B4" i="473"/>
  <c r="D6" i="462"/>
  <c r="C1" i="462"/>
  <c r="D6" i="461"/>
  <c r="C1" i="461"/>
  <c r="E3" i="473"/>
  <c r="O1" i="473" s="1"/>
  <c r="D7" i="469"/>
  <c r="E3" i="469"/>
  <c r="O1" i="469" s="1"/>
  <c r="B6" i="462"/>
  <c r="B6" i="461"/>
  <c r="D7" i="473"/>
  <c r="N2" i="473"/>
  <c r="B2" i="473" s="1"/>
  <c r="B7" i="469"/>
  <c r="N2" i="469"/>
  <c r="B2" i="469" s="1"/>
  <c r="K5" i="462"/>
  <c r="K5" i="461"/>
  <c r="B7" i="473"/>
  <c r="D6" i="469"/>
  <c r="C1" i="469"/>
  <c r="B5" i="462"/>
  <c r="B5" i="461"/>
  <c r="D6" i="473"/>
  <c r="C1" i="473"/>
  <c r="B6" i="469"/>
  <c r="B4" i="462"/>
  <c r="B4" i="461"/>
  <c r="B4" i="457"/>
  <c r="N2" i="457"/>
  <c r="B2" i="457" s="1"/>
  <c r="D6" i="457"/>
  <c r="E3" i="457"/>
  <c r="O1" i="457" s="1"/>
  <c r="B7" i="457"/>
  <c r="D7" i="457"/>
  <c r="C1" i="457"/>
  <c r="K5" i="457"/>
  <c r="B5" i="457"/>
  <c r="B6" i="457"/>
  <c r="D7" i="446"/>
  <c r="K5" i="446"/>
  <c r="N2" i="446"/>
  <c r="B2" i="446" s="1"/>
  <c r="B6" i="446"/>
  <c r="B7" i="446"/>
  <c r="B5" i="446"/>
  <c r="C1" i="446"/>
  <c r="E3" i="446"/>
  <c r="O1" i="446" s="1"/>
  <c r="D6" i="446"/>
  <c r="B4" i="446"/>
  <c r="B4" i="90"/>
  <c r="A2" i="444"/>
  <c r="B6" i="90"/>
  <c r="C1" i="90"/>
  <c r="E3" i="90"/>
  <c r="O1" i="90" s="1"/>
  <c r="N2" i="90"/>
  <c r="D6" i="90"/>
  <c r="D7" i="90"/>
  <c r="B7" i="90"/>
  <c r="B5" i="90"/>
  <c r="K5" i="90"/>
  <c r="O5" i="469" l="1"/>
  <c r="AM6" i="469" s="1"/>
  <c r="O5" i="473"/>
  <c r="AM6" i="473" s="1"/>
  <c r="O5" i="461"/>
  <c r="AM6" i="461" s="1"/>
  <c r="O2" i="462"/>
  <c r="O6" i="462"/>
  <c r="O7" i="462"/>
  <c r="N4" i="474"/>
  <c r="BF12" i="474" s="1"/>
  <c r="N3" i="474"/>
  <c r="N4" i="473"/>
  <c r="BF12" i="473" s="1"/>
  <c r="N3" i="473"/>
  <c r="N3" i="475"/>
  <c r="N4" i="475"/>
  <c r="BF12" i="475" s="1"/>
  <c r="N3" i="476"/>
  <c r="N4" i="476"/>
  <c r="BF12" i="476" s="1"/>
  <c r="O5" i="462"/>
  <c r="AM6" i="462" s="1"/>
  <c r="O2" i="476"/>
  <c r="O6" i="476"/>
  <c r="O2" i="474"/>
  <c r="O6" i="474"/>
  <c r="O7" i="474"/>
  <c r="N4" i="469"/>
  <c r="BF12" i="469" s="1"/>
  <c r="N3" i="469"/>
  <c r="O2" i="475"/>
  <c r="O6" i="475"/>
  <c r="O7" i="475"/>
  <c r="O2" i="473"/>
  <c r="O7" i="473"/>
  <c r="O6" i="473"/>
  <c r="N4" i="461"/>
  <c r="BF12" i="461" s="1"/>
  <c r="N3" i="461"/>
  <c r="O5" i="475"/>
  <c r="AM6" i="475" s="1"/>
  <c r="O7" i="476"/>
  <c r="O2" i="469"/>
  <c r="O6" i="469"/>
  <c r="O7" i="469"/>
  <c r="O7" i="461"/>
  <c r="O2" i="461"/>
  <c r="O6" i="461"/>
  <c r="N4" i="462"/>
  <c r="N3" i="462"/>
  <c r="O5" i="474"/>
  <c r="AM6" i="474" s="1"/>
  <c r="O5" i="476"/>
  <c r="AM6" i="476" s="1"/>
  <c r="N4" i="457"/>
  <c r="N3" i="457"/>
  <c r="O5" i="457"/>
  <c r="AM6" i="457" s="1"/>
  <c r="O7" i="457"/>
  <c r="O6" i="457"/>
  <c r="O2" i="457"/>
  <c r="N4" i="446"/>
  <c r="N3" i="446"/>
  <c r="O5" i="446"/>
  <c r="AM6" i="446" s="1"/>
  <c r="O7" i="446"/>
  <c r="O6" i="446"/>
  <c r="O2" i="446"/>
  <c r="N3" i="90"/>
  <c r="N4" i="90"/>
  <c r="BF13" i="462" l="1"/>
  <c r="BF12" i="462"/>
  <c r="BF12" i="457"/>
  <c r="BF44" i="446"/>
  <c r="BF39" i="446"/>
  <c r="BF41" i="446"/>
  <c r="BF16" i="446"/>
  <c r="BF13" i="446"/>
  <c r="BF17" i="446"/>
  <c r="BF12" i="446"/>
  <c r="BF24" i="446"/>
  <c r="BF53" i="446"/>
  <c r="BF46" i="446"/>
  <c r="BF63" i="446"/>
  <c r="BF22" i="446"/>
  <c r="BF27" i="446"/>
  <c r="BF57" i="446"/>
  <c r="BF60" i="446"/>
  <c r="BF54" i="446"/>
  <c r="BF18" i="446"/>
  <c r="BF35" i="446"/>
  <c r="BF61" i="446"/>
  <c r="BF48" i="446"/>
  <c r="BF20" i="446"/>
  <c r="BF40" i="446"/>
  <c r="BF14" i="446"/>
  <c r="BF19" i="446"/>
  <c r="BF43" i="446"/>
  <c r="BF42" i="446"/>
  <c r="BF55" i="446"/>
  <c r="BF62" i="446"/>
  <c r="BF51" i="446"/>
  <c r="BF26" i="446"/>
  <c r="BF50" i="446"/>
  <c r="BF38" i="446"/>
  <c r="BF49" i="446"/>
  <c r="BF29" i="446"/>
  <c r="BF36" i="446"/>
  <c r="BF58" i="446"/>
  <c r="BF30" i="446"/>
  <c r="BF15" i="446"/>
  <c r="BF56" i="446"/>
  <c r="BF23" i="446"/>
  <c r="BF37" i="446"/>
  <c r="BF28" i="446"/>
  <c r="BF31" i="446"/>
  <c r="BF45" i="446"/>
  <c r="BF21" i="446"/>
  <c r="BF64" i="446"/>
  <c r="BF59" i="446"/>
  <c r="BF52" i="446"/>
  <c r="BF32" i="446"/>
  <c r="BF25" i="446"/>
  <c r="BF47" i="446"/>
  <c r="BF34" i="446"/>
  <c r="BF33" i="446"/>
  <c r="B2" i="90" l="1"/>
  <c r="C15" i="90" l="1"/>
  <c r="O15" i="90"/>
  <c r="P15" i="90"/>
  <c r="Q15" i="90"/>
  <c r="R15" i="90"/>
  <c r="S15" i="90"/>
  <c r="T15" i="90"/>
  <c r="V15" i="90"/>
  <c r="W15" i="90"/>
  <c r="X15" i="90"/>
  <c r="Y15" i="90"/>
  <c r="Z15" i="90"/>
  <c r="AA15" i="90"/>
  <c r="AB15" i="90"/>
  <c r="AC15" i="90"/>
  <c r="AU15" i="90"/>
  <c r="AV15" i="90"/>
  <c r="AE11" i="90"/>
  <c r="AD12" i="90" s="1"/>
  <c r="AN15" i="90" l="1"/>
  <c r="AO15" i="90" s="1"/>
  <c r="AP15" i="90"/>
  <c r="BE15" i="90" s="1"/>
  <c r="AW15" i="90" l="1"/>
  <c r="AZ15" i="90" s="1"/>
  <c r="AQ15" i="90"/>
  <c r="BA15" i="90"/>
  <c r="O6" i="90" l="1"/>
  <c r="O5" i="90"/>
  <c r="O2" i="90"/>
  <c r="O7" i="90"/>
  <c r="AM6" i="90" l="1"/>
  <c r="AV14" i="90"/>
  <c r="AU14" i="90"/>
  <c r="AC14" i="90"/>
  <c r="AB14" i="90"/>
  <c r="AA14" i="90"/>
  <c r="Z14" i="90"/>
  <c r="Y14" i="90"/>
  <c r="X14" i="90"/>
  <c r="W14" i="90"/>
  <c r="V14" i="90"/>
  <c r="T14" i="90"/>
  <c r="S14" i="90"/>
  <c r="R14" i="90"/>
  <c r="Q14" i="90"/>
  <c r="P14" i="90"/>
  <c r="O14" i="90"/>
  <c r="C14" i="90"/>
  <c r="AV13" i="90"/>
  <c r="AU13" i="90"/>
  <c r="AC13" i="90"/>
  <c r="AB13" i="90"/>
  <c r="AA13" i="90"/>
  <c r="Z13" i="90"/>
  <c r="Y13" i="90"/>
  <c r="X13" i="90"/>
  <c r="W13" i="90"/>
  <c r="V13" i="90"/>
  <c r="T13" i="90"/>
  <c r="S13" i="90"/>
  <c r="R13" i="90"/>
  <c r="Q13" i="90"/>
  <c r="P13" i="90"/>
  <c r="O13" i="90"/>
  <c r="C13" i="90"/>
  <c r="AV12" i="90"/>
  <c r="AU12" i="90"/>
  <c r="AS12" i="90"/>
  <c r="AC12" i="90"/>
  <c r="AB12" i="90"/>
  <c r="AA12" i="90"/>
  <c r="Z12" i="90"/>
  <c r="Y12" i="90"/>
  <c r="X12" i="90"/>
  <c r="W12" i="90"/>
  <c r="V12" i="90"/>
  <c r="T12" i="90"/>
  <c r="S12" i="90"/>
  <c r="R12" i="90"/>
  <c r="Q12" i="90"/>
  <c r="P12" i="90"/>
  <c r="O12" i="90"/>
  <c r="N12" i="90"/>
  <c r="C12" i="90"/>
  <c r="AE12" i="90" s="1"/>
  <c r="AN12" i="90" l="1"/>
  <c r="AO12" i="90" s="1"/>
  <c r="AN14" i="90"/>
  <c r="AO14" i="90" s="1"/>
  <c r="AN13" i="90"/>
  <c r="AO13" i="90" s="1"/>
  <c r="BF15" i="90"/>
  <c r="K3" i="90"/>
  <c r="AD13" i="90"/>
  <c r="AE13" i="90" s="1"/>
  <c r="AF12" i="90"/>
  <c r="AG12" i="90" s="1"/>
  <c r="AJ12" i="90" s="1"/>
  <c r="AP14" i="90"/>
  <c r="BE14" i="90" s="1"/>
  <c r="AP12" i="90"/>
  <c r="AP13" i="90"/>
  <c r="AW13" i="90" l="1"/>
  <c r="AZ13" i="90" s="1"/>
  <c r="BE13" i="90"/>
  <c r="BA13" i="90" s="1"/>
  <c r="AW12" i="90"/>
  <c r="AZ12" i="90" s="1"/>
  <c r="BE12" i="90"/>
  <c r="BA12" i="90" s="1"/>
  <c r="AQ14" i="90"/>
  <c r="AQ13" i="90"/>
  <c r="AW14" i="90"/>
  <c r="AZ14" i="90" s="1"/>
  <c r="AQ12" i="90"/>
  <c r="BF14" i="90"/>
  <c r="BA14" i="90"/>
  <c r="AH12" i="90"/>
  <c r="AT12" i="90"/>
  <c r="BF13" i="90" l="1"/>
  <c r="BF12" i="90"/>
  <c r="K2" i="90"/>
  <c r="AF13" i="90"/>
  <c r="AG13" i="90" s="1"/>
  <c r="AJ13" i="90" s="1"/>
  <c r="AS13" i="90"/>
  <c r="AD14" i="90"/>
  <c r="AE14" i="90" s="1"/>
  <c r="AI12" i="90"/>
  <c r="AK12" i="90" s="1"/>
  <c r="AM12" i="90" s="1"/>
  <c r="O3" i="90" l="1"/>
  <c r="K4" i="90"/>
  <c r="BD12" i="90"/>
  <c r="AY12" i="90"/>
  <c r="AH13" i="90"/>
  <c r="AI13" i="90" s="1"/>
  <c r="AK13" i="90" s="1"/>
  <c r="AM13" i="90" s="1"/>
  <c r="AT13" i="90"/>
  <c r="AM2" i="90" l="1"/>
  <c r="BD13" i="90"/>
  <c r="AY13" i="90"/>
  <c r="AF14" i="90"/>
  <c r="AG14" i="90" s="1"/>
  <c r="AJ14" i="90" s="1"/>
  <c r="AS14" i="90"/>
  <c r="AD15" i="90"/>
  <c r="AE15" i="90" s="1"/>
  <c r="AS15" i="90" l="1"/>
  <c r="AF15" i="90"/>
  <c r="AG15" i="90" s="1"/>
  <c r="AJ15" i="90" s="1"/>
  <c r="AH14" i="90"/>
  <c r="AI14" i="90" s="1"/>
  <c r="AK14" i="90" s="1"/>
  <c r="AT14" i="90"/>
  <c r="AT15" i="90" l="1"/>
  <c r="AH15" i="90"/>
  <c r="AI15" i="90" s="1"/>
  <c r="AK15" i="90" s="1"/>
  <c r="AM15" i="90" s="1"/>
  <c r="AM14" i="90"/>
  <c r="AY15" i="90" l="1"/>
  <c r="BD15" i="90"/>
  <c r="BD14" i="90"/>
  <c r="AY14" i="90"/>
  <c r="AD13" i="446" l="1"/>
  <c r="AF13" i="446" l="1"/>
  <c r="AS13" i="446"/>
  <c r="AE13" i="446"/>
  <c r="AG13" i="446" l="1"/>
  <c r="AJ13" i="446" s="1"/>
  <c r="AD14" i="446"/>
  <c r="AH13" i="446"/>
  <c r="AI13" i="446" s="1"/>
  <c r="AK13" i="446" s="1"/>
  <c r="AT13" i="446"/>
  <c r="AM13" i="446" l="1"/>
  <c r="AF14" i="446"/>
  <c r="AS14" i="446"/>
  <c r="AE14" i="446"/>
  <c r="AD15" i="446" l="1"/>
  <c r="AH14" i="446"/>
  <c r="AI14" i="446" s="1"/>
  <c r="AK14" i="446" s="1"/>
  <c r="AT14" i="446"/>
  <c r="AG14" i="446"/>
  <c r="AJ14" i="446" s="1"/>
  <c r="BD13" i="446"/>
  <c r="AY13" i="446"/>
  <c r="AM14" i="446" l="1"/>
  <c r="AF15" i="446"/>
  <c r="AG15" i="446" s="1"/>
  <c r="AJ15" i="446" s="1"/>
  <c r="AS15" i="446"/>
  <c r="AE15" i="446"/>
  <c r="AT15" i="446" l="1"/>
  <c r="AD16" i="446"/>
  <c r="AH15" i="446"/>
  <c r="AI15" i="446" s="1"/>
  <c r="AK15" i="446" s="1"/>
  <c r="AY14" i="446"/>
  <c r="BD14" i="446"/>
  <c r="AM15" i="446" l="1"/>
  <c r="AF16" i="446"/>
  <c r="AS16" i="446"/>
  <c r="AE16" i="446"/>
  <c r="AD17" i="446" l="1"/>
  <c r="AH16" i="446"/>
  <c r="AI16" i="446" s="1"/>
  <c r="AK16" i="446" s="1"/>
  <c r="AT16" i="446"/>
  <c r="AG16" i="446"/>
  <c r="AJ16" i="446" s="1"/>
  <c r="BD15" i="446"/>
  <c r="AY15" i="446"/>
  <c r="AM16" i="446" l="1"/>
  <c r="AF17" i="446"/>
  <c r="AS17" i="446"/>
  <c r="AE17" i="446"/>
  <c r="AH17" i="446" l="1"/>
  <c r="AI17" i="446" s="1"/>
  <c r="AK17" i="446" s="1"/>
  <c r="AT17" i="446"/>
  <c r="AD18" i="446"/>
  <c r="AG17" i="446"/>
  <c r="AJ17" i="446" s="1"/>
  <c r="BD16" i="446"/>
  <c r="AY16" i="446"/>
  <c r="AM17" i="446" l="1"/>
  <c r="BD17" i="446" s="1"/>
  <c r="AF18" i="446"/>
  <c r="AS18" i="446"/>
  <c r="AE18" i="446"/>
  <c r="AY17" i="446" l="1"/>
  <c r="AD19" i="446"/>
  <c r="AH18" i="446"/>
  <c r="AI18" i="446" s="1"/>
  <c r="AK18" i="446" s="1"/>
  <c r="AT18" i="446"/>
  <c r="AG18" i="446"/>
  <c r="AJ18" i="446" s="1"/>
  <c r="AM18" i="446" l="1"/>
  <c r="AF19" i="446"/>
  <c r="AE19" i="446"/>
  <c r="AS19" i="446"/>
  <c r="AD20" i="446" l="1"/>
  <c r="AH19" i="446"/>
  <c r="AI19" i="446" s="1"/>
  <c r="AK19" i="446" s="1"/>
  <c r="AT19" i="446"/>
  <c r="AG19" i="446"/>
  <c r="AJ19" i="446" s="1"/>
  <c r="BD18" i="446"/>
  <c r="AY18" i="446"/>
  <c r="AM19" i="446" l="1"/>
  <c r="AY19" i="446" s="1"/>
  <c r="AS20" i="446"/>
  <c r="AE20" i="446"/>
  <c r="AF20" i="446"/>
  <c r="AG20" i="446" s="1"/>
  <c r="AJ20" i="446" s="1"/>
  <c r="BD19" i="446" l="1"/>
  <c r="AH20" i="446"/>
  <c r="AD21" i="446"/>
  <c r="AT20" i="446"/>
  <c r="AI20" i="446" l="1"/>
  <c r="AK20" i="446" s="1"/>
  <c r="AM20" i="446" s="1"/>
  <c r="AS21" i="446"/>
  <c r="AE21" i="446"/>
  <c r="AF21" i="446"/>
  <c r="AG21" i="446" s="1"/>
  <c r="AJ21" i="446" s="1"/>
  <c r="AY20" i="446" l="1"/>
  <c r="BD20" i="446"/>
  <c r="AD22" i="446"/>
  <c r="AH21" i="446"/>
  <c r="AT21" i="446"/>
  <c r="AI21" i="446" l="1"/>
  <c r="AK21" i="446" s="1"/>
  <c r="AM21" i="446" s="1"/>
  <c r="AF22" i="446"/>
  <c r="AS22" i="446"/>
  <c r="AE22" i="446"/>
  <c r="BD21" i="446" l="1"/>
  <c r="AY21" i="446"/>
  <c r="AD23" i="446"/>
  <c r="AH22" i="446"/>
  <c r="AI22" i="446" s="1"/>
  <c r="AK22" i="446" s="1"/>
  <c r="AT22" i="446"/>
  <c r="AG22" i="446"/>
  <c r="AJ22" i="446" s="1"/>
  <c r="AM22" i="446" l="1"/>
  <c r="AS23" i="446"/>
  <c r="AE23" i="446"/>
  <c r="AF23" i="446"/>
  <c r="AD24" i="446" l="1"/>
  <c r="AT23" i="446"/>
  <c r="AH23" i="446"/>
  <c r="AI23" i="446" s="1"/>
  <c r="AK23" i="446" s="1"/>
  <c r="AG23" i="446"/>
  <c r="AJ23" i="446" s="1"/>
  <c r="AY22" i="446"/>
  <c r="BD22" i="446"/>
  <c r="AM23" i="446" l="1"/>
  <c r="AF24" i="446"/>
  <c r="AE24" i="446"/>
  <c r="AS24" i="446"/>
  <c r="AD25" i="446" l="1"/>
  <c r="AH24" i="446"/>
  <c r="AI24" i="446" s="1"/>
  <c r="AK24" i="446" s="1"/>
  <c r="AT24" i="446"/>
  <c r="AG24" i="446"/>
  <c r="AJ24" i="446" s="1"/>
  <c r="BD23" i="446"/>
  <c r="AY23" i="446"/>
  <c r="AM24" i="446" l="1"/>
  <c r="AF25" i="446"/>
  <c r="AG25" i="446" s="1"/>
  <c r="AJ25" i="446" s="1"/>
  <c r="AS25" i="446"/>
  <c r="AE25" i="446"/>
  <c r="AT25" i="446" l="1"/>
  <c r="AD26" i="446"/>
  <c r="AH25" i="446"/>
  <c r="AI25" i="446" s="1"/>
  <c r="AK25" i="446" s="1"/>
  <c r="AY24" i="446"/>
  <c r="BD24" i="446"/>
  <c r="AM25" i="446" l="1"/>
  <c r="AF26" i="446"/>
  <c r="AS26" i="446"/>
  <c r="AE26" i="446"/>
  <c r="AG26" i="446" l="1"/>
  <c r="AJ26" i="446" s="1"/>
  <c r="AD27" i="446"/>
  <c r="AT26" i="446"/>
  <c r="AH26" i="446"/>
  <c r="AI26" i="446" s="1"/>
  <c r="AK26" i="446" s="1"/>
  <c r="AY25" i="446"/>
  <c r="BD25" i="446"/>
  <c r="AM26" i="446" l="1"/>
  <c r="AF27" i="446"/>
  <c r="AS27" i="446"/>
  <c r="AE27" i="446"/>
  <c r="AG27" i="446" l="1"/>
  <c r="AJ27" i="446" s="1"/>
  <c r="AH27" i="446"/>
  <c r="AI27" i="446" s="1"/>
  <c r="AK27" i="446" s="1"/>
  <c r="AT27" i="446"/>
  <c r="AD28" i="446"/>
  <c r="BD26" i="446"/>
  <c r="AY26" i="446"/>
  <c r="AM27" i="446" l="1"/>
  <c r="BD27" i="446" s="1"/>
  <c r="AF28" i="446"/>
  <c r="AS28" i="446"/>
  <c r="AE28" i="446"/>
  <c r="AY27" i="446" l="1"/>
  <c r="AD29" i="446"/>
  <c r="AH28" i="446"/>
  <c r="AI28" i="446" s="1"/>
  <c r="AK28" i="446" s="1"/>
  <c r="AT28" i="446"/>
  <c r="AG28" i="446"/>
  <c r="AJ28" i="446" s="1"/>
  <c r="AM28" i="446" l="1"/>
  <c r="BD28" i="446" s="1"/>
  <c r="AF29" i="446"/>
  <c r="AE29" i="446"/>
  <c r="AS29" i="446"/>
  <c r="AY28" i="446" l="1"/>
  <c r="AD30" i="446"/>
  <c r="AH29" i="446"/>
  <c r="AI29" i="446" s="1"/>
  <c r="AK29" i="446" s="1"/>
  <c r="AT29" i="446"/>
  <c r="AG29" i="446"/>
  <c r="AJ29" i="446" s="1"/>
  <c r="AM29" i="446" l="1"/>
  <c r="AY29" i="446" s="1"/>
  <c r="AS30" i="446"/>
  <c r="AE30" i="446"/>
  <c r="AF30" i="446"/>
  <c r="BD29" i="446" l="1"/>
  <c r="AG30" i="446"/>
  <c r="AJ30" i="446" s="1"/>
  <c r="AD31" i="446"/>
  <c r="AH30" i="446"/>
  <c r="AI30" i="446" s="1"/>
  <c r="AK30" i="446" s="1"/>
  <c r="AT30" i="446"/>
  <c r="AM30" i="446" l="1"/>
  <c r="AF31" i="446"/>
  <c r="AG31" i="446" s="1"/>
  <c r="AJ31" i="446" s="1"/>
  <c r="AS31" i="446"/>
  <c r="AE31" i="446"/>
  <c r="AD32" i="446" l="1"/>
  <c r="AH31" i="446"/>
  <c r="AI31" i="446" s="1"/>
  <c r="AK31" i="446" s="1"/>
  <c r="AM31" i="446" s="1"/>
  <c r="AT31" i="446"/>
  <c r="BD30" i="446"/>
  <c r="AY30" i="446"/>
  <c r="AY31" i="446" l="1"/>
  <c r="BD31" i="446"/>
  <c r="AF32" i="446"/>
  <c r="AS32" i="446"/>
  <c r="AE32" i="446"/>
  <c r="AT32" i="446" l="1"/>
  <c r="AD33" i="446"/>
  <c r="AH32" i="446"/>
  <c r="AI32" i="446" s="1"/>
  <c r="AK32" i="446" s="1"/>
  <c r="AG32" i="446"/>
  <c r="AJ32" i="446" s="1"/>
  <c r="AM32" i="446" l="1"/>
  <c r="BD32" i="446" s="1"/>
  <c r="AF33" i="446"/>
  <c r="AS33" i="446"/>
  <c r="AE33" i="446"/>
  <c r="AY32" i="446" l="1"/>
  <c r="AH33" i="446"/>
  <c r="AI33" i="446" s="1"/>
  <c r="AK33" i="446" s="1"/>
  <c r="AT33" i="446"/>
  <c r="AD34" i="446"/>
  <c r="AG33" i="446"/>
  <c r="AJ33" i="446" s="1"/>
  <c r="AM33" i="446" l="1"/>
  <c r="BD33" i="446" s="1"/>
  <c r="AF34" i="446"/>
  <c r="AS34" i="446"/>
  <c r="AE34" i="446"/>
  <c r="AY33" i="446" l="1"/>
  <c r="AD35" i="446"/>
  <c r="AH34" i="446"/>
  <c r="AI34" i="446" s="1"/>
  <c r="AK34" i="446" s="1"/>
  <c r="AT34" i="446"/>
  <c r="AG34" i="446"/>
  <c r="AJ34" i="446" s="1"/>
  <c r="AM34" i="446" l="1"/>
  <c r="AF35" i="446"/>
  <c r="AS35" i="446"/>
  <c r="AE35" i="446"/>
  <c r="AG35" i="446" l="1"/>
  <c r="AJ35" i="446" s="1"/>
  <c r="AD36" i="446"/>
  <c r="AH35" i="446"/>
  <c r="AI35" i="446" s="1"/>
  <c r="AK35" i="446" s="1"/>
  <c r="AT35" i="446"/>
  <c r="BD34" i="446"/>
  <c r="AY34" i="446"/>
  <c r="AM35" i="446" l="1"/>
  <c r="AS36" i="446"/>
  <c r="AE36" i="446"/>
  <c r="AF36" i="446"/>
  <c r="AD37" i="446" l="1"/>
  <c r="AH36" i="446"/>
  <c r="AI36" i="446" s="1"/>
  <c r="AK36" i="446" s="1"/>
  <c r="AT36" i="446"/>
  <c r="AG36" i="446"/>
  <c r="AJ36" i="446" s="1"/>
  <c r="BD35" i="446"/>
  <c r="AY35" i="446"/>
  <c r="AM36" i="446" l="1"/>
  <c r="AF37" i="446"/>
  <c r="AG37" i="446" s="1"/>
  <c r="AJ37" i="446" s="1"/>
  <c r="AS37" i="446"/>
  <c r="AE37" i="446"/>
  <c r="AT37" i="446" l="1"/>
  <c r="AD38" i="446"/>
  <c r="AH37" i="446"/>
  <c r="AI37" i="446" s="1"/>
  <c r="AK37" i="446" s="1"/>
  <c r="AY36" i="446"/>
  <c r="BD36" i="446"/>
  <c r="AM37" i="446" l="1"/>
  <c r="AF38" i="446"/>
  <c r="AS38" i="446"/>
  <c r="AE38" i="446"/>
  <c r="AG38" i="446" l="1"/>
  <c r="AJ38" i="446" s="1"/>
  <c r="AD39" i="446"/>
  <c r="AT38" i="446"/>
  <c r="AH38" i="446"/>
  <c r="AI38" i="446" s="1"/>
  <c r="AK38" i="446" s="1"/>
  <c r="AY37" i="446"/>
  <c r="BD37" i="446"/>
  <c r="AM38" i="446" l="1"/>
  <c r="AF39" i="446"/>
  <c r="AS39" i="446"/>
  <c r="AE39" i="446"/>
  <c r="AH39" i="446" l="1"/>
  <c r="AI39" i="446" s="1"/>
  <c r="AK39" i="446" s="1"/>
  <c r="AT39" i="446"/>
  <c r="AD40" i="446"/>
  <c r="AG39" i="446"/>
  <c r="AJ39" i="446" s="1"/>
  <c r="BD38" i="446"/>
  <c r="AY38" i="446"/>
  <c r="AM39" i="446" l="1"/>
  <c r="BD39" i="446" s="1"/>
  <c r="AF40" i="446"/>
  <c r="AS40" i="446"/>
  <c r="AE40" i="446"/>
  <c r="AY39" i="446" l="1"/>
  <c r="AD41" i="446"/>
  <c r="AH40" i="446"/>
  <c r="AI40" i="446" s="1"/>
  <c r="AK40" i="446" s="1"/>
  <c r="AT40" i="446"/>
  <c r="AG40" i="446"/>
  <c r="AJ40" i="446" s="1"/>
  <c r="AM40" i="446" l="1"/>
  <c r="AF41" i="446"/>
  <c r="AS41" i="446"/>
  <c r="AE41" i="446"/>
  <c r="AD42" i="446" l="1"/>
  <c r="AH41" i="446"/>
  <c r="AI41" i="446" s="1"/>
  <c r="AK41" i="446" s="1"/>
  <c r="AT41" i="446"/>
  <c r="AG41" i="446"/>
  <c r="AJ41" i="446" s="1"/>
  <c r="BD40" i="446"/>
  <c r="AY40" i="446"/>
  <c r="AM41" i="446" l="1"/>
  <c r="AS42" i="446"/>
  <c r="AE42" i="446"/>
  <c r="AF42" i="446"/>
  <c r="AG42" i="446" s="1"/>
  <c r="AJ42" i="446" s="1"/>
  <c r="AD43" i="446" l="1"/>
  <c r="AH42" i="446"/>
  <c r="AT42" i="446"/>
  <c r="AY41" i="446"/>
  <c r="BD41" i="446"/>
  <c r="AF43" i="446" l="1"/>
  <c r="AG43" i="446" s="1"/>
  <c r="AJ43" i="446" s="1"/>
  <c r="AS43" i="446"/>
  <c r="AE43" i="446"/>
  <c r="AI42" i="446"/>
  <c r="AK42" i="446" s="1"/>
  <c r="AM42" i="446" s="1"/>
  <c r="BD42" i="446" l="1"/>
  <c r="AY42" i="446"/>
  <c r="AD44" i="446"/>
  <c r="AH43" i="446"/>
  <c r="AT43" i="446"/>
  <c r="AI43" i="446" l="1"/>
  <c r="AK43" i="446" s="1"/>
  <c r="AM43" i="446" s="1"/>
  <c r="AF44" i="446"/>
  <c r="AS44" i="446"/>
  <c r="AE44" i="446"/>
  <c r="AY43" i="446" l="1"/>
  <c r="BD43" i="446"/>
  <c r="AG44" i="446"/>
  <c r="AJ44" i="446" s="1"/>
  <c r="AT44" i="446"/>
  <c r="AD45" i="446"/>
  <c r="AH44" i="446"/>
  <c r="AI44" i="446" s="1"/>
  <c r="AK44" i="446" s="1"/>
  <c r="AM44" i="446" l="1"/>
  <c r="AF45" i="446"/>
  <c r="AS45" i="446"/>
  <c r="AE45" i="446"/>
  <c r="AH45" i="446" l="1"/>
  <c r="AI45" i="446" s="1"/>
  <c r="AK45" i="446" s="1"/>
  <c r="AT45" i="446"/>
  <c r="AD46" i="446"/>
  <c r="AG45" i="446"/>
  <c r="AJ45" i="446" s="1"/>
  <c r="BD44" i="446"/>
  <c r="AY44" i="446"/>
  <c r="AM45" i="446" l="1"/>
  <c r="BD45" i="446" s="1"/>
  <c r="AF46" i="446"/>
  <c r="AS46" i="446"/>
  <c r="AE46" i="446"/>
  <c r="AY45" i="446" l="1"/>
  <c r="AD47" i="446"/>
  <c r="AH46" i="446"/>
  <c r="AI46" i="446" s="1"/>
  <c r="AK46" i="446" s="1"/>
  <c r="AT46" i="446"/>
  <c r="AG46" i="446"/>
  <c r="AJ46" i="446" s="1"/>
  <c r="AM46" i="446" l="1"/>
  <c r="AF47" i="446"/>
  <c r="AS47" i="446"/>
  <c r="AE47" i="446"/>
  <c r="AG47" i="446" l="1"/>
  <c r="AJ47" i="446" s="1"/>
  <c r="AD48" i="446"/>
  <c r="AH47" i="446"/>
  <c r="AI47" i="446" s="1"/>
  <c r="AK47" i="446" s="1"/>
  <c r="AT47" i="446"/>
  <c r="BD46" i="446"/>
  <c r="AY46" i="446"/>
  <c r="AM47" i="446" l="1"/>
  <c r="AS48" i="446"/>
  <c r="AE48" i="446"/>
  <c r="AF48" i="446"/>
  <c r="AG48" i="446" s="1"/>
  <c r="AJ48" i="446" s="1"/>
  <c r="AD49" i="446" l="1"/>
  <c r="AH48" i="446"/>
  <c r="AI48" i="446" s="1"/>
  <c r="AK48" i="446" s="1"/>
  <c r="AM48" i="446" s="1"/>
  <c r="AT48" i="446"/>
  <c r="BD47" i="446"/>
  <c r="AY47" i="446"/>
  <c r="AY48" i="446" l="1"/>
  <c r="BD48" i="446"/>
  <c r="AF49" i="446"/>
  <c r="AG49" i="446" s="1"/>
  <c r="AJ49" i="446" s="1"/>
  <c r="AS49" i="446"/>
  <c r="AE49" i="446"/>
  <c r="AT49" i="446" l="1"/>
  <c r="AD50" i="446"/>
  <c r="AH49" i="446"/>
  <c r="AI49" i="446" l="1"/>
  <c r="AK49" i="446" s="1"/>
  <c r="AM49" i="446" s="1"/>
  <c r="AF50" i="446"/>
  <c r="AS50" i="446"/>
  <c r="AE50" i="446"/>
  <c r="AY49" i="446" l="1"/>
  <c r="BD49" i="446"/>
  <c r="AG50" i="446"/>
  <c r="AJ50" i="446" s="1"/>
  <c r="AD51" i="446"/>
  <c r="AT50" i="446"/>
  <c r="AH50" i="446"/>
  <c r="AI50" i="446" s="1"/>
  <c r="AK50" i="446" s="1"/>
  <c r="AM50" i="446" l="1"/>
  <c r="AF51" i="446"/>
  <c r="AS51" i="446"/>
  <c r="AE51" i="446"/>
  <c r="AH51" i="446" l="1"/>
  <c r="AI51" i="446" s="1"/>
  <c r="AK51" i="446" s="1"/>
  <c r="AT51" i="446"/>
  <c r="AD52" i="446"/>
  <c r="AG51" i="446"/>
  <c r="AJ51" i="446" s="1"/>
  <c r="BD50" i="446"/>
  <c r="AY50" i="446"/>
  <c r="AM51" i="446" l="1"/>
  <c r="BD51" i="446" s="1"/>
  <c r="AF52" i="446"/>
  <c r="AS52" i="446"/>
  <c r="AE52" i="446"/>
  <c r="AY51" i="446" l="1"/>
  <c r="AD53" i="446"/>
  <c r="AH52" i="446"/>
  <c r="AI52" i="446" s="1"/>
  <c r="AK52" i="446" s="1"/>
  <c r="AT52" i="446"/>
  <c r="AG52" i="446"/>
  <c r="AJ52" i="446" s="1"/>
  <c r="AM52" i="446" l="1"/>
  <c r="AF53" i="446"/>
  <c r="AS53" i="446"/>
  <c r="AE53" i="446"/>
  <c r="AG53" i="446" l="1"/>
  <c r="AJ53" i="446" s="1"/>
  <c r="AD54" i="446"/>
  <c r="AH53" i="446"/>
  <c r="AI53" i="446" s="1"/>
  <c r="AK53" i="446" s="1"/>
  <c r="AT53" i="446"/>
  <c r="BD52" i="446"/>
  <c r="AY52" i="446"/>
  <c r="AM53" i="446" l="1"/>
  <c r="AS54" i="446"/>
  <c r="AE54" i="446"/>
  <c r="AF54" i="446"/>
  <c r="AD55" i="446" l="1"/>
  <c r="AH54" i="446"/>
  <c r="AI54" i="446" s="1"/>
  <c r="AK54" i="446" s="1"/>
  <c r="AT54" i="446"/>
  <c r="AG54" i="446"/>
  <c r="AJ54" i="446" s="1"/>
  <c r="AY53" i="446"/>
  <c r="BD53" i="446"/>
  <c r="AM54" i="446" l="1"/>
  <c r="BD54" i="446" s="1"/>
  <c r="AF55" i="446"/>
  <c r="AG55" i="446" s="1"/>
  <c r="AJ55" i="446" s="1"/>
  <c r="AS55" i="446"/>
  <c r="AE55" i="446"/>
  <c r="AY54" i="446" l="1"/>
  <c r="AD56" i="446"/>
  <c r="AH55" i="446"/>
  <c r="AI55" i="446" s="1"/>
  <c r="AK55" i="446" s="1"/>
  <c r="AM55" i="446" s="1"/>
  <c r="AT55" i="446"/>
  <c r="AY55" i="446" l="1"/>
  <c r="BD55" i="446"/>
  <c r="AF56" i="446"/>
  <c r="AS56" i="446"/>
  <c r="AE56" i="446"/>
  <c r="AT56" i="446" l="1"/>
  <c r="AD57" i="446"/>
  <c r="AH56" i="446"/>
  <c r="AI56" i="446" s="1"/>
  <c r="AK56" i="446" s="1"/>
  <c r="AG56" i="446"/>
  <c r="AJ56" i="446" s="1"/>
  <c r="AM56" i="446" l="1"/>
  <c r="AF57" i="446"/>
  <c r="AS57" i="446"/>
  <c r="AE57" i="446"/>
  <c r="AG57" i="446" l="1"/>
  <c r="AJ57" i="446" s="1"/>
  <c r="AH57" i="446"/>
  <c r="AI57" i="446" s="1"/>
  <c r="AK57" i="446" s="1"/>
  <c r="AT57" i="446"/>
  <c r="AD58" i="446"/>
  <c r="BD56" i="446"/>
  <c r="AY56" i="446"/>
  <c r="AM57" i="446" l="1"/>
  <c r="BD57" i="446" s="1"/>
  <c r="AF58" i="446"/>
  <c r="AS58" i="446"/>
  <c r="AE58" i="446"/>
  <c r="AY57" i="446" l="1"/>
  <c r="AD59" i="446"/>
  <c r="AH58" i="446"/>
  <c r="AI58" i="446" s="1"/>
  <c r="AK58" i="446" s="1"/>
  <c r="AT58" i="446"/>
  <c r="AG58" i="446"/>
  <c r="AJ58" i="446" s="1"/>
  <c r="AM58" i="446" l="1"/>
  <c r="AF59" i="446"/>
  <c r="AS59" i="446"/>
  <c r="AE59" i="446"/>
  <c r="AD60" i="446" l="1"/>
  <c r="AH59" i="446"/>
  <c r="AI59" i="446" s="1"/>
  <c r="AK59" i="446" s="1"/>
  <c r="AT59" i="446"/>
  <c r="AG59" i="446"/>
  <c r="AJ59" i="446" s="1"/>
  <c r="BD58" i="446"/>
  <c r="AY58" i="446"/>
  <c r="AM59" i="446" l="1"/>
  <c r="AS60" i="446"/>
  <c r="AE60" i="446"/>
  <c r="AF60" i="446"/>
  <c r="AD61" i="446" l="1"/>
  <c r="AH60" i="446"/>
  <c r="AI60" i="446" s="1"/>
  <c r="AK60" i="446" s="1"/>
  <c r="AT60" i="446"/>
  <c r="AG60" i="446"/>
  <c r="AJ60" i="446" s="1"/>
  <c r="BD59" i="446"/>
  <c r="AY59" i="446"/>
  <c r="AM60" i="446" l="1"/>
  <c r="AY60" i="446" s="1"/>
  <c r="AF61" i="446"/>
  <c r="AG61" i="446" s="1"/>
  <c r="AJ61" i="446" s="1"/>
  <c r="AS61" i="446"/>
  <c r="AE61" i="446"/>
  <c r="BD60" i="446" l="1"/>
  <c r="AT61" i="446"/>
  <c r="AD62" i="446"/>
  <c r="AH61" i="446"/>
  <c r="AI61" i="446" s="1"/>
  <c r="AK61" i="446" s="1"/>
  <c r="AM61" i="446" l="1"/>
  <c r="AF62" i="446"/>
  <c r="AS62" i="446"/>
  <c r="AE62" i="446"/>
  <c r="AG62" i="446" l="1"/>
  <c r="AJ62" i="446" s="1"/>
  <c r="AD63" i="446"/>
  <c r="AT62" i="446"/>
  <c r="AH62" i="446"/>
  <c r="AI62" i="446" s="1"/>
  <c r="AK62" i="446" s="1"/>
  <c r="AY61" i="446"/>
  <c r="BD61" i="446"/>
  <c r="AM62" i="446" l="1"/>
  <c r="AF63" i="446"/>
  <c r="AS63" i="446"/>
  <c r="AE63" i="446"/>
  <c r="AH63" i="446" l="1"/>
  <c r="AI63" i="446" s="1"/>
  <c r="AK63" i="446" s="1"/>
  <c r="AT63" i="446"/>
  <c r="AD64" i="446"/>
  <c r="AG63" i="446"/>
  <c r="AJ63" i="446" s="1"/>
  <c r="BD62" i="446"/>
  <c r="AY62" i="446"/>
  <c r="AM63" i="446" l="1"/>
  <c r="BD63" i="446" s="1"/>
  <c r="AF64" i="446"/>
  <c r="AS64" i="446"/>
  <c r="AE64" i="446"/>
  <c r="AY63" i="446" l="1"/>
  <c r="AH64" i="446"/>
  <c r="AI64" i="446" s="1"/>
  <c r="AK64" i="446" s="1"/>
  <c r="AT64" i="446"/>
  <c r="AG64" i="446"/>
  <c r="AJ64" i="446" s="1"/>
  <c r="AM64" i="446" l="1"/>
  <c r="BD64" i="446" s="1"/>
  <c r="AY64" i="446" l="1"/>
</calcChain>
</file>

<file path=xl/sharedStrings.xml><?xml version="1.0" encoding="utf-8"?>
<sst xmlns="http://schemas.openxmlformats.org/spreadsheetml/2006/main" count="674" uniqueCount="292">
  <si>
    <t>Вид дефекта</t>
  </si>
  <si>
    <r>
      <t xml:space="preserve">Значение показателя </t>
    </r>
    <r>
      <rPr>
        <b/>
        <sz val="16"/>
        <color rgb="FF003366"/>
        <rFont val="Arial"/>
        <family val="2"/>
        <charset val="204"/>
      </rPr>
      <t>ρ</t>
    </r>
    <r>
      <rPr>
        <b/>
        <sz val="12"/>
        <color rgb="FF003366"/>
        <rFont val="Arial"/>
        <family val="2"/>
        <charset val="204"/>
      </rPr>
      <t xml:space="preserve"> при типе дорожных одежд</t>
    </r>
  </si>
  <si>
    <t>Оценка в баллах</t>
  </si>
  <si>
    <t>Усовершен- ствованные капитальные</t>
  </si>
  <si>
    <t>Усовершен- ствованные облегченные</t>
  </si>
  <si>
    <t>Переходные</t>
  </si>
  <si>
    <t xml:space="preserve">без дефектов; </t>
  </si>
  <si>
    <t>без деф</t>
  </si>
  <si>
    <t xml:space="preserve">поперечные одиночные трещины на расстоянии 20-40 м между трещинами; </t>
  </si>
  <si>
    <t>пт2040</t>
  </si>
  <si>
    <t xml:space="preserve">поперечные одиночные трещины на расстоянии 10-20 м; </t>
  </si>
  <si>
    <t>пт1020</t>
  </si>
  <si>
    <t xml:space="preserve">поперечные редкие трещины на расстоянии 8-10 м; </t>
  </si>
  <si>
    <t>пт810</t>
  </si>
  <si>
    <t xml:space="preserve">поперечные редкие трещины на расстоянии 6-8 м; </t>
  </si>
  <si>
    <t>пт68</t>
  </si>
  <si>
    <t xml:space="preserve">поперечные редкие трещины на расстоянии 4-6 м; </t>
  </si>
  <si>
    <t>пт46</t>
  </si>
  <si>
    <t xml:space="preserve">поперечные частые трещины на расстоянии 3-4 м; </t>
  </si>
  <si>
    <t>-</t>
  </si>
  <si>
    <t>пт34</t>
  </si>
  <si>
    <t xml:space="preserve">поперечные частые трещины на расстоянии 2-3 м; </t>
  </si>
  <si>
    <t>пт23</t>
  </si>
  <si>
    <t xml:space="preserve">поперечные частые трещины на расстоянии 1-2 м; </t>
  </si>
  <si>
    <t>пт12</t>
  </si>
  <si>
    <t xml:space="preserve">продольная центральная трещина; </t>
  </si>
  <si>
    <t>по</t>
  </si>
  <si>
    <t xml:space="preserve">продольные боковые трещины; </t>
  </si>
  <si>
    <t>пб</t>
  </si>
  <si>
    <t xml:space="preserve">одиночная сетка трещин на площади до 10 м с крупными ячейками (сторона ячейки более 0,5 м); </t>
  </si>
  <si>
    <t>одкр</t>
  </si>
  <si>
    <t xml:space="preserve">одиночная сетка трещин на площади до 10 м с мелкими ячейками (сторона ячейки менее 0,5 м); </t>
  </si>
  <si>
    <t>одмел</t>
  </si>
  <si>
    <t xml:space="preserve">густая сетка трещин на площади до 10 м; </t>
  </si>
  <si>
    <t>гсет</t>
  </si>
  <si>
    <t xml:space="preserve">сетка трещин на площади более 10м при относительной площади, занимаемой сеткой, 30-10%; </t>
  </si>
  <si>
    <t>мс30</t>
  </si>
  <si>
    <t xml:space="preserve">сетка трещин на площади более 10м при относительной площади, 60-30%; </t>
  </si>
  <si>
    <t>мс60</t>
  </si>
  <si>
    <t xml:space="preserve">сетка трещин на площади более 10м при относительной площади, 90-60%; </t>
  </si>
  <si>
    <t>мс90</t>
  </si>
  <si>
    <t xml:space="preserve">колейность при средней глубине колеи до 10 мм; </t>
  </si>
  <si>
    <t>кол10</t>
  </si>
  <si>
    <t xml:space="preserve">колейность при средней глубине колеи 10-20 мм; </t>
  </si>
  <si>
    <t>кол20</t>
  </si>
  <si>
    <t xml:space="preserve">колейность при средней глубине колеи 20-30 мм; </t>
  </si>
  <si>
    <t>кол30</t>
  </si>
  <si>
    <t xml:space="preserve">колейность при средней глубине колеи 30-40 мм; </t>
  </si>
  <si>
    <t>кол40</t>
  </si>
  <si>
    <t xml:space="preserve">колейность при средней глубине колеи 40-50 мм; </t>
  </si>
  <si>
    <t>кол50</t>
  </si>
  <si>
    <t xml:space="preserve">колейность при средней глубине колеи 50-70 мм; </t>
  </si>
  <si>
    <t>кол70</t>
  </si>
  <si>
    <t xml:space="preserve">колейность при средней глубине колеи более 70 мм; </t>
  </si>
  <si>
    <t>кол80</t>
  </si>
  <si>
    <t xml:space="preserve">просадки (пучины) при относительной площади просадок 20-10%; </t>
  </si>
  <si>
    <t>прос10</t>
  </si>
  <si>
    <t xml:space="preserve">просадки (пучины) при относительной площади просадок 50-20%; </t>
  </si>
  <si>
    <t>прос20</t>
  </si>
  <si>
    <t xml:space="preserve">просадки (пучины) при относительной площади просадок более 50%; </t>
  </si>
  <si>
    <t>прос50</t>
  </si>
  <si>
    <t xml:space="preserve">проломы дорожной одежды (вскрывшиеся пучины) при относительной площади, занимаемой проломами, 10-5%; </t>
  </si>
  <si>
    <t>прол5</t>
  </si>
  <si>
    <t xml:space="preserve">проломы дорожной одежды (вскрывшиеся пучины) при относительной площади, занимаемой проломами, 30-10%; </t>
  </si>
  <si>
    <t>прол10</t>
  </si>
  <si>
    <t xml:space="preserve">проломы дорожной одежды (вскрывшиеся пучины) при относительной площади, занимаемой проломами, более 30%; </t>
  </si>
  <si>
    <t>прол30</t>
  </si>
  <si>
    <t xml:space="preserve">одиночные выбоины на расстоянии более 20 м; </t>
  </si>
  <si>
    <t>одвыб</t>
  </si>
  <si>
    <t xml:space="preserve">отдельные выбоины на расстоянии 10-20 м; </t>
  </si>
  <si>
    <t>отвыб</t>
  </si>
  <si>
    <t xml:space="preserve">редкие выбоины на расстоянии 4-10 м; </t>
  </si>
  <si>
    <t>рвыб</t>
  </si>
  <si>
    <t xml:space="preserve">частые выбоины на расстоянии 1-4 м; </t>
  </si>
  <si>
    <t>чвыб</t>
  </si>
  <si>
    <t xml:space="preserve">карты заделанных выбоин, залитые трещины; </t>
  </si>
  <si>
    <t>кар</t>
  </si>
  <si>
    <t xml:space="preserve">поперечные волны, сдвиги; </t>
  </si>
  <si>
    <t>вол</t>
  </si>
  <si>
    <t>пгс</t>
  </si>
  <si>
    <t>Ширина</t>
  </si>
  <si>
    <t>Покрытие</t>
  </si>
  <si>
    <t>Тип ДО</t>
  </si>
  <si>
    <t>Категория</t>
  </si>
  <si>
    <t>III</t>
  </si>
  <si>
    <t>Бср</t>
  </si>
  <si>
    <t>Прот ПГС; грунт</t>
  </si>
  <si>
    <t>IV</t>
  </si>
  <si>
    <t>фото</t>
  </si>
  <si>
    <t>грунт</t>
  </si>
  <si>
    <t>Протяженность</t>
  </si>
  <si>
    <t>II</t>
  </si>
  <si>
    <t>V</t>
  </si>
  <si>
    <t>I-а</t>
  </si>
  <si>
    <t>I-б</t>
  </si>
  <si>
    <t>Начало, км</t>
  </si>
  <si>
    <t>грул</t>
  </si>
  <si>
    <t>разр аб</t>
  </si>
  <si>
    <t>грунтовая дорога;</t>
  </si>
  <si>
    <t>разрушенный асфальтобетон;</t>
  </si>
  <si>
    <t>песчано-гравийное покрытие;</t>
  </si>
  <si>
    <t>грунтовое улучшенное покрытие;</t>
  </si>
  <si>
    <t>ПГС</t>
  </si>
  <si>
    <t>плиты</t>
  </si>
  <si>
    <t>бетонные плиты</t>
  </si>
  <si>
    <t>гр2040</t>
  </si>
  <si>
    <t>гр1020</t>
  </si>
  <si>
    <t>гр810</t>
  </si>
  <si>
    <t>гр68</t>
  </si>
  <si>
    <t>гр46</t>
  </si>
  <si>
    <t>пг68</t>
  </si>
  <si>
    <t>пг810</t>
  </si>
  <si>
    <t>пг2040</t>
  </si>
  <si>
    <t>пг1020</t>
  </si>
  <si>
    <t>пг46</t>
  </si>
  <si>
    <t>щ2040</t>
  </si>
  <si>
    <t>щ1020</t>
  </si>
  <si>
    <t>щ810</t>
  </si>
  <si>
    <t>щ68</t>
  </si>
  <si>
    <t>щ46</t>
  </si>
  <si>
    <t>Кпр</t>
  </si>
  <si>
    <t>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t>
  </si>
  <si>
    <t>Таким образом, в соответствии с результатами камеральной обработки данных, состояние покрытия дороги является удовлетворительным. При значительном увеличении нагрузки на дорожную одежду без проведения ремонтно-восстановительных мероприятий прогнозируется снижение несущей способности до недопустимых значений. Перед пропуском необходимой нагрузки необходимо устранить дефекты проезжей части, а также включить мероприятия по восстановлению вновь образовавшихся дефектов после проезда нагрузки.</t>
  </si>
  <si>
    <t>Таким образом, в соответствии с результатами камеральной обработки данных, состояние покрытия дороги является неудовлетворительным. Существующие дефекты свидетельствуют о снижении несущей способности основания дорожной одежды, а также о риске разрушения дорожной одежды в случае интенсивного движения грузового транспорта. Перед пропуском необходимой нагрузки необходимо устранить дефекты проезжей части, а также предусмотреть частичное переустройство покрытия после проезда нагрузки.</t>
  </si>
  <si>
    <t>Таким образом, в соответствии с результатами камеральной обработки данных, состояние покрытия дороги является недопустимым. Состояние дорожной одежды не позволяет осуществить интенсивное движение грузового транспорта. Для пропуска необходимой нагрузки необходимо выполнение ремонтно-восстановительных мероприятия по частичному переустройству слоев асфальтобетонных покрытий.</t>
  </si>
  <si>
    <t xml:space="preserve"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</t>
  </si>
  <si>
    <t xml:space="preserve">, средневзвешенного коэффициента прочности – </t>
  </si>
  <si>
    <t xml:space="preserve">. </t>
  </si>
  <si>
    <t>от</t>
  </si>
  <si>
    <t>до</t>
  </si>
  <si>
    <t>№</t>
  </si>
  <si>
    <t>Наименование</t>
  </si>
  <si>
    <t>Фото</t>
  </si>
  <si>
    <t>Принадлежность</t>
  </si>
  <si>
    <t>Используемый участок</t>
  </si>
  <si>
    <t>«»</t>
  </si>
  <si>
    <t>дорога</t>
  </si>
  <si>
    <t>подъезд</t>
  </si>
  <si>
    <t>улица</t>
  </si>
  <si>
    <t>Осевая нагрузка</t>
  </si>
  <si>
    <t>10</t>
  </si>
  <si>
    <t>кт</t>
  </si>
  <si>
    <t xml:space="preserve">косые трещины; </t>
  </si>
  <si>
    <t xml:space="preserve">отдельные выбоины на щебеночном покрытии на расстоянии 20-40 м между выбоинами; </t>
  </si>
  <si>
    <t xml:space="preserve">отдельные выбоины на щебеночном покрытии на расстоянии 10-20 м между выбоинами; </t>
  </si>
  <si>
    <t xml:space="preserve">редкие выбоины на щебеночном покрытии на расстоянии 8-10 м между выбоинами; </t>
  </si>
  <si>
    <t xml:space="preserve">редкие выбоины на щебеночном покрытии на расстоянии 6-8 м между выбоинами; </t>
  </si>
  <si>
    <t xml:space="preserve">редкие выбоины на щебеночном покрытии на расстоянии 4-6 м между выбоинами; </t>
  </si>
  <si>
    <t xml:space="preserve">отдельные выбоины на гравийном покрытии на расстоянии 20-40 м между выбоинами; </t>
  </si>
  <si>
    <t xml:space="preserve">отдельные выбоины на гравийном покрытии на расстоянии 10-20 м между выбоинами; </t>
  </si>
  <si>
    <t xml:space="preserve">редкие выбоины на гравийном покрытии на расстоянии 8-10 м между выбоинами; </t>
  </si>
  <si>
    <t xml:space="preserve">редкие выбоины на гравийном покрытии на расстоянии 6-8 м между выбоинами; </t>
  </si>
  <si>
    <t xml:space="preserve">редкие выбоины на гравийном покрытии на расстоянии 4-6 м между выбоинами; </t>
  </si>
  <si>
    <t xml:space="preserve">отдельные выбоины на песчано-гравийном покрытии на расстоянии 20-40 м между выбоинами; </t>
  </si>
  <si>
    <t xml:space="preserve">отдельные выбоины на песчано-гравийном покрытии на расстоянии 10-20 м между выбоинами; </t>
  </si>
  <si>
    <t xml:space="preserve">редкие выбоины на песчано-гравийном покрытии на расстоянии 8-10 м между выбоинами; </t>
  </si>
  <si>
    <t xml:space="preserve">редкие выбоины на песчано-гравийном покрытии на расстоянии 6-8 м между выбоинами; </t>
  </si>
  <si>
    <t xml:space="preserve">редкие выбоины на песчано-гравийном покрытии на расстоянии 4-6 м между выбоинами; </t>
  </si>
  <si>
    <t>частная</t>
  </si>
  <si>
    <t>федеральная</t>
  </si>
  <si>
    <t>местная</t>
  </si>
  <si>
    <t>облегченная</t>
  </si>
  <si>
    <t>Широта начало</t>
  </si>
  <si>
    <t>Долгота начало</t>
  </si>
  <si>
    <t>Широта конец</t>
  </si>
  <si>
    <t>Долгота конец</t>
  </si>
  <si>
    <t>Для заметок (свои дефекты, дефекты на плитах итд)</t>
  </si>
  <si>
    <t>асф. бет.</t>
  </si>
  <si>
    <t>б.к.</t>
  </si>
  <si>
    <t>грунтовое</t>
  </si>
  <si>
    <t>6</t>
  </si>
  <si>
    <t>асфальтобетон</t>
  </si>
  <si>
    <t>У</t>
  </si>
  <si>
    <t>асф. бет., цементобетон</t>
  </si>
  <si>
    <t>Министерство транспорта Республики Каракалпкстан</t>
  </si>
  <si>
    <t>Северо-Западный подъезд к ст. Мискин</t>
  </si>
  <si>
    <t xml:space="preserve">Подъезд к ж.д. пути № 20 </t>
  </si>
  <si>
    <t>4Р-171 Дорога ведущая в город Туркуль</t>
  </si>
  <si>
    <t>региональная</t>
  </si>
  <si>
    <t>ул. Матнафакова</t>
  </si>
  <si>
    <t>Туркульский район</t>
  </si>
  <si>
    <t>региональной дороги 4Р-171 Дорога ведущая в город Туркуль</t>
  </si>
  <si>
    <t>автодороги "Подъезд к месту разгрузки ст. Туркуль"</t>
  </si>
  <si>
    <t>Подъезд к месту разгрузки ст. Туркуль</t>
  </si>
  <si>
    <t>места разгрузки ж.д. пути общего пользования № 3</t>
  </si>
  <si>
    <t>щебенистый грунт</t>
  </si>
  <si>
    <t>местной дороги "Подъезд к ж.д. пути № 20 "</t>
  </si>
  <si>
    <t>местной дороги "Северо-Западный подъезд к ст. Мискин"</t>
  </si>
  <si>
    <t>ж.д. пути № 20</t>
  </si>
  <si>
    <t>4К96</t>
  </si>
  <si>
    <t>асф. бет</t>
  </si>
  <si>
    <t>Подъезд к восточному карьеру р. Амударья</t>
  </si>
  <si>
    <t>Ургенчский район</t>
  </si>
  <si>
    <t>восточного карьера р. Амударья</t>
  </si>
  <si>
    <t>региональной дороги 4К96</t>
  </si>
  <si>
    <t>Подъезд к карьеру песка № 1</t>
  </si>
  <si>
    <t>IV, б.к.</t>
  </si>
  <si>
    <t>10 / -</t>
  </si>
  <si>
    <t>асф. Бет 1,0 км, щебенистый грунт 1,3 км</t>
  </si>
  <si>
    <t>автодороги 4р161 "Урганч-Чолиш-Беруний-Бустон"</t>
  </si>
  <si>
    <t>карьера №1</t>
  </si>
  <si>
    <t>8</t>
  </si>
  <si>
    <t>9,0-15,0</t>
  </si>
  <si>
    <t>Главное Управление дорог по Хорезмской области</t>
  </si>
  <si>
    <t>III, IV</t>
  </si>
  <si>
    <t>автомобильной дороги "А380 а/йули (662км)дан -Кизилкалъа-Бустон-Гулдурсун-Турткул"</t>
  </si>
  <si>
    <t>ул. Навруз г. Беруни</t>
  </si>
  <si>
    <t>автомобильной дороги "Проезд вдоль промзоны г. Беруни"</t>
  </si>
  <si>
    <t>поворота на ж.б. завод ООО "QIYAT AGRO SERVIS"</t>
  </si>
  <si>
    <t>Проезд вдоль промзоны г. Беруни</t>
  </si>
  <si>
    <t>Берунийский район</t>
  </si>
  <si>
    <t>автомобильной дороги А-380 «Гузор-Бухоро-Нукус-Бейнеу»</t>
  </si>
  <si>
    <t>автомобильной дорогиА-380 «Гузор-Бухоро-Нукус-Бейнеу»</t>
  </si>
  <si>
    <t>автомобильной дороги 4р161 "Урганч-Чолиш-Беруний-Бустон"</t>
  </si>
  <si>
    <t>автомобильной дороги 4К96</t>
  </si>
  <si>
    <t>автомобильной дороги "Подъезд к ст. Караузяк"</t>
  </si>
  <si>
    <t>автомобильной дороги "Подъезд к ст. Мискин"</t>
  </si>
  <si>
    <t>автомобильной дороги "Подъезд к восточному карьеру р. Амударья"</t>
  </si>
  <si>
    <t>автомобильной дороги 4р-171А А-380-Беруний шахрига кириш</t>
  </si>
  <si>
    <t>ул. Навруз</t>
  </si>
  <si>
    <t>ул. Курувчилар</t>
  </si>
  <si>
    <t>автомобильной дороги 4р161 «Урганч-Чолиш-Беруний-Бустон»</t>
  </si>
  <si>
    <t>4н-14 А-380 а/й -У.Жуманиёзов ДФХ
км 0+000 - км 1+200</t>
  </si>
  <si>
    <t>местной дороги "Подъезд к кладбищу г. Беруни"</t>
  </si>
  <si>
    <t>Подъезд к каладбищу г. Беруни</t>
  </si>
  <si>
    <t>автомобильной дороги "4н-14 А-380 а/й -У.Жуманиёзов ДФХ"</t>
  </si>
  <si>
    <t>автомобильной дороги "Подъезд к полигону ТБО г. Беруни"</t>
  </si>
  <si>
    <t>автомобильной дороги "Подъезд к каладбищу г. Беруни"</t>
  </si>
  <si>
    <t>полигона ТБО г. Беруни</t>
  </si>
  <si>
    <t>Подъезд к полигону ТБО г. Беруни</t>
  </si>
  <si>
    <t>3,0-5,0</t>
  </si>
  <si>
    <t>Подъезд к ст. Эликкалла</t>
  </si>
  <si>
    <t>поворота на ж.д. пути общего пользования № 6, 7 ст. Элликкала АО "УзЖД"</t>
  </si>
  <si>
    <t>Подъезд к базе ЧП "Сабир Арат"</t>
  </si>
  <si>
    <t>ЧП "Сабир Арат"</t>
  </si>
  <si>
    <t>местной атомобильной дороги "Подъезд к ст. Эликкалла"</t>
  </si>
  <si>
    <t>базы ЧП "Сабир Арат"</t>
  </si>
  <si>
    <t xml:space="preserve">4р182 А380 а/йули (662км)дан -Кизилкалъа-Бустон-Гулдурсун-Турткул             </t>
  </si>
  <si>
    <t>Подъезд к НРС 17 Элликкала</t>
  </si>
  <si>
    <t>Элликалинский район</t>
  </si>
  <si>
    <t xml:space="preserve">автомобильной дороги 4р182 А380 а/йули (662км)дан -Кизилкалъа-Бустон-Гулдурсун-Турткул         </t>
  </si>
  <si>
    <t>места забора воды НРС №17</t>
  </si>
  <si>
    <t>местной дороги "Подъезд к НРС 17 Элликкала"</t>
  </si>
  <si>
    <t>автомобильной дороги "4р182 А380 а/йули (662км)дан -Кизилкалъа-Бустон-Гулдурсун-Турткул"</t>
  </si>
  <si>
    <t>4н13 4н 103 а/йули (13км)дан Аязкалъа кургонига  а/йули</t>
  </si>
  <si>
    <t>автомобильной дороги 4н 103 а/йули (13км)дан Аязкалъа кургонига  а/йули</t>
  </si>
  <si>
    <t>4Н103 4р 182 а/йули (28км)дан-                   Чайка овули-Гулистон ОФЙга</t>
  </si>
  <si>
    <t>автомобильной дороги "4Н103 4р 182 а/йули (28км)дан-                   Чайка овули-Гулистон ОФЙга"</t>
  </si>
  <si>
    <t>Подъезд к старому карьеру</t>
  </si>
  <si>
    <t>автомобильной дороги "4н13 4н 103 а/йули (13км)дан Аязкалъа кургонига  а/йули"</t>
  </si>
  <si>
    <t>поворота на площадку строителства КС "Элликкала"</t>
  </si>
  <si>
    <t>автодороги "Подъезд к старому карьеру"</t>
  </si>
  <si>
    <t>Подъезд к НРС 18</t>
  </si>
  <si>
    <t>автомобильной дороги 4Н103 "4р 182 а/йули (28км)дан-                   Чайка овули-Гулистон ОФЙга"</t>
  </si>
  <si>
    <t>места забора воды НРС №18</t>
  </si>
  <si>
    <t>Подъезд к ж.д. ст. Караузяк</t>
  </si>
  <si>
    <t>Караузякский район</t>
  </si>
  <si>
    <t>станции Караузяк</t>
  </si>
  <si>
    <t>Подъезд к карьеру ООО "QARAUZAK SHEVEN"</t>
  </si>
  <si>
    <t>Подъезд к карьеру ООО "Road Project Ekspertiza"</t>
  </si>
  <si>
    <t>ООО "Road Project Ekspertiza"</t>
  </si>
  <si>
    <t>ООО "QARAUZAK SHEVEN"</t>
  </si>
  <si>
    <t>ЩПС</t>
  </si>
  <si>
    <t>автомобильной дороги «А-380 «Гузор-Бухоро-Нукус-Бейнеу»</t>
  </si>
  <si>
    <t>карьера ООО "QARAUZAK SHEVEN"</t>
  </si>
  <si>
    <t>карьера ООО "Road Project Ekspertiza"</t>
  </si>
  <si>
    <t>Подъезд к карьеру "Qizilqala-1"</t>
  </si>
  <si>
    <t>ООО "SHOBBOZ TOSH"</t>
  </si>
  <si>
    <t>щщебеночное</t>
  </si>
  <si>
    <t>карьера "Qizilqala-1"</t>
  </si>
  <si>
    <t>У 1</t>
  </si>
  <si>
    <t>А-380 «Гузор-Бухоро-Нукус-Бейнеу»   км 565+929 - км 690+658</t>
  </si>
  <si>
    <t>7,0-15,0</t>
  </si>
  <si>
    <t>цементобетон</t>
  </si>
  <si>
    <t>У 5</t>
  </si>
  <si>
    <t>Пт34</t>
  </si>
  <si>
    <t>ПО</t>
  </si>
  <si>
    <t xml:space="preserve">автодороги А-380 «Гузор-Бухоро-Нукус-Бейнеу»                           </t>
  </si>
  <si>
    <t>У 25</t>
  </si>
  <si>
    <t>У 29</t>
  </si>
  <si>
    <t>У 30</t>
  </si>
  <si>
    <t>5,0/7,0</t>
  </si>
  <si>
    <t>У 37</t>
  </si>
  <si>
    <t>У 100</t>
  </si>
  <si>
    <t>ПТ2040</t>
  </si>
  <si>
    <t>У 101</t>
  </si>
  <si>
    <t>У 102</t>
  </si>
  <si>
    <t>У 103</t>
  </si>
  <si>
    <t>4р-171А А-380-Беруний шахрига кириш
км 7+500 - км 8+000</t>
  </si>
  <si>
    <t>4р-171А А-380-Беруний шахрига кириш
км 0+000 - км 0+900</t>
  </si>
  <si>
    <t>4р161 «Урганч-Чолиш-Беруний-Бустон»
км 13+083 - км 20+809</t>
  </si>
  <si>
    <t>4р161 «Урганч-Чолиш-Беруний-Бустон»
км 22+228 км 43+553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</si>
</sst>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"/>
    <numFmt numFmtId="165" formatCode="0.0"/>
    <numFmt numFmtId="166" formatCode="0.0#########"/>
    <numFmt numFmtId="167" formatCode="0.0000"/>
    <numFmt numFmtId="168" formatCode="General;General;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rgb="FF003366"/>
      <name val="Arial"/>
      <family val="2"/>
      <charset val="204"/>
    </font>
    <font>
      <b/>
      <sz val="16"/>
      <color rgb="FF003366"/>
      <name val="Arial"/>
      <family val="2"/>
      <charset val="204"/>
    </font>
    <font>
      <sz val="13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vertical="center" wrapText="1"/>
    </xf>
    <xf numFmtId="0" fontId="1" fillId="10" borderId="7" xfId="0" applyFont="1" applyFill="1" applyBorder="1" applyAlignment="1">
      <alignment horizontal="center" vertical="center" wrapText="1"/>
    </xf>
    <xf numFmtId="2" fontId="0" fillId="0" borderId="0" xfId="0" applyNumberFormat="1"/>
    <xf numFmtId="0" fontId="1" fillId="11" borderId="16" xfId="0" applyFont="1" applyFill="1" applyBorder="1" applyAlignment="1">
      <alignment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3" fillId="13" borderId="8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vertical="center"/>
      <protection locked="0"/>
    </xf>
    <xf numFmtId="0" fontId="3" fillId="15" borderId="8" xfId="0" applyFont="1" applyFill="1" applyBorder="1" applyAlignment="1" applyProtection="1">
      <alignment vertical="center" wrapText="1"/>
      <protection locked="0"/>
    </xf>
    <xf numFmtId="164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  <xf numFmtId="164" fontId="3" fillId="14" borderId="8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14" borderId="0" xfId="0" applyFill="1" applyAlignment="1">
      <alignment horizontal="center" vertical="center"/>
    </xf>
    <xf numFmtId="0" fontId="4" fillId="13" borderId="8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12" borderId="0" xfId="0" applyFont="1" applyFill="1" applyAlignment="1" applyProtection="1">
      <alignment horizontal="center" vertical="center"/>
      <protection locked="0"/>
    </xf>
    <xf numFmtId="0" fontId="0" fillId="12" borderId="0" xfId="0" applyFill="1" applyProtection="1">
      <protection locked="0"/>
    </xf>
    <xf numFmtId="0" fontId="0" fillId="12" borderId="13" xfId="0" applyFill="1" applyBorder="1" applyProtection="1">
      <protection locked="0"/>
    </xf>
    <xf numFmtId="0" fontId="4" fillId="16" borderId="9" xfId="0" applyFont="1" applyFill="1" applyBorder="1" applyAlignment="1" applyProtection="1">
      <alignment vertical="center"/>
      <protection locked="0"/>
    </xf>
    <xf numFmtId="0" fontId="0" fillId="16" borderId="11" xfId="0" applyFill="1" applyBorder="1" applyProtection="1">
      <protection locked="0"/>
    </xf>
    <xf numFmtId="0" fontId="0" fillId="16" borderId="10" xfId="0" applyFill="1" applyBorder="1" applyProtection="1"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0" fontId="3" fillId="12" borderId="13" xfId="0" applyFont="1" applyFill="1" applyBorder="1" applyAlignment="1" applyProtection="1">
      <alignment horizontal="center" vertical="center"/>
      <protection locked="0"/>
    </xf>
    <xf numFmtId="165" fontId="3" fillId="0" borderId="12" xfId="0" applyNumberFormat="1" applyFont="1" applyBorder="1" applyAlignment="1" applyProtection="1">
      <alignment horizontal="center" vertical="center"/>
      <protection locked="0"/>
    </xf>
    <xf numFmtId="0" fontId="3" fillId="13" borderId="14" xfId="0" applyFont="1" applyFill="1" applyBorder="1" applyAlignment="1" applyProtection="1">
      <alignment horizontal="center" vertical="center"/>
      <protection locked="0"/>
    </xf>
    <xf numFmtId="164" fontId="3" fillId="13" borderId="8" xfId="0" applyNumberFormat="1" applyFont="1" applyFill="1" applyBorder="1" applyAlignment="1">
      <alignment horizontal="center" vertical="center"/>
    </xf>
    <xf numFmtId="165" fontId="3" fillId="13" borderId="8" xfId="0" applyNumberFormat="1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vertical="center" wrapText="1"/>
    </xf>
    <xf numFmtId="0" fontId="1" fillId="15" borderId="1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 applyProtection="1">
      <alignment wrapText="1"/>
      <protection locked="0"/>
    </xf>
    <xf numFmtId="0" fontId="7" fillId="13" borderId="0" xfId="0" applyFont="1" applyFill="1" applyAlignment="1" applyProtection="1">
      <alignment horizontal="left"/>
      <protection locked="0"/>
    </xf>
    <xf numFmtId="0" fontId="6" fillId="13" borderId="0" xfId="0" applyFont="1" applyFill="1" applyAlignment="1" applyProtection="1">
      <alignment horizontal="center" vertical="center"/>
      <protection locked="0"/>
    </xf>
    <xf numFmtId="0" fontId="4" fillId="13" borderId="8" xfId="0" applyFont="1" applyFill="1" applyBorder="1" applyAlignment="1" applyProtection="1">
      <alignment horizontal="center"/>
      <protection locked="0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0" fillId="0" borderId="0" xfId="0" applyFont="1" applyProtection="1">
      <protection locked="0"/>
    </xf>
    <xf numFmtId="164" fontId="3" fillId="13" borderId="14" xfId="0" applyNumberFormat="1" applyFont="1" applyFill="1" applyBorder="1" applyAlignment="1" applyProtection="1">
      <alignment horizontal="center" vertical="center"/>
      <protection locked="0"/>
    </xf>
    <xf numFmtId="164" fontId="3" fillId="14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 applyProtection="1">
      <alignment vertical="center"/>
      <protection locked="0"/>
    </xf>
    <xf numFmtId="0" fontId="3" fillId="15" borderId="14" xfId="0" applyFont="1" applyFill="1" applyBorder="1" applyAlignment="1" applyProtection="1">
      <alignment vertical="center" wrapText="1"/>
      <protection locked="0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vertical="center" wrapText="1"/>
    </xf>
    <xf numFmtId="164" fontId="3" fillId="0" borderId="15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67" fontId="3" fillId="0" borderId="0" xfId="0" applyNumberFormat="1" applyFont="1" applyAlignment="1" applyProtection="1">
      <alignment horizontal="center" vertical="center"/>
      <protection locked="0"/>
    </xf>
    <xf numFmtId="164" fontId="13" fillId="0" borderId="12" xfId="0" applyNumberFormat="1" applyFont="1" applyBorder="1" applyAlignment="1" applyProtection="1">
      <alignment horizontal="center" vertical="center"/>
      <protection locked="0"/>
    </xf>
    <xf numFmtId="0" fontId="13" fillId="12" borderId="13" xfId="0" applyFont="1" applyFill="1" applyBorder="1" applyAlignment="1" applyProtection="1">
      <alignment horizontal="center" vertical="center"/>
      <protection locked="0"/>
    </xf>
    <xf numFmtId="165" fontId="13" fillId="0" borderId="12" xfId="0" applyNumberFormat="1" applyFont="1" applyBorder="1" applyAlignment="1" applyProtection="1">
      <alignment horizontal="center" vertical="center"/>
      <protection locked="0"/>
    </xf>
    <xf numFmtId="0" fontId="13" fillId="12" borderId="21" xfId="0" applyFont="1" applyFill="1" applyBorder="1" applyAlignment="1" applyProtection="1">
      <alignment horizontal="center" vertical="center"/>
      <protection locked="0"/>
    </xf>
    <xf numFmtId="164" fontId="13" fillId="13" borderId="14" xfId="0" applyNumberFormat="1" applyFont="1" applyFill="1" applyBorder="1" applyAlignment="1" applyProtection="1">
      <alignment horizontal="center" vertical="center"/>
      <protection locked="0"/>
    </xf>
    <xf numFmtId="164" fontId="13" fillId="14" borderId="14" xfId="0" applyNumberFormat="1" applyFont="1" applyFill="1" applyBorder="1" applyAlignment="1">
      <alignment horizontal="center" vertical="center"/>
    </xf>
    <xf numFmtId="0" fontId="13" fillId="13" borderId="14" xfId="0" applyFont="1" applyFill="1" applyBorder="1" applyAlignment="1" applyProtection="1">
      <alignment horizontal="center" vertical="center"/>
      <protection locked="0"/>
    </xf>
    <xf numFmtId="0" fontId="13" fillId="3" borderId="14" xfId="0" applyFont="1" applyFill="1" applyBorder="1" applyAlignment="1" applyProtection="1">
      <alignment vertical="center"/>
      <protection locked="0"/>
    </xf>
    <xf numFmtId="0" fontId="13" fillId="15" borderId="14" xfId="0" applyFont="1" applyFill="1" applyBorder="1" applyAlignment="1" applyProtection="1">
      <alignment vertical="center" wrapText="1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49" fontId="0" fillId="0" borderId="0" xfId="0" applyNumberFormat="1"/>
    <xf numFmtId="0" fontId="14" fillId="16" borderId="9" xfId="0" applyFont="1" applyFill="1" applyBorder="1" applyAlignment="1" applyProtection="1">
      <alignment horizontal="center" vertical="center" wrapText="1"/>
      <protection locked="0"/>
    </xf>
    <xf numFmtId="0" fontId="3" fillId="12" borderId="21" xfId="0" applyFont="1" applyFill="1" applyBorder="1" applyAlignment="1" applyProtection="1">
      <alignment horizontal="center" vertical="center"/>
      <protection locked="0"/>
    </xf>
    <xf numFmtId="0" fontId="9" fillId="12" borderId="8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0" fillId="0" borderId="21" xfId="0" applyBorder="1"/>
    <xf numFmtId="0" fontId="9" fillId="14" borderId="8" xfId="0" applyFont="1" applyFill="1" applyBorder="1" applyAlignment="1">
      <alignment horizontal="center" vertical="center" wrapText="1"/>
    </xf>
    <xf numFmtId="0" fontId="9" fillId="19" borderId="8" xfId="0" applyFont="1" applyFill="1" applyBorder="1" applyAlignment="1">
      <alignment horizontal="center" vertical="center" wrapText="1"/>
    </xf>
    <xf numFmtId="0" fontId="8" fillId="19" borderId="8" xfId="0" applyFont="1" applyFill="1" applyBorder="1" applyAlignment="1">
      <alignment horizontal="center" vertical="center"/>
    </xf>
    <xf numFmtId="49" fontId="9" fillId="19" borderId="8" xfId="0" applyNumberFormat="1" applyFont="1" applyFill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0" borderId="8" xfId="0" applyFont="1" applyFill="1" applyBorder="1" applyAlignment="1">
      <alignment horizontal="center" vertical="center" wrapText="1"/>
    </xf>
    <xf numFmtId="49" fontId="9" fillId="20" borderId="8" xfId="0" applyNumberFormat="1" applyFont="1" applyFill="1" applyBorder="1" applyAlignment="1">
      <alignment horizontal="center" vertical="center" wrapText="1"/>
    </xf>
    <xf numFmtId="0" fontId="9" fillId="20" borderId="8" xfId="0" applyFont="1" applyFill="1" applyBorder="1" applyAlignment="1">
      <alignment horizontal="left" vertical="center" wrapText="1"/>
    </xf>
    <xf numFmtId="165" fontId="9" fillId="20" borderId="8" xfId="0" applyNumberFormat="1" applyFont="1" applyFill="1" applyBorder="1" applyAlignment="1">
      <alignment horizontal="center" vertical="center"/>
    </xf>
    <xf numFmtId="0" fontId="8" fillId="20" borderId="8" xfId="0" applyFont="1" applyFill="1" applyBorder="1" applyAlignment="1">
      <alignment horizontal="center" vertical="center"/>
    </xf>
    <xf numFmtId="49" fontId="9" fillId="20" borderId="8" xfId="0" applyNumberFormat="1" applyFont="1" applyFill="1" applyBorder="1" applyAlignment="1">
      <alignment horizontal="center" vertical="center"/>
    </xf>
    <xf numFmtId="0" fontId="12" fillId="20" borderId="8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49" fontId="9" fillId="20" borderId="14" xfId="0" applyNumberFormat="1" applyFont="1" applyFill="1" applyBorder="1" applyAlignment="1">
      <alignment horizontal="left" vertical="center" wrapText="1"/>
    </xf>
    <xf numFmtId="0" fontId="9" fillId="18" borderId="8" xfId="0" applyFont="1" applyFill="1" applyBorder="1" applyAlignment="1">
      <alignment horizontal="center" vertical="center" wrapText="1"/>
    </xf>
    <xf numFmtId="49" fontId="9" fillId="18" borderId="8" xfId="0" applyNumberFormat="1" applyFont="1" applyFill="1" applyBorder="1" applyAlignment="1">
      <alignment horizontal="center" vertical="center" wrapText="1"/>
    </xf>
    <xf numFmtId="0" fontId="9" fillId="18" borderId="8" xfId="0" applyFont="1" applyFill="1" applyBorder="1" applyAlignment="1">
      <alignment horizontal="left" vertical="center" wrapText="1"/>
    </xf>
    <xf numFmtId="165" fontId="9" fillId="18" borderId="8" xfId="0" applyNumberFormat="1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49" fontId="9" fillId="18" borderId="8" xfId="0" applyNumberFormat="1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21" xfId="0" applyFont="1" applyFill="1" applyBorder="1" applyAlignment="1">
      <alignment horizontal="center" vertical="center"/>
    </xf>
    <xf numFmtId="49" fontId="9" fillId="18" borderId="14" xfId="0" applyNumberFormat="1" applyFont="1" applyFill="1" applyBorder="1" applyAlignment="1">
      <alignment horizontal="left" vertical="center" wrapText="1"/>
    </xf>
    <xf numFmtId="0" fontId="9" fillId="6" borderId="8" xfId="0" applyFont="1" applyFill="1" applyBorder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 wrapText="1"/>
    </xf>
    <xf numFmtId="49" fontId="9" fillId="15" borderId="8" xfId="0" applyNumberFormat="1" applyFont="1" applyFill="1" applyBorder="1" applyAlignment="1">
      <alignment horizontal="center" vertical="center" wrapText="1"/>
    </xf>
    <xf numFmtId="49" fontId="9" fillId="15" borderId="8" xfId="0" applyNumberFormat="1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left" vertical="center" wrapText="1"/>
    </xf>
    <xf numFmtId="0" fontId="8" fillId="15" borderId="8" xfId="0" applyFont="1" applyFill="1" applyBorder="1" applyAlignment="1">
      <alignment horizontal="center" vertical="center"/>
    </xf>
    <xf numFmtId="0" fontId="12" fillId="15" borderId="8" xfId="0" applyFont="1" applyFill="1" applyBorder="1" applyAlignment="1">
      <alignment horizontal="center" vertical="center"/>
    </xf>
    <xf numFmtId="0" fontId="12" fillId="15" borderId="21" xfId="0" applyFont="1" applyFill="1" applyBorder="1" applyAlignment="1">
      <alignment horizontal="center" vertical="center"/>
    </xf>
    <xf numFmtId="168" fontId="11" fillId="15" borderId="8" xfId="0" applyNumberFormat="1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vertical="center" wrapText="1"/>
    </xf>
    <xf numFmtId="0" fontId="11" fillId="15" borderId="8" xfId="0" applyFont="1" applyFill="1" applyBorder="1" applyAlignment="1">
      <alignment horizontal="center" vertical="center" wrapText="1"/>
    </xf>
    <xf numFmtId="168" fontId="15" fillId="15" borderId="8" xfId="0" applyNumberFormat="1" applyFont="1" applyFill="1" applyBorder="1" applyAlignment="1">
      <alignment horizontal="center" vertical="center" wrapText="1"/>
    </xf>
    <xf numFmtId="165" fontId="9" fillId="12" borderId="8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9" fontId="8" fillId="0" borderId="14" xfId="0" applyNumberFormat="1" applyFont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21" borderId="8" xfId="0" applyFont="1" applyFill="1" applyBorder="1" applyAlignment="1" applyProtection="1">
      <alignment horizontal="center" vertical="center"/>
      <protection locked="0"/>
    </xf>
    <xf numFmtId="0" fontId="3" fillId="21" borderId="14" xfId="0" applyFont="1" applyFill="1" applyBorder="1" applyAlignment="1" applyProtection="1">
      <alignment horizontal="center" vertical="center"/>
      <protection locked="0"/>
    </xf>
    <xf numFmtId="0" fontId="13" fillId="21" borderId="14" xfId="0" applyFont="1" applyFill="1" applyBorder="1" applyAlignment="1" applyProtection="1">
      <alignment horizontal="center" vertical="center"/>
      <protection locked="0"/>
    </xf>
    <xf numFmtId="0" fontId="17" fillId="21" borderId="0" xfId="0" applyFont="1" applyFill="1" applyAlignment="1">
      <alignment horizontal="center" vertical="center" wrapText="1"/>
    </xf>
    <xf numFmtId="2" fontId="9" fillId="20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9" fillId="13" borderId="8" xfId="0" applyFont="1" applyFill="1" applyBorder="1" applyAlignment="1">
      <alignment horizontal="center" vertical="center" wrapText="1"/>
    </xf>
    <xf numFmtId="49" fontId="9" fillId="13" borderId="8" xfId="0" applyNumberFormat="1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left" vertical="center" wrapText="1"/>
    </xf>
    <xf numFmtId="165" fontId="9" fillId="13" borderId="8" xfId="0" applyNumberFormat="1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49" fontId="9" fillId="13" borderId="8" xfId="0" applyNumberFormat="1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49" fontId="9" fillId="13" borderId="14" xfId="0" applyNumberFormat="1" applyFont="1" applyFill="1" applyBorder="1" applyAlignment="1">
      <alignment horizontal="left" vertical="center" wrapText="1"/>
    </xf>
    <xf numFmtId="0" fontId="9" fillId="19" borderId="8" xfId="0" applyFont="1" applyFill="1" applyBorder="1" applyAlignment="1">
      <alignment horizontal="center" vertical="center"/>
    </xf>
    <xf numFmtId="0" fontId="9" fillId="20" borderId="8" xfId="0" applyFont="1" applyFill="1" applyBorder="1" applyAlignment="1">
      <alignment horizontal="center" vertical="center"/>
    </xf>
    <xf numFmtId="0" fontId="0" fillId="0" borderId="14" xfId="0" applyBorder="1"/>
    <xf numFmtId="0" fontId="9" fillId="20" borderId="22" xfId="0" applyFont="1" applyFill="1" applyBorder="1" applyAlignment="1">
      <alignment horizontal="center" vertical="center" wrapText="1"/>
    </xf>
    <xf numFmtId="49" fontId="9" fillId="20" borderId="22" xfId="0" applyNumberFormat="1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left" vertical="center" wrapText="1"/>
    </xf>
    <xf numFmtId="165" fontId="9" fillId="20" borderId="22" xfId="0" applyNumberFormat="1" applyFont="1" applyFill="1" applyBorder="1" applyAlignment="1">
      <alignment horizontal="center" vertical="center"/>
    </xf>
    <xf numFmtId="0" fontId="9" fillId="20" borderId="22" xfId="0" applyFont="1" applyFill="1" applyBorder="1" applyAlignment="1">
      <alignment horizontal="center" vertical="center"/>
    </xf>
    <xf numFmtId="0" fontId="8" fillId="20" borderId="22" xfId="0" applyFont="1" applyFill="1" applyBorder="1" applyAlignment="1">
      <alignment horizontal="center" vertical="center"/>
    </xf>
    <xf numFmtId="49" fontId="9" fillId="20" borderId="22" xfId="0" applyNumberFormat="1" applyFont="1" applyFill="1" applyBorder="1" applyAlignment="1">
      <alignment horizontal="center" vertical="center"/>
    </xf>
    <xf numFmtId="0" fontId="12" fillId="20" borderId="22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left" vertical="center" wrapText="1"/>
    </xf>
    <xf numFmtId="0" fontId="0" fillId="19" borderId="8" xfId="0" applyFill="1" applyBorder="1" applyAlignment="1">
      <alignment horizontal="center" vertical="center"/>
    </xf>
    <xf numFmtId="49" fontId="9" fillId="19" borderId="8" xfId="0" applyNumberFormat="1" applyFont="1" applyFill="1" applyBorder="1" applyAlignment="1">
      <alignment horizontal="left" vertical="center" wrapText="1"/>
    </xf>
    <xf numFmtId="49" fontId="9" fillId="19" borderId="8" xfId="0" applyNumberFormat="1" applyFont="1" applyFill="1" applyBorder="1" applyAlignment="1">
      <alignment horizontal="center" vertical="center" wrapText="1"/>
    </xf>
    <xf numFmtId="164" fontId="3" fillId="13" borderId="8" xfId="0" applyNumberFormat="1" applyFont="1" applyFill="1" applyBorder="1" applyAlignment="1" applyProtection="1">
      <alignment horizontal="center" vertical="center"/>
      <protection locked="0"/>
    </xf>
    <xf numFmtId="165" fontId="3" fillId="13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12" borderId="11" xfId="0" applyNumberFormat="1" applyFont="1" applyFill="1" applyBorder="1" applyAlignment="1">
      <alignment horizontal="center" vertical="center"/>
    </xf>
    <xf numFmtId="164" fontId="3" fillId="12" borderId="8" xfId="0" applyNumberFormat="1" applyFont="1" applyFill="1" applyBorder="1" applyAlignment="1">
      <alignment horizontal="center" vertical="center"/>
    </xf>
    <xf numFmtId="2" fontId="3" fillId="12" borderId="8" xfId="0" applyNumberFormat="1" applyFont="1" applyFill="1" applyBorder="1" applyAlignment="1">
      <alignment horizontal="center" vertical="center"/>
    </xf>
    <xf numFmtId="165" fontId="3" fillId="13" borderId="14" xfId="0" applyNumberFormat="1" applyFont="1" applyFill="1" applyBorder="1" applyAlignment="1" applyProtection="1">
      <alignment horizontal="center" vertical="center"/>
      <protection locked="0"/>
    </xf>
    <xf numFmtId="164" fontId="3" fillId="12" borderId="15" xfId="0" applyNumberFormat="1" applyFont="1" applyFill="1" applyBorder="1" applyAlignment="1">
      <alignment horizontal="center" vertical="center"/>
    </xf>
    <xf numFmtId="164" fontId="3" fillId="12" borderId="14" xfId="0" applyNumberFormat="1" applyFont="1" applyFill="1" applyBorder="1" applyAlignment="1">
      <alignment horizontal="center" vertical="center"/>
    </xf>
    <xf numFmtId="2" fontId="3" fillId="12" borderId="14" xfId="0" applyNumberFormat="1" applyFont="1" applyFill="1" applyBorder="1" applyAlignment="1">
      <alignment horizontal="center" vertical="center"/>
    </xf>
    <xf numFmtId="165" fontId="18" fillId="19" borderId="8" xfId="0" applyNumberFormat="1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center" vertical="center" wrapText="1"/>
    </xf>
    <xf numFmtId="49" fontId="9" fillId="22" borderId="8" xfId="0" applyNumberFormat="1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left" vertical="center" wrapText="1"/>
    </xf>
    <xf numFmtId="0" fontId="9" fillId="22" borderId="8" xfId="0" applyFont="1" applyFill="1" applyBorder="1" applyAlignment="1">
      <alignment horizontal="center" vertical="center"/>
    </xf>
    <xf numFmtId="0" fontId="8" fillId="22" borderId="8" xfId="0" applyFont="1" applyFill="1" applyBorder="1" applyAlignment="1">
      <alignment horizontal="center" vertical="center"/>
    </xf>
    <xf numFmtId="49" fontId="9" fillId="22" borderId="8" xfId="0" applyNumberFormat="1" applyFont="1" applyFill="1" applyBorder="1" applyAlignment="1">
      <alignment horizontal="center" vertical="center"/>
    </xf>
    <xf numFmtId="0" fontId="12" fillId="22" borderId="8" xfId="0" applyFont="1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49" fontId="9" fillId="22" borderId="8" xfId="0" applyNumberFormat="1" applyFont="1" applyFill="1" applyBorder="1" applyAlignment="1">
      <alignment horizontal="left" vertical="center" wrapText="1"/>
    </xf>
    <xf numFmtId="49" fontId="9" fillId="20" borderId="8" xfId="0" applyNumberFormat="1" applyFont="1" applyFill="1" applyBorder="1" applyAlignment="1">
      <alignment horizontal="left" vertical="center" wrapText="1"/>
    </xf>
    <xf numFmtId="0" fontId="9" fillId="22" borderId="22" xfId="0" applyFont="1" applyFill="1" applyBorder="1" applyAlignment="1">
      <alignment horizontal="center" vertical="center" wrapText="1"/>
    </xf>
    <xf numFmtId="49" fontId="9" fillId="22" borderId="22" xfId="0" applyNumberFormat="1" applyFont="1" applyFill="1" applyBorder="1" applyAlignment="1">
      <alignment horizontal="center" vertical="center" wrapText="1"/>
    </xf>
    <xf numFmtId="0" fontId="9" fillId="22" borderId="22" xfId="0" applyFont="1" applyFill="1" applyBorder="1" applyAlignment="1">
      <alignment horizontal="left" vertical="center" wrapText="1"/>
    </xf>
    <xf numFmtId="0" fontId="9" fillId="22" borderId="22" xfId="0" applyFont="1" applyFill="1" applyBorder="1" applyAlignment="1">
      <alignment horizontal="center" vertical="center"/>
    </xf>
    <xf numFmtId="0" fontId="8" fillId="22" borderId="22" xfId="0" applyFont="1" applyFill="1" applyBorder="1" applyAlignment="1">
      <alignment horizontal="center" vertical="center"/>
    </xf>
    <xf numFmtId="0" fontId="12" fillId="22" borderId="22" xfId="0" applyFont="1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49" fontId="9" fillId="22" borderId="21" xfId="0" applyNumberFormat="1" applyFont="1" applyFill="1" applyBorder="1" applyAlignment="1">
      <alignment horizontal="left" vertical="center" wrapText="1"/>
    </xf>
    <xf numFmtId="165" fontId="15" fillId="22" borderId="22" xfId="0" applyNumberFormat="1" applyFont="1" applyFill="1" applyBorder="1" applyAlignment="1">
      <alignment horizontal="center" vertical="center" wrapText="1"/>
    </xf>
    <xf numFmtId="17" fontId="9" fillId="22" borderId="8" xfId="0" applyNumberFormat="1" applyFont="1" applyFill="1" applyBorder="1" applyAlignment="1">
      <alignment horizontal="center" vertical="center"/>
    </xf>
    <xf numFmtId="49" fontId="9" fillId="22" borderId="14" xfId="0" applyNumberFormat="1" applyFont="1" applyFill="1" applyBorder="1" applyAlignment="1">
      <alignment horizontal="center" vertical="center" wrapText="1"/>
    </xf>
    <xf numFmtId="0" fontId="9" fillId="2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13" borderId="9" xfId="0" applyFont="1" applyFill="1" applyBorder="1" applyAlignment="1" applyProtection="1">
      <alignment horizontal="left"/>
      <protection locked="0"/>
    </xf>
    <xf numFmtId="0" fontId="4" fillId="13" borderId="11" xfId="0" applyFont="1" applyFill="1" applyBorder="1" applyAlignment="1" applyProtection="1">
      <alignment horizontal="left"/>
      <protection locked="0"/>
    </xf>
    <xf numFmtId="0" fontId="0" fillId="14" borderId="17" xfId="0" applyFill="1" applyBorder="1" applyAlignment="1" applyProtection="1">
      <alignment horizontal="left" vertical="top" wrapText="1"/>
      <protection locked="0"/>
    </xf>
    <xf numFmtId="0" fontId="0" fillId="14" borderId="18" xfId="0" applyFill="1" applyBorder="1" applyAlignment="1" applyProtection="1">
      <alignment horizontal="left" vertical="top" wrapText="1"/>
      <protection locked="0"/>
    </xf>
    <xf numFmtId="0" fontId="0" fillId="14" borderId="2" xfId="0" applyFill="1" applyBorder="1" applyAlignment="1" applyProtection="1">
      <alignment horizontal="left" vertical="top" wrapText="1"/>
      <protection locked="0"/>
    </xf>
    <xf numFmtId="0" fontId="0" fillId="14" borderId="19" xfId="0" applyFill="1" applyBorder="1" applyAlignment="1" applyProtection="1">
      <alignment horizontal="left" vertical="top" wrapText="1"/>
      <protection locked="0"/>
    </xf>
    <xf numFmtId="0" fontId="0" fillId="14" borderId="20" xfId="0" applyFill="1" applyBorder="1" applyAlignment="1" applyProtection="1">
      <alignment horizontal="left" vertical="top" wrapText="1"/>
      <protection locked="0"/>
    </xf>
    <xf numFmtId="0" fontId="0" fillId="14" borderId="7" xfId="0" applyFill="1" applyBorder="1" applyAlignment="1" applyProtection="1">
      <alignment horizontal="left" vertical="top" wrapText="1"/>
      <protection locked="0"/>
    </xf>
    <xf numFmtId="0" fontId="4" fillId="13" borderId="8" xfId="0" applyFont="1" applyFill="1" applyBorder="1" applyAlignment="1" applyProtection="1">
      <alignment horizontal="center"/>
      <protection locked="0"/>
    </xf>
    <xf numFmtId="0" fontId="0" fillId="14" borderId="0" xfId="0" applyFill="1" applyAlignment="1" applyProtection="1">
      <alignment horizontal="left" vertical="top" wrapText="1"/>
      <protection locked="0"/>
    </xf>
    <xf numFmtId="0" fontId="4" fillId="13" borderId="8" xfId="0" applyFont="1" applyFill="1" applyBorder="1" applyAlignment="1" applyProtection="1">
      <alignment horizontal="center" vertical="center"/>
      <protection locked="0"/>
    </xf>
    <xf numFmtId="0" fontId="7" fillId="14" borderId="8" xfId="0" applyFont="1" applyFill="1" applyBorder="1" applyAlignment="1">
      <alignment horizontal="left"/>
    </xf>
    <xf numFmtId="2" fontId="6" fillId="14" borderId="8" xfId="0" applyNumberFormat="1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left"/>
    </xf>
    <xf numFmtId="166" fontId="6" fillId="14" borderId="8" xfId="0" applyNumberFormat="1" applyFont="1" applyFill="1" applyBorder="1" applyAlignment="1">
      <alignment horizontal="center" vertical="center"/>
    </xf>
    <xf numFmtId="0" fontId="4" fillId="16" borderId="8" xfId="0" applyFont="1" applyFill="1" applyBorder="1" applyAlignment="1" applyProtection="1">
      <alignment horizontal="center" vertical="center"/>
      <protection locked="0"/>
    </xf>
    <xf numFmtId="165" fontId="6" fillId="14" borderId="8" xfId="0" applyNumberFormat="1" applyFont="1" applyFill="1" applyBorder="1" applyAlignment="1">
      <alignment horizontal="center" vertical="center"/>
    </xf>
    <xf numFmtId="0" fontId="7" fillId="13" borderId="8" xfId="0" applyFont="1" applyFill="1" applyBorder="1" applyAlignment="1" applyProtection="1">
      <alignment horizontal="left"/>
      <protection locked="0"/>
    </xf>
    <xf numFmtId="0" fontId="6" fillId="13" borderId="8" xfId="0" applyFont="1" applyFill="1" applyBorder="1" applyAlignment="1" applyProtection="1">
      <alignment horizontal="center" vertical="center"/>
      <protection locked="0"/>
    </xf>
    <xf numFmtId="0" fontId="4" fillId="16" borderId="8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12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rgb="FFCCFF99"/>
        </patternFill>
      </fill>
    </dxf>
    <dxf>
      <fill>
        <patternFill>
          <bgColor rgb="FF33CC33"/>
        </patternFill>
      </fill>
    </dxf>
    <dxf>
      <fill>
        <patternFill>
          <bgColor rgb="FF99FF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rgb="FFCCFF99"/>
        </patternFill>
      </fill>
    </dxf>
    <dxf>
      <fill>
        <patternFill>
          <bgColor rgb="FF33CC33"/>
        </patternFill>
      </fill>
    </dxf>
    <dxf>
      <fill>
        <patternFill>
          <bgColor rgb="FF99FF33"/>
        </patternFill>
      </fill>
    </dxf>
  </dxfs>
  <tableStyles count="1" defaultTableStyle="TableStyleMedium2" defaultPivotStyle="PivotStyleLight16">
    <tableStyle name="Стиль таблицы 1" pivot="0" count="0" xr9:uid="{00000000-0011-0000-FFFF-FFFF00000000}"/>
  </tableStyles>
  <colors>
    <mruColors>
      <color rgb="FF00FF00"/>
      <color rgb="FFFFCCFF"/>
      <color rgb="FFCCFF99"/>
      <color rgb="FF99FFCC"/>
      <color rgb="FFCCFFCC"/>
      <color rgb="FFCCECFF"/>
      <color rgb="FF99FF33"/>
      <color rgb="FF33CC33"/>
      <color rgb="FF99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383232" displayName="Таблица4383232" ref="A12:BF15" headerRowCount="0" totalsRowShown="0" headerRowDxfId="1179" dataDxfId="1178">
  <tableColumns count="58">
    <tableColumn id="1" xr3:uid="{00000000-0010-0000-0000-000001000000}" name="Столбец1" headerRowDxfId="1177" dataDxfId="1176"/>
    <tableColumn id="2" xr3:uid="{00000000-0010-0000-0000-000002000000}" name="Столбец2" headerRowDxfId="1175" dataDxfId="1174"/>
    <tableColumn id="3" xr3:uid="{00000000-0010-0000-0000-000003000000}" name="Прот" headerRowDxfId="1173" dataDxfId="1172">
      <calculatedColumnFormula>B12-A12</calculatedColumnFormula>
    </tableColumn>
    <tableColumn id="4" xr3:uid="{00000000-0010-0000-0000-000004000000}" name="Ширина" headerRowDxfId="1171" dataDxfId="1170"/>
    <tableColumn id="5" xr3:uid="{00000000-0010-0000-0000-000005000000}" name="Покрытие" headerRowDxfId="1169" dataDxfId="1168"/>
    <tableColumn id="6" xr3:uid="{00000000-0010-0000-0000-000006000000}" name="Деф 1" headerRowDxfId="1167" dataDxfId="1166"/>
    <tableColumn id="7" xr3:uid="{00000000-0010-0000-0000-000007000000}" name="Деф 2" headerRowDxfId="1165" dataDxfId="1164"/>
    <tableColumn id="8" xr3:uid="{00000000-0010-0000-0000-000008000000}" name="Столбец4" headerRowDxfId="1163" dataDxfId="1162"/>
    <tableColumn id="9" xr3:uid="{00000000-0010-0000-0000-000009000000}" name="Столбец5" headerRowDxfId="1161" dataDxfId="1160"/>
    <tableColumn id="10" xr3:uid="{00000000-0010-0000-0000-00000A000000}" name="Столбец6" headerRowDxfId="1159" dataDxfId="1158"/>
    <tableColumn id="11" xr3:uid="{00000000-0010-0000-0000-00000B000000}" name="Столбец7" headerRowDxfId="1157" dataDxfId="1156"/>
    <tableColumn id="12" xr3:uid="{00000000-0010-0000-0000-00000C000000}" name="Столбец8" headerRowDxfId="1155" dataDxfId="1154"/>
    <tableColumn id="13" xr3:uid="{00000000-0010-0000-0000-00000D000000}" name="Столбец9" headerRowDxfId="1153" dataDxfId="1152"/>
    <tableColumn id="14" xr3:uid="{00000000-0010-0000-0000-00000E000000}" name="Дефекты10" headerRowDxfId="1151" dataDxfId="1150">
      <calculatedColumnFormula>IFERROR(VLOOKUP(Таблица4383232[[#This Row],[Деф 1]],Лист1!$A$4:$F$60,2,FALSE),"")</calculatedColumnFormula>
    </tableColumn>
    <tableColumn id="15" xr3:uid="{00000000-0010-0000-0000-00000F000000}" name="Столбец11" headerRowDxfId="1149" dataDxfId="1148">
      <calculatedColumnFormula>IFERROR(VLOOKUP(Таблица4383232[[#This Row],[Деф 2]],Лист1!$A$4:$F$60,2,FALSE),"")</calculatedColumnFormula>
    </tableColumn>
    <tableColumn id="16" xr3:uid="{00000000-0010-0000-0000-000010000000}" name="Столбец12" headerRowDxfId="1147" dataDxfId="1146">
      <calculatedColumnFormula>IFERROR(VLOOKUP(Таблица4383232[[#This Row],[Столбец4]],Лист1!$A$4:$F$60,2,FALSE),"")</calculatedColumnFormula>
    </tableColumn>
    <tableColumn id="17" xr3:uid="{00000000-0010-0000-0000-000011000000}" name="Столбец13" headerRowDxfId="1145" dataDxfId="1144">
      <calculatedColumnFormula>IFERROR(VLOOKUP(Таблица4383232[[#This Row],[Столбец5]],Лист1!$A$4:$F$60,2,FALSE),"")</calculatedColumnFormula>
    </tableColumn>
    <tableColumn id="18" xr3:uid="{00000000-0010-0000-0000-000012000000}" name="Столбец14" headerRowDxfId="1143" dataDxfId="1142">
      <calculatedColumnFormula>IFERROR(VLOOKUP(Таблица4383232[[#This Row],[Столбец6]],Лист1!$A$4:$F$60,2,FALSE),"")</calculatedColumnFormula>
    </tableColumn>
    <tableColumn id="19" xr3:uid="{00000000-0010-0000-0000-000013000000}" name="Столбец15" headerRowDxfId="1141" dataDxfId="1140">
      <calculatedColumnFormula>IFERROR(VLOOKUP(Таблица4383232[[#This Row],[Столбец7]],Лист1!$A$4:$F$60,2,FALSE),"")</calculatedColumnFormula>
    </tableColumn>
    <tableColumn id="20" xr3:uid="{00000000-0010-0000-0000-000014000000}" name="Столбец16" headerRowDxfId="1139" dataDxfId="1138">
      <calculatedColumnFormula>IFERROR(VLOOKUP(Таблица4383232[[#This Row],[Столбец8]],Лист1!$A$4:$F$60,2,FALSE),"")</calculatedColumnFormula>
    </tableColumn>
    <tableColumn id="21" xr3:uid="{00000000-0010-0000-0000-000015000000}" name="Столбец17" headerRowDxfId="1137" dataDxfId="1136">
      <calculatedColumnFormula>IFERROR(VLOOKUP(Таблица4383232[[#This Row],[Столбец9]],Лист1!$A$4:$F$60,2,FALSE),"")</calculatedColumnFormula>
    </tableColumn>
    <tableColumn id="22" xr3:uid="{00000000-0010-0000-0000-000016000000}" name="Баллы" headerRowDxfId="1135" dataDxfId="1134">
      <calculatedColumnFormula>IFERROR(VLOOKUP(Таблица4383232[[#This Row],[Деф 1]],Лист1!$A$4:$F$60,3,FALSE),"")</calculatedColumnFormula>
    </tableColumn>
    <tableColumn id="23" xr3:uid="{00000000-0010-0000-0000-000017000000}" name="Столбец18" headerRowDxfId="1133" dataDxfId="1132">
      <calculatedColumnFormula>IFERROR(VLOOKUP(Таблица4383232[[#This Row],[Деф 2]],Лист1!$A$4:$F$60,3,FALSE),"")</calculatedColumnFormula>
    </tableColumn>
    <tableColumn id="24" xr3:uid="{00000000-0010-0000-0000-000018000000}" name="Столбец19" headerRowDxfId="1131" dataDxfId="1130">
      <calculatedColumnFormula>IFERROR(VLOOKUP(Таблица4383232[[#This Row],[Столбец4]],Лист1!$A$4:$F$60,3,FALSE),"")</calculatedColumnFormula>
    </tableColumn>
    <tableColumn id="25" xr3:uid="{00000000-0010-0000-0000-000019000000}" name="Столбец20" headerRowDxfId="1129" dataDxfId="1128">
      <calculatedColumnFormula>IFERROR(VLOOKUP(Таблица4383232[[#This Row],[Столбец5]],Лист1!$A$4:$F$60,3,FALSE),"")</calculatedColumnFormula>
    </tableColumn>
    <tableColumn id="26" xr3:uid="{00000000-0010-0000-0000-00001A000000}" name="Столбец21" headerRowDxfId="1127" dataDxfId="1126">
      <calculatedColumnFormula>IFERROR(VLOOKUP(Таблица4383232[[#This Row],[Столбец6]],Лист1!$A$4:$F$60,3,FALSE),"")</calculatedColumnFormula>
    </tableColumn>
    <tableColumn id="27" xr3:uid="{00000000-0010-0000-0000-00001B000000}" name="Столбец22" headerRowDxfId="1125" dataDxfId="1124">
      <calculatedColumnFormula>IFERROR(VLOOKUP(Таблица4383232[[#This Row],[Столбец7]],Лист1!$A$4:$F$60,3,FALSE),"")</calculatedColumnFormula>
    </tableColumn>
    <tableColumn id="28" xr3:uid="{00000000-0010-0000-0000-00001C000000}" name="Столбец23" headerRowDxfId="1123" dataDxfId="1122">
      <calculatedColumnFormula>IFERROR(VLOOKUP(Таблица4383232[[#This Row],[Столбец8]],Лист1!$A$4:$F$60,3,FALSE),"")</calculatedColumnFormula>
    </tableColumn>
    <tableColumn id="29" xr3:uid="{00000000-0010-0000-0000-00001D000000}" name="Столбец24" headerRowDxfId="1121" dataDxfId="1120">
      <calculatedColumnFormula>IFERROR(VLOOKUP(Таблица4383232[[#This Row],[Столбец9]],Лист1!$A$4:$F$60,3,FALSE),"")</calculatedColumnFormula>
    </tableColumn>
    <tableColumn id="46" xr3:uid="{00000000-0010-0000-0000-00002E000000}" name="Столбец39" headerRowDxfId="1119" dataDxfId="1118">
      <calculatedColumnFormula>ROUND(AE11,3)</calculatedColumnFormula>
    </tableColumn>
    <tableColumn id="47" xr3:uid="{00000000-0010-0000-0000-00002F000000}" name="0" headerRowDxfId="1117" dataDxfId="1116">
      <calculatedColumnFormula>ROUND(AD12+C12,3)</calculatedColumnFormula>
    </tableColumn>
    <tableColumn id="48" xr3:uid="{00000000-0010-0000-0000-000030000000}" name="Столбец41" headerRowDxfId="1115" dataDxfId="1114">
      <calculatedColumnFormula>ROUND(ROUNDDOWN(AD12,0),0)</calculatedColumnFormula>
    </tableColumn>
    <tableColumn id="49" xr3:uid="{00000000-0010-0000-0000-000031000000}" name="Столбец42" headerRowDxfId="1113" dataDxfId="1112">
      <calculatedColumnFormula>ROUND((AD12-AF12)*1000,0)</calculatedColumnFormula>
    </tableColumn>
    <tableColumn id="50" xr3:uid="{00000000-0010-0000-0000-000032000000}" name="Столбец43" headerRowDxfId="1111" dataDxfId="1110">
      <calculatedColumnFormula>ROUND(ROUNDDOWN(AE12,0),0)</calculatedColumnFormula>
    </tableColumn>
    <tableColumn id="51" xr3:uid="{00000000-0010-0000-0000-000033000000}" name="Столбец44" headerRowDxfId="1109" dataDxfId="1108">
      <calculatedColumnFormula>ROUND((AE12-AH12)*1000,0)</calculatedColumnFormula>
    </tableColumn>
    <tableColumn id="52" xr3:uid="{00000000-0010-0000-0000-000034000000}" name="Столбец45" headerRowDxfId="1107" dataDxfId="1106">
      <calculatedColumnFormula>IF(Таблица4383232[[#This Row],[Столбец42]]=0,"000",Таблица4383232[[#This Row],[Столбец42]])</calculatedColumnFormula>
    </tableColumn>
    <tableColumn id="53" xr3:uid="{00000000-0010-0000-0000-000035000000}" name="Столбец46" headerRowDxfId="1105" dataDxfId="1104">
      <calculatedColumnFormula>IF(Таблица4383232[[#This Row],[Столбец44]]=0,"000",Таблица4383232[[#This Row],[Столбец44]])</calculatedColumnFormula>
    </tableColumn>
    <tableColumn id="76" xr3:uid="{00000000-0010-0000-0000-00004C000000}" name="Столбец462" headerRowDxfId="1103" dataDxfId="1102"/>
    <tableColumn id="54" xr3:uid="{00000000-0010-0000-0000-000036000000}" name="Адрес дефекта, км +" headerRowDxfId="1101" dataDxfId="1100">
      <calculatedColumnFormula>CONCATENATE("км ",AF12,"+",AJ12," - км ",AH12,"+",AK12)</calculatedColumnFormula>
    </tableColumn>
    <tableColumn id="55" xr3:uid="{00000000-0010-0000-0000-000037000000}" name="Столбец48" headerRowDxfId="1099" dataDxfId="1098">
      <calculatedColumnFormula>IF(ISBLANK(Таблица4383232[[#This Row],[Столбец9]]),N12&amp;O12&amp;P12&amp;Q12&amp;R12&amp;S12&amp;T12&amp;U12,N12&amp;O12&amp;P12&amp;Q12&amp;R12&amp;S12&amp;T12&amp;U12&amp;";")</calculatedColumnFormula>
    </tableColumn>
    <tableColumn id="75" xr3:uid="{00000000-0010-0000-0000-00004B000000}" name="Вид дефекта" headerRowDxfId="1097" dataDxfId="1096">
      <calculatedColumnFormula>UPPER(LEFT(Таблица4383232[[#This Row],[Столбец48]],1))&amp;RIGHT(LOWER(Таблица4383232[[#This Row],[Столбец48]]),LEN(Таблица4383232[[#This Row],[Столбец48]])-1)</calculatedColumnFormula>
    </tableColumn>
    <tableColumn id="56" xr3:uid="{00000000-0010-0000-0000-000038000000}" name="Балл минимальный" headerRowDxfId="1095" dataDxfId="1094">
      <calculatedColumnFormula>MIN(V12:AC12)</calculatedColumnFormula>
    </tableColumn>
    <tableColumn id="59" xr3:uid="{00000000-0010-0000-0000-00003B000000}" name="Б*l" headerRowDxfId="1093" dataDxfId="1092">
      <calculatedColumnFormula>AP12*C12</calculatedColumnFormula>
    </tableColumn>
    <tableColumn id="63" xr3:uid="{00000000-0010-0000-0000-00003F000000}" name="Столбец50" headerRowDxfId="1091" dataDxfId="1090"/>
    <tableColumn id="64" xr3:uid="{00000000-0010-0000-0000-000040000000}" name="Столбец51" headerRowDxfId="1089" dataDxfId="1088">
      <calculatedColumnFormula>AD12</calculatedColumnFormula>
    </tableColumn>
    <tableColumn id="65" xr3:uid="{00000000-0010-0000-0000-000041000000}" name="Столбец52" headerRowDxfId="1087" dataDxfId="1086">
      <calculatedColumnFormula>AE12</calculatedColumnFormula>
    </tableColumn>
    <tableColumn id="66" xr3:uid="{00000000-0010-0000-0000-000042000000}" name="Столбец53" headerRowDxfId="1085" dataDxfId="1084">
      <calculatedColumnFormula>E12</calculatedColumnFormula>
    </tableColumn>
    <tableColumn id="67" xr3:uid="{00000000-0010-0000-0000-000043000000}" name="Столбец54" headerRowDxfId="1083" dataDxfId="1082">
      <calculatedColumnFormula>D12</calculatedColumnFormula>
    </tableColumn>
    <tableColumn id="68" xr3:uid="{00000000-0010-0000-0000-000044000000}" name="Столбец55" headerRowDxfId="1081" dataDxfId="1080">
      <calculatedColumnFormula>IF(AP12=0,"-",AP12)</calculatedColumnFormula>
    </tableColumn>
    <tableColumn id="70" xr3:uid="{00000000-0010-0000-0000-000046000000}" name="Столбец57" headerRowDxfId="1079" dataDxfId="1078"/>
    <tableColumn id="34" xr3:uid="{00000000-0010-0000-0000-000022000000}" name="Столбец576" headerRowDxfId="1077" dataDxfId="1076">
      <calculatedColumnFormula>Таблица4383232[[#This Row],[Адрес дефекта, км +]]</calculatedColumnFormula>
    </tableColumn>
    <tableColumn id="33" xr3:uid="{00000000-0010-0000-0000-000021000000}" name="Столбец575" headerRowDxfId="1075" dataDxfId="1074">
      <calculatedColumnFormula>Таблица4383232[[#This Row],[Столбец55]]</calculatedColumnFormula>
    </tableColumn>
    <tableColumn id="32" xr3:uid="{00000000-0010-0000-0000-000020000000}" name="Столбец574" headerRowDxfId="1073" dataDxfId="1072">
      <calculatedColumnFormula>Таблица4383232[[#This Row],[Столбец59]]</calculatedColumnFormula>
    </tableColumn>
    <tableColumn id="31" xr3:uid="{00000000-0010-0000-0000-00001F000000}" name="Столбец573" headerRowDxfId="1071" dataDxfId="1070"/>
    <tableColumn id="30" xr3:uid="{00000000-0010-0000-0000-00001E000000}" name="Столбец572" headerRowDxfId="1069" dataDxfId="1068"/>
    <tableColumn id="71" xr3:uid="{00000000-0010-0000-0000-000047000000}" name="Столбец58" headerRowDxfId="1067" dataDxfId="1066">
      <calculatedColumnFormula>Таблица4383232[[#This Row],[Адрес дефекта, км +]]</calculatedColumnFormula>
    </tableColumn>
    <tableColumn id="72" xr3:uid="{00000000-0010-0000-0000-000048000000}" name="Столбец59" headerRowDxfId="1065" dataDxfId="1064">
      <calculatedColumnFormula>ROUND(1-((5-Таблица4383232[[#This Row],[Балл минимальный]])/10),2)</calculatedColumnFormula>
    </tableColumn>
    <tableColumn id="73" xr3:uid="{00000000-0010-0000-0000-000049000000}" name="Столбец60" headerRowDxfId="1063" dataDxfId="1062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Таблица438323234612131415181920212224252829303132" displayName="Таблица438323234612131415181920212224252829303132" ref="A12:BF31" headerRowCount="0" totalsRowShown="0" headerRowDxfId="117" dataDxfId="116">
  <tableColumns count="58">
    <tableColumn id="1" xr3:uid="{00000000-0010-0000-1E00-000001000000}" name="Столбец1" headerRowDxfId="115" dataDxfId="114"/>
    <tableColumn id="2" xr3:uid="{00000000-0010-0000-1E00-000002000000}" name="Столбец2" headerRowDxfId="113" dataDxfId="112"/>
    <tableColumn id="3" xr3:uid="{00000000-0010-0000-1E00-000003000000}" name="Прот" headerRowDxfId="111" dataDxfId="110">
      <calculatedColumnFormula>B12-A12</calculatedColumnFormula>
    </tableColumn>
    <tableColumn id="4" xr3:uid="{00000000-0010-0000-1E00-000004000000}" name="Ширина" headerRowDxfId="109" dataDxfId="108"/>
    <tableColumn id="5" xr3:uid="{00000000-0010-0000-1E00-000005000000}" name="Покрытие" headerRowDxfId="107" dataDxfId="106"/>
    <tableColumn id="6" xr3:uid="{00000000-0010-0000-1E00-000006000000}" name="Деф 1" headerRowDxfId="105" dataDxfId="104"/>
    <tableColumn id="7" xr3:uid="{00000000-0010-0000-1E00-000007000000}" name="Деф 2" headerRowDxfId="103" dataDxfId="102"/>
    <tableColumn id="8" xr3:uid="{00000000-0010-0000-1E00-000008000000}" name="Столбец4" headerRowDxfId="101" dataDxfId="100"/>
    <tableColumn id="9" xr3:uid="{00000000-0010-0000-1E00-000009000000}" name="Столбец5" headerRowDxfId="99" dataDxfId="98"/>
    <tableColumn id="10" xr3:uid="{00000000-0010-0000-1E00-00000A000000}" name="Столбец6" headerRowDxfId="97" dataDxfId="96"/>
    <tableColumn id="11" xr3:uid="{00000000-0010-0000-1E00-00000B000000}" name="Столбец7" headerRowDxfId="95" dataDxfId="94"/>
    <tableColumn id="12" xr3:uid="{00000000-0010-0000-1E00-00000C000000}" name="Столбец8" headerRowDxfId="93" dataDxfId="92"/>
    <tableColumn id="13" xr3:uid="{00000000-0010-0000-1E00-00000D000000}" name="Столбец9" headerRowDxfId="91" dataDxfId="90"/>
    <tableColumn id="14" xr3:uid="{00000000-0010-0000-1E00-00000E000000}" name="Дефекты10" headerRowDxfId="89" dataDxfId="88">
      <calculatedColumnFormula>IFERROR(VLOOKUP(Таблица438323234612131415181920212224252829303132[[#This Row],[Деф 1]],Лист1!$A$4:$F$60,2,FALSE),"")</calculatedColumnFormula>
    </tableColumn>
    <tableColumn id="15" xr3:uid="{00000000-0010-0000-1E00-00000F000000}" name="Столбец11" headerRowDxfId="87" dataDxfId="86">
      <calculatedColumnFormula>IFERROR(VLOOKUP(Таблица438323234612131415181920212224252829303132[[#This Row],[Деф 2]],Лист1!$A$4:$F$60,2,FALSE),"")</calculatedColumnFormula>
    </tableColumn>
    <tableColumn id="16" xr3:uid="{00000000-0010-0000-1E00-000010000000}" name="Столбец12" headerRowDxfId="85" dataDxfId="84">
      <calculatedColumnFormula>IFERROR(VLOOKUP(Таблица438323234612131415181920212224252829303132[[#This Row],[Столбец4]],Лист1!$A$4:$F$60,2,FALSE),"")</calculatedColumnFormula>
    </tableColumn>
    <tableColumn id="17" xr3:uid="{00000000-0010-0000-1E00-000011000000}" name="Столбец13" headerRowDxfId="83" dataDxfId="82">
      <calculatedColumnFormula>IFERROR(VLOOKUP(Таблица438323234612131415181920212224252829303132[[#This Row],[Столбец5]],Лист1!$A$4:$F$60,2,FALSE),"")</calculatedColumnFormula>
    </tableColumn>
    <tableColumn id="18" xr3:uid="{00000000-0010-0000-1E00-000012000000}" name="Столбец14" headerRowDxfId="81" dataDxfId="80">
      <calculatedColumnFormula>IFERROR(VLOOKUP(Таблица438323234612131415181920212224252829303132[[#This Row],[Столбец6]],Лист1!$A$4:$F$60,2,FALSE),"")</calculatedColumnFormula>
    </tableColumn>
    <tableColumn id="19" xr3:uid="{00000000-0010-0000-1E00-000013000000}" name="Столбец15" headerRowDxfId="79" dataDxfId="78">
      <calculatedColumnFormula>IFERROR(VLOOKUP(Таблица438323234612131415181920212224252829303132[[#This Row],[Столбец7]],Лист1!$A$4:$F$60,2,FALSE),"")</calculatedColumnFormula>
    </tableColumn>
    <tableColumn id="20" xr3:uid="{00000000-0010-0000-1E00-000014000000}" name="Столбец16" headerRowDxfId="77" dataDxfId="76">
      <calculatedColumnFormula>IFERROR(VLOOKUP(Таблица438323234612131415181920212224252829303132[[#This Row],[Столбец8]],Лист1!$A$4:$F$60,2,FALSE),"")</calculatedColumnFormula>
    </tableColumn>
    <tableColumn id="21" xr3:uid="{00000000-0010-0000-1E00-000015000000}" name="Столбец17" headerRowDxfId="75" dataDxfId="74">
      <calculatedColumnFormula>IFERROR(VLOOKUP(Таблица438323234612131415181920212224252829303132[[#This Row],[Столбец9]],Лист1!$A$4:$F$60,2,FALSE),"")</calculatedColumnFormula>
    </tableColumn>
    <tableColumn id="22" xr3:uid="{00000000-0010-0000-1E00-000016000000}" name="Баллы" headerRowDxfId="73" dataDxfId="72">
      <calculatedColumnFormula>IFERROR(VLOOKUP(Таблица438323234612131415181920212224252829303132[[#This Row],[Деф 1]],Лист1!$A$4:$F$60,3,FALSE),"")</calculatedColumnFormula>
    </tableColumn>
    <tableColumn id="23" xr3:uid="{00000000-0010-0000-1E00-000017000000}" name="Столбец18" headerRowDxfId="71" dataDxfId="70">
      <calculatedColumnFormula>IFERROR(VLOOKUP(Таблица438323234612131415181920212224252829303132[[#This Row],[Деф 2]],Лист1!$A$4:$F$60,3,FALSE),"")</calculatedColumnFormula>
    </tableColumn>
    <tableColumn id="24" xr3:uid="{00000000-0010-0000-1E00-000018000000}" name="Столбец19" headerRowDxfId="69" dataDxfId="68">
      <calculatedColumnFormula>IFERROR(VLOOKUP(Таблица438323234612131415181920212224252829303132[[#This Row],[Столбец4]],Лист1!$A$4:$F$60,3,FALSE),"")</calculatedColumnFormula>
    </tableColumn>
    <tableColumn id="25" xr3:uid="{00000000-0010-0000-1E00-000019000000}" name="Столбец20" headerRowDxfId="67" dataDxfId="66">
      <calculatedColumnFormula>IFERROR(VLOOKUP(Таблица438323234612131415181920212224252829303132[[#This Row],[Столбец5]],Лист1!$A$4:$F$60,3,FALSE),"")</calculatedColumnFormula>
    </tableColumn>
    <tableColumn id="26" xr3:uid="{00000000-0010-0000-1E00-00001A000000}" name="Столбец21" headerRowDxfId="65" dataDxfId="64">
      <calculatedColumnFormula>IFERROR(VLOOKUP(Таблица438323234612131415181920212224252829303132[[#This Row],[Столбец6]],Лист1!$A$4:$F$60,3,FALSE),"")</calculatedColumnFormula>
    </tableColumn>
    <tableColumn id="27" xr3:uid="{00000000-0010-0000-1E00-00001B000000}" name="Столбец22" headerRowDxfId="63" dataDxfId="62">
      <calculatedColumnFormula>IFERROR(VLOOKUP(Таблица438323234612131415181920212224252829303132[[#This Row],[Столбец7]],Лист1!$A$4:$F$60,3,FALSE),"")</calculatedColumnFormula>
    </tableColumn>
    <tableColumn id="28" xr3:uid="{00000000-0010-0000-1E00-00001C000000}" name="Столбец23" headerRowDxfId="61" dataDxfId="60">
      <calculatedColumnFormula>IFERROR(VLOOKUP(Таблица438323234612131415181920212224252829303132[[#This Row],[Столбец8]],Лист1!$A$4:$F$60,3,FALSE),"")</calculatedColumnFormula>
    </tableColumn>
    <tableColumn id="29" xr3:uid="{00000000-0010-0000-1E00-00001D000000}" name="Столбец24" headerRowDxfId="59" dataDxfId="58">
      <calculatedColumnFormula>IFERROR(VLOOKUP(Таблица438323234612131415181920212224252829303132[[#This Row],[Столбец9]],Лист1!$A$4:$F$60,3,FALSE),"")</calculatedColumnFormula>
    </tableColumn>
    <tableColumn id="46" xr3:uid="{00000000-0010-0000-1E00-00002E000000}" name="Столбец39" headerRowDxfId="57" dataDxfId="56">
      <calculatedColumnFormula>ROUND(AE11,3)</calculatedColumnFormula>
    </tableColumn>
    <tableColumn id="47" xr3:uid="{00000000-0010-0000-1E00-00002F000000}" name="0" headerRowDxfId="55" dataDxfId="54">
      <calculatedColumnFormula>ROUND(AD12+C12,3)</calculatedColumnFormula>
    </tableColumn>
    <tableColumn id="48" xr3:uid="{00000000-0010-0000-1E00-000030000000}" name="Столбец41" headerRowDxfId="53" dataDxfId="52">
      <calculatedColumnFormula>ROUND(ROUNDDOWN(AD12,0),0)</calculatedColumnFormula>
    </tableColumn>
    <tableColumn id="49" xr3:uid="{00000000-0010-0000-1E00-000031000000}" name="Столбец42" headerRowDxfId="51" dataDxfId="50">
      <calculatedColumnFormula>ROUND((AD12-AF12)*1000,0)</calculatedColumnFormula>
    </tableColumn>
    <tableColumn id="50" xr3:uid="{00000000-0010-0000-1E00-000032000000}" name="Столбец43" headerRowDxfId="49" dataDxfId="48">
      <calculatedColumnFormula>ROUND(ROUNDDOWN(AE12,0),0)</calculatedColumnFormula>
    </tableColumn>
    <tableColumn id="51" xr3:uid="{00000000-0010-0000-1E00-000033000000}" name="Столбец44" headerRowDxfId="47" dataDxfId="46">
      <calculatedColumnFormula>ROUND((AE12-AH12)*1000,0)</calculatedColumnFormula>
    </tableColumn>
    <tableColumn id="52" xr3:uid="{00000000-0010-0000-1E00-000034000000}" name="Столбец45" headerRowDxfId="45" dataDxfId="44">
      <calculatedColumnFormula>IF(Таблица438323234612131415181920212224252829303132[[#This Row],[Столбец42]]=0,"000",Таблица438323234612131415181920212224252829303132[[#This Row],[Столбец42]])</calculatedColumnFormula>
    </tableColumn>
    <tableColumn id="53" xr3:uid="{00000000-0010-0000-1E00-000035000000}" name="Столбец46" headerRowDxfId="43" dataDxfId="42">
      <calculatedColumnFormula>IF(Таблица438323234612131415181920212224252829303132[[#This Row],[Столбец44]]=0,"000",Таблица438323234612131415181920212224252829303132[[#This Row],[Столбец44]])</calculatedColumnFormula>
    </tableColumn>
    <tableColumn id="76" xr3:uid="{00000000-0010-0000-1E00-00004C000000}" name="Столбец462" headerRowDxfId="41" dataDxfId="40"/>
    <tableColumn id="54" xr3:uid="{00000000-0010-0000-1E00-000036000000}" name="Адрес дефекта, км +" headerRowDxfId="39" dataDxfId="38">
      <calculatedColumnFormula>CONCATENATE("км ",AF12,"+",AJ12," - км ",AH12,"+",AK12)</calculatedColumnFormula>
    </tableColumn>
    <tableColumn id="55" xr3:uid="{00000000-0010-0000-1E00-000037000000}" name="Столбец48" headerRowDxfId="37" dataDxfId="36">
      <calculatedColumnFormula>IF(ISBLANK(Таблица438323234612131415181920212224252829303132[[#This Row],[Столбец9]]),N12&amp;O12&amp;P12&amp;Q12&amp;R12&amp;S12&amp;T12&amp;U12,N12&amp;O12&amp;P12&amp;Q12&amp;R12&amp;S12&amp;T12&amp;U12&amp;";")</calculatedColumnFormula>
    </tableColumn>
    <tableColumn id="75" xr3:uid="{00000000-0010-0000-1E00-00004B000000}" name="Вид дефекта" headerRowDxfId="35" dataDxfId="34">
      <calculatedColumnFormula>UPPER(LEFT(Таблица438323234612131415181920212224252829303132[[#This Row],[Столбец48]],1))&amp;RIGHT(LOWER(Таблица438323234612131415181920212224252829303132[[#This Row],[Столбец48]]),LEN(Таблица438323234612131415181920212224252829303132[[#This Row],[Столбец48]])-1)</calculatedColumnFormula>
    </tableColumn>
    <tableColumn id="56" xr3:uid="{00000000-0010-0000-1E00-000038000000}" name="Балл минимальный" headerRowDxfId="33" dataDxfId="32">
      <calculatedColumnFormula>MIN(V12:AC12)</calculatedColumnFormula>
    </tableColumn>
    <tableColumn id="59" xr3:uid="{00000000-0010-0000-1E00-00003B000000}" name="Б*l" headerRowDxfId="31" dataDxfId="30">
      <calculatedColumnFormula>AP12*C12</calculatedColumnFormula>
    </tableColumn>
    <tableColumn id="63" xr3:uid="{00000000-0010-0000-1E00-00003F000000}" name="Столбец50" headerRowDxfId="29" dataDxfId="28"/>
    <tableColumn id="64" xr3:uid="{00000000-0010-0000-1E00-000040000000}" name="Столбец51" headerRowDxfId="27" dataDxfId="26">
      <calculatedColumnFormula>AD12</calculatedColumnFormula>
    </tableColumn>
    <tableColumn id="65" xr3:uid="{00000000-0010-0000-1E00-000041000000}" name="Столбец52" headerRowDxfId="25" dataDxfId="24">
      <calculatedColumnFormula>AE12</calculatedColumnFormula>
    </tableColumn>
    <tableColumn id="66" xr3:uid="{00000000-0010-0000-1E00-000042000000}" name="Столбец53" headerRowDxfId="23" dataDxfId="22">
      <calculatedColumnFormula>E12</calculatedColumnFormula>
    </tableColumn>
    <tableColumn id="67" xr3:uid="{00000000-0010-0000-1E00-000043000000}" name="Столбец54" headerRowDxfId="21" dataDxfId="20">
      <calculatedColumnFormula>D12</calculatedColumnFormula>
    </tableColumn>
    <tableColumn id="68" xr3:uid="{00000000-0010-0000-1E00-000044000000}" name="Столбец55" headerRowDxfId="19" dataDxfId="18">
      <calculatedColumnFormula>IF(AP12=0,"-",AP12)</calculatedColumnFormula>
    </tableColumn>
    <tableColumn id="70" xr3:uid="{00000000-0010-0000-1E00-000046000000}" name="Столбец57" headerRowDxfId="17" dataDxfId="16"/>
    <tableColumn id="34" xr3:uid="{00000000-0010-0000-1E00-000022000000}" name="Столбец576" headerRowDxfId="15" dataDxfId="14">
      <calculatedColumnFormula>Таблица438323234612131415181920212224252829303132[[#This Row],[Адрес дефекта, км +]]</calculatedColumnFormula>
    </tableColumn>
    <tableColumn id="33" xr3:uid="{00000000-0010-0000-1E00-000021000000}" name="Столбец575" headerRowDxfId="13" dataDxfId="12">
      <calculatedColumnFormula>Таблица438323234612131415181920212224252829303132[[#This Row],[Столбец55]]</calculatedColumnFormula>
    </tableColumn>
    <tableColumn id="32" xr3:uid="{00000000-0010-0000-1E00-000020000000}" name="Столбец574" headerRowDxfId="11" dataDxfId="10">
      <calculatedColumnFormula>Таблица438323234612131415181920212224252829303132[[#This Row],[Столбец59]]</calculatedColumnFormula>
    </tableColumn>
    <tableColumn id="31" xr3:uid="{00000000-0010-0000-1E00-00001F000000}" name="Столбец573" headerRowDxfId="9" dataDxfId="8"/>
    <tableColumn id="30" xr3:uid="{00000000-0010-0000-1E00-00001E000000}" name="Столбец572" headerRowDxfId="7" dataDxfId="6"/>
    <tableColumn id="71" xr3:uid="{00000000-0010-0000-1E00-000047000000}" name="Столбец58" headerRowDxfId="5" dataDxfId="4">
      <calculatedColumnFormula>Таблица438323234612131415181920212224252829303132[[#This Row],[Адрес дефекта, км +]]</calculatedColumnFormula>
    </tableColumn>
    <tableColumn id="72" xr3:uid="{00000000-0010-0000-1E00-000048000000}" name="Столбец59" headerRowDxfId="3" dataDxfId="2">
      <calculatedColumnFormula>ROUND(1-((5-Таблица438323234612131415181920212224252829303132[[#This Row],[Балл минимальный]])/10),2)</calculatedColumnFormula>
    </tableColumn>
    <tableColumn id="73" xr3:uid="{00000000-0010-0000-1E00-000049000000}" name="Столбец60" headerRowDxfId="1" dataDxfId="0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43832323" displayName="Таблица43832323" ref="A12:BF64" headerRowCount="0" totalsRowShown="0" headerRowDxfId="1061" dataDxfId="1060">
  <tableColumns count="58">
    <tableColumn id="1" xr3:uid="{00000000-0010-0000-0100-000001000000}" name="Столбец1" headerRowDxfId="1059" dataDxfId="1058"/>
    <tableColumn id="2" xr3:uid="{00000000-0010-0000-0100-000002000000}" name="Столбец2" headerRowDxfId="1057" dataDxfId="1056"/>
    <tableColumn id="3" xr3:uid="{00000000-0010-0000-0100-000003000000}" name="Прот" headerRowDxfId="1055" dataDxfId="1054">
      <calculatedColumnFormula>B12-A12</calculatedColumnFormula>
    </tableColumn>
    <tableColumn id="4" xr3:uid="{00000000-0010-0000-0100-000004000000}" name="Ширина" headerRowDxfId="1053" dataDxfId="1052"/>
    <tableColumn id="5" xr3:uid="{00000000-0010-0000-0100-000005000000}" name="Покрытие" headerRowDxfId="1051" dataDxfId="1050"/>
    <tableColumn id="6" xr3:uid="{00000000-0010-0000-0100-000006000000}" name="Деф 1" headerRowDxfId="1049" dataDxfId="1048"/>
    <tableColumn id="7" xr3:uid="{00000000-0010-0000-0100-000007000000}" name="Деф 2" headerRowDxfId="1047" dataDxfId="1046"/>
    <tableColumn id="8" xr3:uid="{00000000-0010-0000-0100-000008000000}" name="Столбец4" headerRowDxfId="1045" dataDxfId="1044"/>
    <tableColumn id="9" xr3:uid="{00000000-0010-0000-0100-000009000000}" name="Столбец5" headerRowDxfId="1043" dataDxfId="1042"/>
    <tableColumn id="10" xr3:uid="{00000000-0010-0000-0100-00000A000000}" name="Столбец6" headerRowDxfId="1041" dataDxfId="1040"/>
    <tableColumn id="11" xr3:uid="{00000000-0010-0000-0100-00000B000000}" name="Столбец7" headerRowDxfId="1039" dataDxfId="1038"/>
    <tableColumn id="12" xr3:uid="{00000000-0010-0000-0100-00000C000000}" name="Столбец8" headerRowDxfId="1037" dataDxfId="1036"/>
    <tableColumn id="13" xr3:uid="{00000000-0010-0000-0100-00000D000000}" name="Столбец9" headerRowDxfId="1035" dataDxfId="1034"/>
    <tableColumn id="14" xr3:uid="{00000000-0010-0000-0100-00000E000000}" name="Дефекты10" headerRowDxfId="1033" dataDxfId="1032">
      <calculatedColumnFormula>IFERROR(VLOOKUP(Таблица43832323[[#This Row],[Деф 1]],Лист1!$A$4:$F$60,2,FALSE),"")</calculatedColumnFormula>
    </tableColumn>
    <tableColumn id="15" xr3:uid="{00000000-0010-0000-0100-00000F000000}" name="Столбец11" headerRowDxfId="1031" dataDxfId="1030">
      <calculatedColumnFormula>IFERROR(VLOOKUP(Таблица43832323[[#This Row],[Деф 2]],Лист1!$A$4:$F$60,2,FALSE),"")</calculatedColumnFormula>
    </tableColumn>
    <tableColumn id="16" xr3:uid="{00000000-0010-0000-0100-000010000000}" name="Столбец12" headerRowDxfId="1029" dataDxfId="1028">
      <calculatedColumnFormula>IFERROR(VLOOKUP(Таблица43832323[[#This Row],[Столбец4]],Лист1!$A$4:$F$60,2,FALSE),"")</calculatedColumnFormula>
    </tableColumn>
    <tableColumn id="17" xr3:uid="{00000000-0010-0000-0100-000011000000}" name="Столбец13" headerRowDxfId="1027" dataDxfId="1026">
      <calculatedColumnFormula>IFERROR(VLOOKUP(Таблица43832323[[#This Row],[Столбец5]],Лист1!$A$4:$F$60,2,FALSE),"")</calculatedColumnFormula>
    </tableColumn>
    <tableColumn id="18" xr3:uid="{00000000-0010-0000-0100-000012000000}" name="Столбец14" headerRowDxfId="1025" dataDxfId="1024">
      <calculatedColumnFormula>IFERROR(VLOOKUP(Таблица43832323[[#This Row],[Столбец6]],Лист1!$A$4:$F$60,2,FALSE),"")</calculatedColumnFormula>
    </tableColumn>
    <tableColumn id="19" xr3:uid="{00000000-0010-0000-0100-000013000000}" name="Столбец15" headerRowDxfId="1023" dataDxfId="1022">
      <calculatedColumnFormula>IFERROR(VLOOKUP(Таблица43832323[[#This Row],[Столбец7]],Лист1!$A$4:$F$60,2,FALSE),"")</calculatedColumnFormula>
    </tableColumn>
    <tableColumn id="20" xr3:uid="{00000000-0010-0000-0100-000014000000}" name="Столбец16" headerRowDxfId="1021" dataDxfId="1020">
      <calculatedColumnFormula>IFERROR(VLOOKUP(Таблица43832323[[#This Row],[Столбец8]],Лист1!$A$4:$F$60,2,FALSE),"")</calculatedColumnFormula>
    </tableColumn>
    <tableColumn id="21" xr3:uid="{00000000-0010-0000-0100-000015000000}" name="Столбец17" headerRowDxfId="1019" dataDxfId="1018">
      <calculatedColumnFormula>IFERROR(VLOOKUP(Таблица43832323[[#This Row],[Столбец9]],Лист1!$A$4:$F$60,2,FALSE),"")</calculatedColumnFormula>
    </tableColumn>
    <tableColumn id="22" xr3:uid="{00000000-0010-0000-0100-000016000000}" name="Баллы" headerRowDxfId="1017" dataDxfId="1016">
      <calculatedColumnFormula>IFERROR(VLOOKUP(Таблица43832323[[#This Row],[Деф 1]],Лист1!$A$4:$F$60,3,FALSE),"")</calculatedColumnFormula>
    </tableColumn>
    <tableColumn id="23" xr3:uid="{00000000-0010-0000-0100-000017000000}" name="Столбец18" headerRowDxfId="1015" dataDxfId="1014">
      <calculatedColumnFormula>IFERROR(VLOOKUP(Таблица43832323[[#This Row],[Деф 2]],Лист1!$A$4:$F$60,3,FALSE),"")</calculatedColumnFormula>
    </tableColumn>
    <tableColumn id="24" xr3:uid="{00000000-0010-0000-0100-000018000000}" name="Столбец19" headerRowDxfId="1013" dataDxfId="1012">
      <calculatedColumnFormula>IFERROR(VLOOKUP(Таблица43832323[[#This Row],[Столбец4]],Лист1!$A$4:$F$60,3,FALSE),"")</calculatedColumnFormula>
    </tableColumn>
    <tableColumn id="25" xr3:uid="{00000000-0010-0000-0100-000019000000}" name="Столбец20" headerRowDxfId="1011" dataDxfId="1010">
      <calculatedColumnFormula>IFERROR(VLOOKUP(Таблица43832323[[#This Row],[Столбец5]],Лист1!$A$4:$F$60,3,FALSE),"")</calculatedColumnFormula>
    </tableColumn>
    <tableColumn id="26" xr3:uid="{00000000-0010-0000-0100-00001A000000}" name="Столбец21" headerRowDxfId="1009" dataDxfId="1008">
      <calculatedColumnFormula>IFERROR(VLOOKUP(Таблица43832323[[#This Row],[Столбец6]],Лист1!$A$4:$F$60,3,FALSE),"")</calculatedColumnFormula>
    </tableColumn>
    <tableColumn id="27" xr3:uid="{00000000-0010-0000-0100-00001B000000}" name="Столбец22" headerRowDxfId="1007" dataDxfId="1006">
      <calculatedColumnFormula>IFERROR(VLOOKUP(Таблица43832323[[#This Row],[Столбец7]],Лист1!$A$4:$F$60,3,FALSE),"")</calculatedColumnFormula>
    </tableColumn>
    <tableColumn id="28" xr3:uid="{00000000-0010-0000-0100-00001C000000}" name="Столбец23" headerRowDxfId="1005" dataDxfId="1004">
      <calculatedColumnFormula>IFERROR(VLOOKUP(Таблица43832323[[#This Row],[Столбец8]],Лист1!$A$4:$F$60,3,FALSE),"")</calculatedColumnFormula>
    </tableColumn>
    <tableColumn id="29" xr3:uid="{00000000-0010-0000-0100-00001D000000}" name="Столбец24" headerRowDxfId="1003" dataDxfId="1002">
      <calculatedColumnFormula>IFERROR(VLOOKUP(Таблица43832323[[#This Row],[Столбец9]],Лист1!$A$4:$F$60,3,FALSE),"")</calculatedColumnFormula>
    </tableColumn>
    <tableColumn id="46" xr3:uid="{00000000-0010-0000-0100-00002E000000}" name="Столбец39" headerRowDxfId="1001" dataDxfId="1000">
      <calculatedColumnFormula>ROUND(AE11,3)</calculatedColumnFormula>
    </tableColumn>
    <tableColumn id="47" xr3:uid="{00000000-0010-0000-0100-00002F000000}" name="0" headerRowDxfId="999" dataDxfId="998">
      <calculatedColumnFormula>ROUND(AD12+C12,3)</calculatedColumnFormula>
    </tableColumn>
    <tableColumn id="48" xr3:uid="{00000000-0010-0000-0100-000030000000}" name="Столбец41" headerRowDxfId="997" dataDxfId="996">
      <calculatedColumnFormula>ROUND(ROUNDDOWN(AD12,0),0)</calculatedColumnFormula>
    </tableColumn>
    <tableColumn id="49" xr3:uid="{00000000-0010-0000-0100-000031000000}" name="Столбец42" headerRowDxfId="995" dataDxfId="994">
      <calculatedColumnFormula>ROUND((AD12-AF12)*1000,0)</calculatedColumnFormula>
    </tableColumn>
    <tableColumn id="50" xr3:uid="{00000000-0010-0000-0100-000032000000}" name="Столбец43" headerRowDxfId="993" dataDxfId="992">
      <calculatedColumnFormula>ROUND(ROUNDDOWN(AE12,0),0)</calculatedColumnFormula>
    </tableColumn>
    <tableColumn id="51" xr3:uid="{00000000-0010-0000-0100-000033000000}" name="Столбец44" headerRowDxfId="991" dataDxfId="990">
      <calculatedColumnFormula>ROUND((AE12-AH12)*1000,0)</calculatedColumnFormula>
    </tableColumn>
    <tableColumn id="52" xr3:uid="{00000000-0010-0000-0100-000034000000}" name="Столбец45" headerRowDxfId="989" dataDxfId="988">
      <calculatedColumnFormula>IF(Таблица43832323[[#This Row],[Столбец42]]=0,"000",Таблица43832323[[#This Row],[Столбец42]])</calculatedColumnFormula>
    </tableColumn>
    <tableColumn id="53" xr3:uid="{00000000-0010-0000-0100-000035000000}" name="Столбец46" headerRowDxfId="987" dataDxfId="986">
      <calculatedColumnFormula>IF(Таблица43832323[[#This Row],[Столбец44]]=0,"000",Таблица43832323[[#This Row],[Столбец44]])</calculatedColumnFormula>
    </tableColumn>
    <tableColumn id="76" xr3:uid="{00000000-0010-0000-0100-00004C000000}" name="Столбец462" headerRowDxfId="985" dataDxfId="984"/>
    <tableColumn id="54" xr3:uid="{00000000-0010-0000-0100-000036000000}" name="Адрес дефекта, км +" headerRowDxfId="983" dataDxfId="982">
      <calculatedColumnFormula>CONCATENATE("км ",AF12,"+",AJ12," - км ",AH12,"+",AK12)</calculatedColumnFormula>
    </tableColumn>
    <tableColumn id="55" xr3:uid="{00000000-0010-0000-0100-000037000000}" name="Столбец48" headerRowDxfId="981" dataDxfId="980">
      <calculatedColumnFormula>IF(ISBLANK(Таблица43832323[[#This Row],[Столбец9]]),N12&amp;O12&amp;P12&amp;Q12&amp;R12&amp;S12&amp;T12&amp;U12,N12&amp;O12&amp;P12&amp;Q12&amp;R12&amp;S12&amp;T12&amp;U12&amp;";")</calculatedColumnFormula>
    </tableColumn>
    <tableColumn id="75" xr3:uid="{00000000-0010-0000-0100-00004B000000}" name="Вид дефекта" headerRowDxfId="979" dataDxfId="978">
      <calculatedColumnFormula>UPPER(LEFT(Таблица43832323[[#This Row],[Столбец48]],1))&amp;RIGHT(LOWER(Таблица43832323[[#This Row],[Столбец48]]),LEN(Таблица43832323[[#This Row],[Столбец48]])-1)</calculatedColumnFormula>
    </tableColumn>
    <tableColumn id="56" xr3:uid="{00000000-0010-0000-0100-000038000000}" name="Балл минимальный" headerRowDxfId="977" dataDxfId="976">
      <calculatedColumnFormula>MIN(V12:AC12)</calculatedColumnFormula>
    </tableColumn>
    <tableColumn id="59" xr3:uid="{00000000-0010-0000-0100-00003B000000}" name="Б*l" headerRowDxfId="975" dataDxfId="974">
      <calculatedColumnFormula>AP12*C12</calculatedColumnFormula>
    </tableColumn>
    <tableColumn id="63" xr3:uid="{00000000-0010-0000-0100-00003F000000}" name="Столбец50" headerRowDxfId="973" dataDxfId="972"/>
    <tableColumn id="64" xr3:uid="{00000000-0010-0000-0100-000040000000}" name="Столбец51" headerRowDxfId="971" dataDxfId="970">
      <calculatedColumnFormula>AD12</calculatedColumnFormula>
    </tableColumn>
    <tableColumn id="65" xr3:uid="{00000000-0010-0000-0100-000041000000}" name="Столбец52" headerRowDxfId="969" dataDxfId="968">
      <calculatedColumnFormula>AE12</calculatedColumnFormula>
    </tableColumn>
    <tableColumn id="66" xr3:uid="{00000000-0010-0000-0100-000042000000}" name="Столбец53" headerRowDxfId="967" dataDxfId="966">
      <calculatedColumnFormula>E12</calculatedColumnFormula>
    </tableColumn>
    <tableColumn id="67" xr3:uid="{00000000-0010-0000-0100-000043000000}" name="Столбец54" headerRowDxfId="965" dataDxfId="964">
      <calculatedColumnFormula>D12</calculatedColumnFormula>
    </tableColumn>
    <tableColumn id="68" xr3:uid="{00000000-0010-0000-0100-000044000000}" name="Столбец55" headerRowDxfId="963" dataDxfId="962">
      <calculatedColumnFormula>IF(AP12=0,"-",AP12)</calculatedColumnFormula>
    </tableColumn>
    <tableColumn id="70" xr3:uid="{00000000-0010-0000-0100-000046000000}" name="Столбец57" headerRowDxfId="961" dataDxfId="960"/>
    <tableColumn id="34" xr3:uid="{00000000-0010-0000-0100-000022000000}" name="Столбец576" headerRowDxfId="959" dataDxfId="958">
      <calculatedColumnFormula>Таблица43832323[[#This Row],[Адрес дефекта, км +]]</calculatedColumnFormula>
    </tableColumn>
    <tableColumn id="33" xr3:uid="{00000000-0010-0000-0100-000021000000}" name="Столбец575" headerRowDxfId="957" dataDxfId="956">
      <calculatedColumnFormula>Таблица43832323[[#This Row],[Столбец55]]</calculatedColumnFormula>
    </tableColumn>
    <tableColumn id="32" xr3:uid="{00000000-0010-0000-0100-000020000000}" name="Столбец574" headerRowDxfId="955" dataDxfId="954">
      <calculatedColumnFormula>Таблица43832323[[#This Row],[Столбец59]]</calculatedColumnFormula>
    </tableColumn>
    <tableColumn id="31" xr3:uid="{00000000-0010-0000-0100-00001F000000}" name="Столбец573" headerRowDxfId="953" dataDxfId="952"/>
    <tableColumn id="30" xr3:uid="{00000000-0010-0000-0100-00001E000000}" name="Столбец572" headerRowDxfId="951" dataDxfId="950"/>
    <tableColumn id="71" xr3:uid="{00000000-0010-0000-0100-000047000000}" name="Столбец58" headerRowDxfId="949" dataDxfId="948">
      <calculatedColumnFormula>Таблица43832323[[#This Row],[Адрес дефекта, км +]]</calculatedColumnFormula>
    </tableColumn>
    <tableColumn id="72" xr3:uid="{00000000-0010-0000-0100-000048000000}" name="Столбец59" headerRowDxfId="947" dataDxfId="946">
      <calculatedColumnFormula>ROUND(1-((5-Таблица43832323[[#This Row],[Балл минимальный]])/10),2)</calculatedColumnFormula>
    </tableColumn>
    <tableColumn id="73" xr3:uid="{00000000-0010-0000-0100-000049000000}" name="Столбец60" headerRowDxfId="945" dataDxfId="944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Таблица43832323461213" displayName="Таблица43832323461213" ref="A12:BF31" headerRowCount="0" totalsRowShown="0" headerRowDxfId="943" dataDxfId="942">
  <tableColumns count="58">
    <tableColumn id="1" xr3:uid="{00000000-0010-0000-0B00-000001000000}" name="Столбец1" headerRowDxfId="941" dataDxfId="940"/>
    <tableColumn id="2" xr3:uid="{00000000-0010-0000-0B00-000002000000}" name="Столбец2" headerRowDxfId="939" dataDxfId="938"/>
    <tableColumn id="3" xr3:uid="{00000000-0010-0000-0B00-000003000000}" name="Прот" headerRowDxfId="937" dataDxfId="936">
      <calculatedColumnFormula>B12-A12</calculatedColumnFormula>
    </tableColumn>
    <tableColumn id="4" xr3:uid="{00000000-0010-0000-0B00-000004000000}" name="Ширина" headerRowDxfId="935" dataDxfId="934"/>
    <tableColumn id="5" xr3:uid="{00000000-0010-0000-0B00-000005000000}" name="Покрытие" headerRowDxfId="933" dataDxfId="932"/>
    <tableColumn id="6" xr3:uid="{00000000-0010-0000-0B00-000006000000}" name="Деф 1" headerRowDxfId="931" dataDxfId="930"/>
    <tableColumn id="7" xr3:uid="{00000000-0010-0000-0B00-000007000000}" name="Деф 2" headerRowDxfId="929" dataDxfId="928"/>
    <tableColumn id="8" xr3:uid="{00000000-0010-0000-0B00-000008000000}" name="Столбец4" headerRowDxfId="927" dataDxfId="926"/>
    <tableColumn id="9" xr3:uid="{00000000-0010-0000-0B00-000009000000}" name="Столбец5" headerRowDxfId="925" dataDxfId="924"/>
    <tableColumn id="10" xr3:uid="{00000000-0010-0000-0B00-00000A000000}" name="Столбец6" headerRowDxfId="923" dataDxfId="922"/>
    <tableColumn id="11" xr3:uid="{00000000-0010-0000-0B00-00000B000000}" name="Столбец7" headerRowDxfId="921" dataDxfId="920"/>
    <tableColumn id="12" xr3:uid="{00000000-0010-0000-0B00-00000C000000}" name="Столбец8" headerRowDxfId="919" dataDxfId="918"/>
    <tableColumn id="13" xr3:uid="{00000000-0010-0000-0B00-00000D000000}" name="Столбец9" headerRowDxfId="917" dataDxfId="916"/>
    <tableColumn id="14" xr3:uid="{00000000-0010-0000-0B00-00000E000000}" name="Дефекты10" headerRowDxfId="915" dataDxfId="914">
      <calculatedColumnFormula>IFERROR(VLOOKUP(Таблица43832323461213[[#This Row],[Деф 1]],Лист1!$A$4:$F$60,2,FALSE),"")</calculatedColumnFormula>
    </tableColumn>
    <tableColumn id="15" xr3:uid="{00000000-0010-0000-0B00-00000F000000}" name="Столбец11" headerRowDxfId="913" dataDxfId="912">
      <calculatedColumnFormula>IFERROR(VLOOKUP(Таблица43832323461213[[#This Row],[Деф 2]],Лист1!$A$4:$F$60,2,FALSE),"")</calculatedColumnFormula>
    </tableColumn>
    <tableColumn id="16" xr3:uid="{00000000-0010-0000-0B00-000010000000}" name="Столбец12" headerRowDxfId="911" dataDxfId="910">
      <calculatedColumnFormula>IFERROR(VLOOKUP(Таблица43832323461213[[#This Row],[Столбец4]],Лист1!$A$4:$F$60,2,FALSE),"")</calculatedColumnFormula>
    </tableColumn>
    <tableColumn id="17" xr3:uid="{00000000-0010-0000-0B00-000011000000}" name="Столбец13" headerRowDxfId="909" dataDxfId="908">
      <calculatedColumnFormula>IFERROR(VLOOKUP(Таблица43832323461213[[#This Row],[Столбец5]],Лист1!$A$4:$F$60,2,FALSE),"")</calculatedColumnFormula>
    </tableColumn>
    <tableColumn id="18" xr3:uid="{00000000-0010-0000-0B00-000012000000}" name="Столбец14" headerRowDxfId="907" dataDxfId="906">
      <calculatedColumnFormula>IFERROR(VLOOKUP(Таблица43832323461213[[#This Row],[Столбец6]],Лист1!$A$4:$F$60,2,FALSE),"")</calculatedColumnFormula>
    </tableColumn>
    <tableColumn id="19" xr3:uid="{00000000-0010-0000-0B00-000013000000}" name="Столбец15" headerRowDxfId="905" dataDxfId="904">
      <calculatedColumnFormula>IFERROR(VLOOKUP(Таблица43832323461213[[#This Row],[Столбец7]],Лист1!$A$4:$F$60,2,FALSE),"")</calculatedColumnFormula>
    </tableColumn>
    <tableColumn id="20" xr3:uid="{00000000-0010-0000-0B00-000014000000}" name="Столбец16" headerRowDxfId="903" dataDxfId="902">
      <calculatedColumnFormula>IFERROR(VLOOKUP(Таблица43832323461213[[#This Row],[Столбец8]],Лист1!$A$4:$F$60,2,FALSE),"")</calculatedColumnFormula>
    </tableColumn>
    <tableColumn id="21" xr3:uid="{00000000-0010-0000-0B00-000015000000}" name="Столбец17" headerRowDxfId="901" dataDxfId="900">
      <calculatedColumnFormula>IFERROR(VLOOKUP(Таблица43832323461213[[#This Row],[Столбец9]],Лист1!$A$4:$F$60,2,FALSE),"")</calculatedColumnFormula>
    </tableColumn>
    <tableColumn id="22" xr3:uid="{00000000-0010-0000-0B00-000016000000}" name="Баллы" headerRowDxfId="899" dataDxfId="898">
      <calculatedColumnFormula>IFERROR(VLOOKUP(Таблица43832323461213[[#This Row],[Деф 1]],Лист1!$A$4:$F$60,3,FALSE),"")</calculatedColumnFormula>
    </tableColumn>
    <tableColumn id="23" xr3:uid="{00000000-0010-0000-0B00-000017000000}" name="Столбец18" headerRowDxfId="897" dataDxfId="896">
      <calculatedColumnFormula>IFERROR(VLOOKUP(Таблица43832323461213[[#This Row],[Деф 2]],Лист1!$A$4:$F$60,3,FALSE),"")</calculatedColumnFormula>
    </tableColumn>
    <tableColumn id="24" xr3:uid="{00000000-0010-0000-0B00-000018000000}" name="Столбец19" headerRowDxfId="895" dataDxfId="894">
      <calculatedColumnFormula>IFERROR(VLOOKUP(Таблица43832323461213[[#This Row],[Столбец4]],Лист1!$A$4:$F$60,3,FALSE),"")</calculatedColumnFormula>
    </tableColumn>
    <tableColumn id="25" xr3:uid="{00000000-0010-0000-0B00-000019000000}" name="Столбец20" headerRowDxfId="893" dataDxfId="892">
      <calculatedColumnFormula>IFERROR(VLOOKUP(Таблица43832323461213[[#This Row],[Столбец5]],Лист1!$A$4:$F$60,3,FALSE),"")</calculatedColumnFormula>
    </tableColumn>
    <tableColumn id="26" xr3:uid="{00000000-0010-0000-0B00-00001A000000}" name="Столбец21" headerRowDxfId="891" dataDxfId="890">
      <calculatedColumnFormula>IFERROR(VLOOKUP(Таблица43832323461213[[#This Row],[Столбец6]],Лист1!$A$4:$F$60,3,FALSE),"")</calculatedColumnFormula>
    </tableColumn>
    <tableColumn id="27" xr3:uid="{00000000-0010-0000-0B00-00001B000000}" name="Столбец22" headerRowDxfId="889" dataDxfId="888">
      <calculatedColumnFormula>IFERROR(VLOOKUP(Таблица43832323461213[[#This Row],[Столбец7]],Лист1!$A$4:$F$60,3,FALSE),"")</calculatedColumnFormula>
    </tableColumn>
    <tableColumn id="28" xr3:uid="{00000000-0010-0000-0B00-00001C000000}" name="Столбец23" headerRowDxfId="887" dataDxfId="886">
      <calculatedColumnFormula>IFERROR(VLOOKUP(Таблица43832323461213[[#This Row],[Столбец8]],Лист1!$A$4:$F$60,3,FALSE),"")</calculatedColumnFormula>
    </tableColumn>
    <tableColumn id="29" xr3:uid="{00000000-0010-0000-0B00-00001D000000}" name="Столбец24" headerRowDxfId="885" dataDxfId="884">
      <calculatedColumnFormula>IFERROR(VLOOKUP(Таблица43832323461213[[#This Row],[Столбец9]],Лист1!$A$4:$F$60,3,FALSE),"")</calculatedColumnFormula>
    </tableColumn>
    <tableColumn id="46" xr3:uid="{00000000-0010-0000-0B00-00002E000000}" name="Столбец39" headerRowDxfId="883" dataDxfId="882">
      <calculatedColumnFormula>ROUND(AE11,3)</calculatedColumnFormula>
    </tableColumn>
    <tableColumn id="47" xr3:uid="{00000000-0010-0000-0B00-00002F000000}" name="0" headerRowDxfId="881" dataDxfId="880">
      <calculatedColumnFormula>ROUND(AD12+C12,3)</calculatedColumnFormula>
    </tableColumn>
    <tableColumn id="48" xr3:uid="{00000000-0010-0000-0B00-000030000000}" name="Столбец41" headerRowDxfId="879" dataDxfId="878">
      <calculatedColumnFormula>ROUND(ROUNDDOWN(AD12,0),0)</calculatedColumnFormula>
    </tableColumn>
    <tableColumn id="49" xr3:uid="{00000000-0010-0000-0B00-000031000000}" name="Столбец42" headerRowDxfId="877" dataDxfId="876">
      <calculatedColumnFormula>ROUND((AD12-AF12)*1000,0)</calculatedColumnFormula>
    </tableColumn>
    <tableColumn id="50" xr3:uid="{00000000-0010-0000-0B00-000032000000}" name="Столбец43" headerRowDxfId="875" dataDxfId="874">
      <calculatedColumnFormula>ROUND(ROUNDDOWN(AE12,0),0)</calculatedColumnFormula>
    </tableColumn>
    <tableColumn id="51" xr3:uid="{00000000-0010-0000-0B00-000033000000}" name="Столбец44" headerRowDxfId="873" dataDxfId="872">
      <calculatedColumnFormula>ROUND((AE12-AH12)*1000,0)</calculatedColumnFormula>
    </tableColumn>
    <tableColumn id="52" xr3:uid="{00000000-0010-0000-0B00-000034000000}" name="Столбец45" headerRowDxfId="871" dataDxfId="870">
      <calculatedColumnFormula>IF(Таблица43832323461213[[#This Row],[Столбец42]]=0,"000",Таблица43832323461213[[#This Row],[Столбец42]])</calculatedColumnFormula>
    </tableColumn>
    <tableColumn id="53" xr3:uid="{00000000-0010-0000-0B00-000035000000}" name="Столбец46" headerRowDxfId="869" dataDxfId="868">
      <calculatedColumnFormula>IF(Таблица43832323461213[[#This Row],[Столбец44]]=0,"000",Таблица43832323461213[[#This Row],[Столбец44]])</calculatedColumnFormula>
    </tableColumn>
    <tableColumn id="76" xr3:uid="{00000000-0010-0000-0B00-00004C000000}" name="Столбец462" headerRowDxfId="867" dataDxfId="866"/>
    <tableColumn id="54" xr3:uid="{00000000-0010-0000-0B00-000036000000}" name="Адрес дефекта, км +" headerRowDxfId="865" dataDxfId="864">
      <calculatedColumnFormula>CONCATENATE("км ",AF12,"+",AJ12," - км ",AH12,"+",AK12)</calculatedColumnFormula>
    </tableColumn>
    <tableColumn id="55" xr3:uid="{00000000-0010-0000-0B00-000037000000}" name="Столбец48" headerRowDxfId="863" dataDxfId="862">
      <calculatedColumnFormula>IF(ISBLANK(Таблица43832323461213[[#This Row],[Столбец9]]),N12&amp;O12&amp;P12&amp;Q12&amp;R12&amp;S12&amp;T12&amp;U12,N12&amp;O12&amp;P12&amp;Q12&amp;R12&amp;S12&amp;T12&amp;U12&amp;";")</calculatedColumnFormula>
    </tableColumn>
    <tableColumn id="75" xr3:uid="{00000000-0010-0000-0B00-00004B000000}" name="Вид дефекта" headerRowDxfId="861" dataDxfId="860">
      <calculatedColumnFormula>UPPER(LEFT(Таблица43832323461213[[#This Row],[Столбец48]],1))&amp;RIGHT(LOWER(Таблица43832323461213[[#This Row],[Столбец48]]),LEN(Таблица43832323461213[[#This Row],[Столбец48]])-1)</calculatedColumnFormula>
    </tableColumn>
    <tableColumn id="56" xr3:uid="{00000000-0010-0000-0B00-000038000000}" name="Балл минимальный" headerRowDxfId="859" dataDxfId="858">
      <calculatedColumnFormula>MIN(V12:AC12)</calculatedColumnFormula>
    </tableColumn>
    <tableColumn id="59" xr3:uid="{00000000-0010-0000-0B00-00003B000000}" name="Б*l" headerRowDxfId="857" dataDxfId="856">
      <calculatedColumnFormula>AP12*C12</calculatedColumnFormula>
    </tableColumn>
    <tableColumn id="63" xr3:uid="{00000000-0010-0000-0B00-00003F000000}" name="Столбец50" headerRowDxfId="855" dataDxfId="854"/>
    <tableColumn id="64" xr3:uid="{00000000-0010-0000-0B00-000040000000}" name="Столбец51" headerRowDxfId="853" dataDxfId="852">
      <calculatedColumnFormula>AD12</calculatedColumnFormula>
    </tableColumn>
    <tableColumn id="65" xr3:uid="{00000000-0010-0000-0B00-000041000000}" name="Столбец52" headerRowDxfId="851" dataDxfId="850">
      <calculatedColumnFormula>AE12</calculatedColumnFormula>
    </tableColumn>
    <tableColumn id="66" xr3:uid="{00000000-0010-0000-0B00-000042000000}" name="Столбец53" headerRowDxfId="849" dataDxfId="848">
      <calculatedColumnFormula>E12</calculatedColumnFormula>
    </tableColumn>
    <tableColumn id="67" xr3:uid="{00000000-0010-0000-0B00-000043000000}" name="Столбец54" headerRowDxfId="847" dataDxfId="846">
      <calculatedColumnFormula>D12</calculatedColumnFormula>
    </tableColumn>
    <tableColumn id="68" xr3:uid="{00000000-0010-0000-0B00-000044000000}" name="Столбец55" headerRowDxfId="845" dataDxfId="844">
      <calculatedColumnFormula>IF(AP12=0,"-",AP12)</calculatedColumnFormula>
    </tableColumn>
    <tableColumn id="70" xr3:uid="{00000000-0010-0000-0B00-000046000000}" name="Столбец57" headerRowDxfId="843" dataDxfId="842"/>
    <tableColumn id="34" xr3:uid="{00000000-0010-0000-0B00-000022000000}" name="Столбец576" headerRowDxfId="841" dataDxfId="840">
      <calculatedColumnFormula>Таблица43832323461213[[#This Row],[Адрес дефекта, км +]]</calculatedColumnFormula>
    </tableColumn>
    <tableColumn id="33" xr3:uid="{00000000-0010-0000-0B00-000021000000}" name="Столбец575" headerRowDxfId="839" dataDxfId="838">
      <calculatedColumnFormula>Таблица43832323461213[[#This Row],[Столбец55]]</calculatedColumnFormula>
    </tableColumn>
    <tableColumn id="32" xr3:uid="{00000000-0010-0000-0B00-000020000000}" name="Столбец574" headerRowDxfId="837" dataDxfId="836">
      <calculatedColumnFormula>Таблица43832323461213[[#This Row],[Столбец59]]</calculatedColumnFormula>
    </tableColumn>
    <tableColumn id="31" xr3:uid="{00000000-0010-0000-0B00-00001F000000}" name="Столбец573" headerRowDxfId="835" dataDxfId="834"/>
    <tableColumn id="30" xr3:uid="{00000000-0010-0000-0B00-00001E000000}" name="Столбец572" headerRowDxfId="833" dataDxfId="832"/>
    <tableColumn id="71" xr3:uid="{00000000-0010-0000-0B00-000047000000}" name="Столбец58" headerRowDxfId="831" dataDxfId="830">
      <calculatedColumnFormula>Таблица43832323461213[[#This Row],[Адрес дефекта, км +]]</calculatedColumnFormula>
    </tableColumn>
    <tableColumn id="72" xr3:uid="{00000000-0010-0000-0B00-000048000000}" name="Столбец59" headerRowDxfId="829" dataDxfId="828">
      <calculatedColumnFormula>ROUND(1-((5-Таблица43832323461213[[#This Row],[Балл минимальный]])/10),2)</calculatedColumnFormula>
    </tableColumn>
    <tableColumn id="73" xr3:uid="{00000000-0010-0000-0B00-000049000000}" name="Столбец60" headerRowDxfId="827" dataDxfId="826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Таблица43832323461213141517" displayName="Таблица43832323461213141517" ref="A12:BF31" headerRowCount="0" totalsRowShown="0" headerRowDxfId="825" dataDxfId="824">
  <tableColumns count="58">
    <tableColumn id="1" xr3:uid="{00000000-0010-0000-0F00-000001000000}" name="Столбец1" headerRowDxfId="823" dataDxfId="822"/>
    <tableColumn id="2" xr3:uid="{00000000-0010-0000-0F00-000002000000}" name="Столбец2" headerRowDxfId="821" dataDxfId="820"/>
    <tableColumn id="3" xr3:uid="{00000000-0010-0000-0F00-000003000000}" name="Прот" headerRowDxfId="819" dataDxfId="818">
      <calculatedColumnFormula>B12-A12</calculatedColumnFormula>
    </tableColumn>
    <tableColumn id="4" xr3:uid="{00000000-0010-0000-0F00-000004000000}" name="Ширина" headerRowDxfId="817" dataDxfId="816"/>
    <tableColumn id="5" xr3:uid="{00000000-0010-0000-0F00-000005000000}" name="Покрытие" headerRowDxfId="815" dataDxfId="814"/>
    <tableColumn id="6" xr3:uid="{00000000-0010-0000-0F00-000006000000}" name="Деф 1" headerRowDxfId="813" dataDxfId="812"/>
    <tableColumn id="7" xr3:uid="{00000000-0010-0000-0F00-000007000000}" name="Деф 2" headerRowDxfId="811" dataDxfId="810"/>
    <tableColumn id="8" xr3:uid="{00000000-0010-0000-0F00-000008000000}" name="Столбец4" headerRowDxfId="809" dataDxfId="808"/>
    <tableColumn id="9" xr3:uid="{00000000-0010-0000-0F00-000009000000}" name="Столбец5" headerRowDxfId="807" dataDxfId="806"/>
    <tableColumn id="10" xr3:uid="{00000000-0010-0000-0F00-00000A000000}" name="Столбец6" headerRowDxfId="805" dataDxfId="804"/>
    <tableColumn id="11" xr3:uid="{00000000-0010-0000-0F00-00000B000000}" name="Столбец7" headerRowDxfId="803" dataDxfId="802"/>
    <tableColumn id="12" xr3:uid="{00000000-0010-0000-0F00-00000C000000}" name="Столбец8" headerRowDxfId="801" dataDxfId="800"/>
    <tableColumn id="13" xr3:uid="{00000000-0010-0000-0F00-00000D000000}" name="Столбец9" headerRowDxfId="799" dataDxfId="798"/>
    <tableColumn id="14" xr3:uid="{00000000-0010-0000-0F00-00000E000000}" name="Дефекты10" headerRowDxfId="797" dataDxfId="796">
      <calculatedColumnFormula>IFERROR(VLOOKUP(Таблица43832323461213141517[[#This Row],[Деф 1]],Лист1!$A$4:$F$60,2,FALSE),"")</calculatedColumnFormula>
    </tableColumn>
    <tableColumn id="15" xr3:uid="{00000000-0010-0000-0F00-00000F000000}" name="Столбец11" headerRowDxfId="795" dataDxfId="794">
      <calculatedColumnFormula>IFERROR(VLOOKUP(Таблица43832323461213141517[[#This Row],[Деф 2]],Лист1!$A$4:$F$60,2,FALSE),"")</calculatedColumnFormula>
    </tableColumn>
    <tableColumn id="16" xr3:uid="{00000000-0010-0000-0F00-000010000000}" name="Столбец12" headerRowDxfId="793" dataDxfId="792">
      <calculatedColumnFormula>IFERROR(VLOOKUP(Таблица43832323461213141517[[#This Row],[Столбец4]],Лист1!$A$4:$F$60,2,FALSE),"")</calculatedColumnFormula>
    </tableColumn>
    <tableColumn id="17" xr3:uid="{00000000-0010-0000-0F00-000011000000}" name="Столбец13" headerRowDxfId="791" dataDxfId="790">
      <calculatedColumnFormula>IFERROR(VLOOKUP(Таблица43832323461213141517[[#This Row],[Столбец5]],Лист1!$A$4:$F$60,2,FALSE),"")</calculatedColumnFormula>
    </tableColumn>
    <tableColumn id="18" xr3:uid="{00000000-0010-0000-0F00-000012000000}" name="Столбец14" headerRowDxfId="789" dataDxfId="788">
      <calculatedColumnFormula>IFERROR(VLOOKUP(Таблица43832323461213141517[[#This Row],[Столбец6]],Лист1!$A$4:$F$60,2,FALSE),"")</calculatedColumnFormula>
    </tableColumn>
    <tableColumn id="19" xr3:uid="{00000000-0010-0000-0F00-000013000000}" name="Столбец15" headerRowDxfId="787" dataDxfId="786">
      <calculatedColumnFormula>IFERROR(VLOOKUP(Таблица43832323461213141517[[#This Row],[Столбец7]],Лист1!$A$4:$F$60,2,FALSE),"")</calculatedColumnFormula>
    </tableColumn>
    <tableColumn id="20" xr3:uid="{00000000-0010-0000-0F00-000014000000}" name="Столбец16" headerRowDxfId="785" dataDxfId="784">
      <calculatedColumnFormula>IFERROR(VLOOKUP(Таблица43832323461213141517[[#This Row],[Столбец8]],Лист1!$A$4:$F$60,2,FALSE),"")</calculatedColumnFormula>
    </tableColumn>
    <tableColumn id="21" xr3:uid="{00000000-0010-0000-0F00-000015000000}" name="Столбец17" headerRowDxfId="783" dataDxfId="782">
      <calculatedColumnFormula>IFERROR(VLOOKUP(Таблица43832323461213141517[[#This Row],[Столбец9]],Лист1!$A$4:$F$60,2,FALSE),"")</calculatedColumnFormula>
    </tableColumn>
    <tableColumn id="22" xr3:uid="{00000000-0010-0000-0F00-000016000000}" name="Баллы" headerRowDxfId="781" dataDxfId="780">
      <calculatedColumnFormula>IFERROR(VLOOKUP(Таблица43832323461213141517[[#This Row],[Деф 1]],Лист1!$A$4:$F$60,3,FALSE),"")</calculatedColumnFormula>
    </tableColumn>
    <tableColumn id="23" xr3:uid="{00000000-0010-0000-0F00-000017000000}" name="Столбец18" headerRowDxfId="779" dataDxfId="778">
      <calculatedColumnFormula>IFERROR(VLOOKUP(Таблица43832323461213141517[[#This Row],[Деф 2]],Лист1!$A$4:$F$60,3,FALSE),"")</calculatedColumnFormula>
    </tableColumn>
    <tableColumn id="24" xr3:uid="{00000000-0010-0000-0F00-000018000000}" name="Столбец19" headerRowDxfId="777" dataDxfId="776">
      <calculatedColumnFormula>IFERROR(VLOOKUP(Таблица43832323461213141517[[#This Row],[Столбец4]],Лист1!$A$4:$F$60,3,FALSE),"")</calculatedColumnFormula>
    </tableColumn>
    <tableColumn id="25" xr3:uid="{00000000-0010-0000-0F00-000019000000}" name="Столбец20" headerRowDxfId="775" dataDxfId="774">
      <calculatedColumnFormula>IFERROR(VLOOKUP(Таблица43832323461213141517[[#This Row],[Столбец5]],Лист1!$A$4:$F$60,3,FALSE),"")</calculatedColumnFormula>
    </tableColumn>
    <tableColumn id="26" xr3:uid="{00000000-0010-0000-0F00-00001A000000}" name="Столбец21" headerRowDxfId="773" dataDxfId="772">
      <calculatedColumnFormula>IFERROR(VLOOKUP(Таблица43832323461213141517[[#This Row],[Столбец6]],Лист1!$A$4:$F$60,3,FALSE),"")</calculatedColumnFormula>
    </tableColumn>
    <tableColumn id="27" xr3:uid="{00000000-0010-0000-0F00-00001B000000}" name="Столбец22" headerRowDxfId="771" dataDxfId="770">
      <calculatedColumnFormula>IFERROR(VLOOKUP(Таблица43832323461213141517[[#This Row],[Столбец7]],Лист1!$A$4:$F$60,3,FALSE),"")</calculatedColumnFormula>
    </tableColumn>
    <tableColumn id="28" xr3:uid="{00000000-0010-0000-0F00-00001C000000}" name="Столбец23" headerRowDxfId="769" dataDxfId="768">
      <calculatedColumnFormula>IFERROR(VLOOKUP(Таблица43832323461213141517[[#This Row],[Столбец8]],Лист1!$A$4:$F$60,3,FALSE),"")</calculatedColumnFormula>
    </tableColumn>
    <tableColumn id="29" xr3:uid="{00000000-0010-0000-0F00-00001D000000}" name="Столбец24" headerRowDxfId="767" dataDxfId="766">
      <calculatedColumnFormula>IFERROR(VLOOKUP(Таблица43832323461213141517[[#This Row],[Столбец9]],Лист1!$A$4:$F$60,3,FALSE),"")</calculatedColumnFormula>
    </tableColumn>
    <tableColumn id="46" xr3:uid="{00000000-0010-0000-0F00-00002E000000}" name="Столбец39" headerRowDxfId="765" dataDxfId="764">
      <calculatedColumnFormula>ROUND(AE11,3)</calculatedColumnFormula>
    </tableColumn>
    <tableColumn id="47" xr3:uid="{00000000-0010-0000-0F00-00002F000000}" name="0" headerRowDxfId="763" dataDxfId="762">
      <calculatedColumnFormula>ROUND(AD12+C12,3)</calculatedColumnFormula>
    </tableColumn>
    <tableColumn id="48" xr3:uid="{00000000-0010-0000-0F00-000030000000}" name="Столбец41" headerRowDxfId="761" dataDxfId="760">
      <calculatedColumnFormula>ROUND(ROUNDDOWN(AD12,0),0)</calculatedColumnFormula>
    </tableColumn>
    <tableColumn id="49" xr3:uid="{00000000-0010-0000-0F00-000031000000}" name="Столбец42" headerRowDxfId="759" dataDxfId="758">
      <calculatedColumnFormula>ROUND((AD12-AF12)*1000,0)</calculatedColumnFormula>
    </tableColumn>
    <tableColumn id="50" xr3:uid="{00000000-0010-0000-0F00-000032000000}" name="Столбец43" headerRowDxfId="757" dataDxfId="756">
      <calculatedColumnFormula>ROUND(ROUNDDOWN(AE12,0),0)</calculatedColumnFormula>
    </tableColumn>
    <tableColumn id="51" xr3:uid="{00000000-0010-0000-0F00-000033000000}" name="Столбец44" headerRowDxfId="755" dataDxfId="754">
      <calculatedColumnFormula>ROUND((AE12-AH12)*1000,0)</calculatedColumnFormula>
    </tableColumn>
    <tableColumn id="52" xr3:uid="{00000000-0010-0000-0F00-000034000000}" name="Столбец45" headerRowDxfId="753" dataDxfId="752">
      <calculatedColumnFormula>IF(Таблица43832323461213141517[[#This Row],[Столбец42]]=0,"000",Таблица43832323461213141517[[#This Row],[Столбец42]])</calculatedColumnFormula>
    </tableColumn>
    <tableColumn id="53" xr3:uid="{00000000-0010-0000-0F00-000035000000}" name="Столбец46" headerRowDxfId="751" dataDxfId="750">
      <calculatedColumnFormula>IF(Таблица43832323461213141517[[#This Row],[Столбец44]]=0,"000",Таблица43832323461213141517[[#This Row],[Столбец44]])</calculatedColumnFormula>
    </tableColumn>
    <tableColumn id="76" xr3:uid="{00000000-0010-0000-0F00-00004C000000}" name="Столбец462" headerRowDxfId="749" dataDxfId="748"/>
    <tableColumn id="54" xr3:uid="{00000000-0010-0000-0F00-000036000000}" name="Адрес дефекта, км +" headerRowDxfId="747" dataDxfId="746">
      <calculatedColumnFormula>CONCATENATE("км ",AF12,"+",AJ12," - км ",AH12,"+",AK12)</calculatedColumnFormula>
    </tableColumn>
    <tableColumn id="55" xr3:uid="{00000000-0010-0000-0F00-000037000000}" name="Столбец48" headerRowDxfId="745" dataDxfId="744">
      <calculatedColumnFormula>IF(ISBLANK(Таблица43832323461213141517[[#This Row],[Столбец9]]),N12&amp;O12&amp;P12&amp;Q12&amp;R12&amp;S12&amp;T12&amp;U12,N12&amp;O12&amp;P12&amp;Q12&amp;R12&amp;S12&amp;T12&amp;U12&amp;";")</calculatedColumnFormula>
    </tableColumn>
    <tableColumn id="75" xr3:uid="{00000000-0010-0000-0F00-00004B000000}" name="Вид дефекта" headerRowDxfId="743" dataDxfId="742">
      <calculatedColumnFormula>UPPER(LEFT(Таблица43832323461213141517[[#This Row],[Столбец48]],1))&amp;RIGHT(LOWER(Таблица43832323461213141517[[#This Row],[Столбец48]]),LEN(Таблица43832323461213141517[[#This Row],[Столбец48]])-1)</calculatedColumnFormula>
    </tableColumn>
    <tableColumn id="56" xr3:uid="{00000000-0010-0000-0F00-000038000000}" name="Балл минимальный" headerRowDxfId="741" dataDxfId="740">
      <calculatedColumnFormula>MIN(V12:AC12)</calculatedColumnFormula>
    </tableColumn>
    <tableColumn id="59" xr3:uid="{00000000-0010-0000-0F00-00003B000000}" name="Б*l" headerRowDxfId="739" dataDxfId="738">
      <calculatedColumnFormula>AP12*C12</calculatedColumnFormula>
    </tableColumn>
    <tableColumn id="63" xr3:uid="{00000000-0010-0000-0F00-00003F000000}" name="Столбец50" headerRowDxfId="737" dataDxfId="736"/>
    <tableColumn id="64" xr3:uid="{00000000-0010-0000-0F00-000040000000}" name="Столбец51" headerRowDxfId="735" dataDxfId="734">
      <calculatedColumnFormula>AD12</calculatedColumnFormula>
    </tableColumn>
    <tableColumn id="65" xr3:uid="{00000000-0010-0000-0F00-000041000000}" name="Столбец52" headerRowDxfId="733" dataDxfId="732">
      <calculatedColumnFormula>AE12</calculatedColumnFormula>
    </tableColumn>
    <tableColumn id="66" xr3:uid="{00000000-0010-0000-0F00-000042000000}" name="Столбец53" headerRowDxfId="731" dataDxfId="730">
      <calculatedColumnFormula>E12</calculatedColumnFormula>
    </tableColumn>
    <tableColumn id="67" xr3:uid="{00000000-0010-0000-0F00-000043000000}" name="Столбец54" headerRowDxfId="729" dataDxfId="728">
      <calculatedColumnFormula>D12</calculatedColumnFormula>
    </tableColumn>
    <tableColumn id="68" xr3:uid="{00000000-0010-0000-0F00-000044000000}" name="Столбец55" headerRowDxfId="727" dataDxfId="726">
      <calculatedColumnFormula>IF(AP12=0,"-",AP12)</calculatedColumnFormula>
    </tableColumn>
    <tableColumn id="70" xr3:uid="{00000000-0010-0000-0F00-000046000000}" name="Столбец57" headerRowDxfId="725" dataDxfId="724"/>
    <tableColumn id="34" xr3:uid="{00000000-0010-0000-0F00-000022000000}" name="Столбец576" headerRowDxfId="723" dataDxfId="722">
      <calculatedColumnFormula>Таблица43832323461213141517[[#This Row],[Адрес дефекта, км +]]</calculatedColumnFormula>
    </tableColumn>
    <tableColumn id="33" xr3:uid="{00000000-0010-0000-0F00-000021000000}" name="Столбец575" headerRowDxfId="721" dataDxfId="720">
      <calculatedColumnFormula>Таблица43832323461213141517[[#This Row],[Столбец55]]</calculatedColumnFormula>
    </tableColumn>
    <tableColumn id="32" xr3:uid="{00000000-0010-0000-0F00-000020000000}" name="Столбец574" headerRowDxfId="719" dataDxfId="718">
      <calculatedColumnFormula>Таблица43832323461213141517[[#This Row],[Столбец59]]</calculatedColumnFormula>
    </tableColumn>
    <tableColumn id="31" xr3:uid="{00000000-0010-0000-0F00-00001F000000}" name="Столбец573" headerRowDxfId="717" dataDxfId="716"/>
    <tableColumn id="30" xr3:uid="{00000000-0010-0000-0F00-00001E000000}" name="Столбец572" headerRowDxfId="715" dataDxfId="714"/>
    <tableColumn id="71" xr3:uid="{00000000-0010-0000-0F00-000047000000}" name="Столбец58" headerRowDxfId="713" dataDxfId="712">
      <calculatedColumnFormula>Таблица43832323461213141517[[#This Row],[Адрес дефекта, км +]]</calculatedColumnFormula>
    </tableColumn>
    <tableColumn id="72" xr3:uid="{00000000-0010-0000-0F00-000048000000}" name="Столбец59" headerRowDxfId="711" dataDxfId="710">
      <calculatedColumnFormula>ROUND(1-((5-Таблица43832323461213141517[[#This Row],[Балл минимальный]])/10),2)</calculatedColumnFormula>
    </tableColumn>
    <tableColumn id="73" xr3:uid="{00000000-0010-0000-0F00-000049000000}" name="Столбец60" headerRowDxfId="709" dataDxfId="708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Таблица43832323461213141518" displayName="Таблица43832323461213141518" ref="A12:BF31" headerRowCount="0" totalsRowShown="0" headerRowDxfId="707" dataDxfId="706">
  <tableColumns count="58">
    <tableColumn id="1" xr3:uid="{00000000-0010-0000-1000-000001000000}" name="Столбец1" headerRowDxfId="705" dataDxfId="704"/>
    <tableColumn id="2" xr3:uid="{00000000-0010-0000-1000-000002000000}" name="Столбец2" headerRowDxfId="703" dataDxfId="702"/>
    <tableColumn id="3" xr3:uid="{00000000-0010-0000-1000-000003000000}" name="Прот" headerRowDxfId="701" dataDxfId="700">
      <calculatedColumnFormula>B12-A12</calculatedColumnFormula>
    </tableColumn>
    <tableColumn id="4" xr3:uid="{00000000-0010-0000-1000-000004000000}" name="Ширина" headerRowDxfId="699" dataDxfId="698"/>
    <tableColumn id="5" xr3:uid="{00000000-0010-0000-1000-000005000000}" name="Покрытие" headerRowDxfId="697" dataDxfId="696"/>
    <tableColumn id="6" xr3:uid="{00000000-0010-0000-1000-000006000000}" name="Деф 1" headerRowDxfId="695" dataDxfId="694"/>
    <tableColumn id="7" xr3:uid="{00000000-0010-0000-1000-000007000000}" name="Деф 2" headerRowDxfId="693" dataDxfId="692"/>
    <tableColumn id="8" xr3:uid="{00000000-0010-0000-1000-000008000000}" name="Столбец4" headerRowDxfId="691" dataDxfId="690"/>
    <tableColumn id="9" xr3:uid="{00000000-0010-0000-1000-000009000000}" name="Столбец5" headerRowDxfId="689" dataDxfId="688"/>
    <tableColumn id="10" xr3:uid="{00000000-0010-0000-1000-00000A000000}" name="Столбец6" headerRowDxfId="687" dataDxfId="686"/>
    <tableColumn id="11" xr3:uid="{00000000-0010-0000-1000-00000B000000}" name="Столбец7" headerRowDxfId="685" dataDxfId="684"/>
    <tableColumn id="12" xr3:uid="{00000000-0010-0000-1000-00000C000000}" name="Столбец8" headerRowDxfId="683" dataDxfId="682"/>
    <tableColumn id="13" xr3:uid="{00000000-0010-0000-1000-00000D000000}" name="Столбец9" headerRowDxfId="681" dataDxfId="680"/>
    <tableColumn id="14" xr3:uid="{00000000-0010-0000-1000-00000E000000}" name="Дефекты10" headerRowDxfId="679" dataDxfId="678">
      <calculatedColumnFormula>IFERROR(VLOOKUP(Таблица43832323461213141518[[#This Row],[Деф 1]],Лист1!$A$4:$F$60,2,FALSE),"")</calculatedColumnFormula>
    </tableColumn>
    <tableColumn id="15" xr3:uid="{00000000-0010-0000-1000-00000F000000}" name="Столбец11" headerRowDxfId="677" dataDxfId="676">
      <calculatedColumnFormula>IFERROR(VLOOKUP(Таблица43832323461213141518[[#This Row],[Деф 2]],Лист1!$A$4:$F$60,2,FALSE),"")</calculatedColumnFormula>
    </tableColumn>
    <tableColumn id="16" xr3:uid="{00000000-0010-0000-1000-000010000000}" name="Столбец12" headerRowDxfId="675" dataDxfId="674">
      <calculatedColumnFormula>IFERROR(VLOOKUP(Таблица43832323461213141518[[#This Row],[Столбец4]],Лист1!$A$4:$F$60,2,FALSE),"")</calculatedColumnFormula>
    </tableColumn>
    <tableColumn id="17" xr3:uid="{00000000-0010-0000-1000-000011000000}" name="Столбец13" headerRowDxfId="673" dataDxfId="672">
      <calculatedColumnFormula>IFERROR(VLOOKUP(Таблица43832323461213141518[[#This Row],[Столбец5]],Лист1!$A$4:$F$60,2,FALSE),"")</calculatedColumnFormula>
    </tableColumn>
    <tableColumn id="18" xr3:uid="{00000000-0010-0000-1000-000012000000}" name="Столбец14" headerRowDxfId="671" dataDxfId="670">
      <calculatedColumnFormula>IFERROR(VLOOKUP(Таблица43832323461213141518[[#This Row],[Столбец6]],Лист1!$A$4:$F$60,2,FALSE),"")</calculatedColumnFormula>
    </tableColumn>
    <tableColumn id="19" xr3:uid="{00000000-0010-0000-1000-000013000000}" name="Столбец15" headerRowDxfId="669" dataDxfId="668">
      <calculatedColumnFormula>IFERROR(VLOOKUP(Таблица43832323461213141518[[#This Row],[Столбец7]],Лист1!$A$4:$F$60,2,FALSE),"")</calculatedColumnFormula>
    </tableColumn>
    <tableColumn id="20" xr3:uid="{00000000-0010-0000-1000-000014000000}" name="Столбец16" headerRowDxfId="667" dataDxfId="666">
      <calculatedColumnFormula>IFERROR(VLOOKUP(Таблица43832323461213141518[[#This Row],[Столбец8]],Лист1!$A$4:$F$60,2,FALSE),"")</calculatedColumnFormula>
    </tableColumn>
    <tableColumn id="21" xr3:uid="{00000000-0010-0000-1000-000015000000}" name="Столбец17" headerRowDxfId="665" dataDxfId="664">
      <calculatedColumnFormula>IFERROR(VLOOKUP(Таблица43832323461213141518[[#This Row],[Столбец9]],Лист1!$A$4:$F$60,2,FALSE),"")</calculatedColumnFormula>
    </tableColumn>
    <tableColumn id="22" xr3:uid="{00000000-0010-0000-1000-000016000000}" name="Баллы" headerRowDxfId="663" dataDxfId="662">
      <calculatedColumnFormula>IFERROR(VLOOKUP(Таблица43832323461213141518[[#This Row],[Деф 1]],Лист1!$A$4:$F$60,3,FALSE),"")</calculatedColumnFormula>
    </tableColumn>
    <tableColumn id="23" xr3:uid="{00000000-0010-0000-1000-000017000000}" name="Столбец18" headerRowDxfId="661" dataDxfId="660">
      <calculatedColumnFormula>IFERROR(VLOOKUP(Таблица43832323461213141518[[#This Row],[Деф 2]],Лист1!$A$4:$F$60,3,FALSE),"")</calculatedColumnFormula>
    </tableColumn>
    <tableColumn id="24" xr3:uid="{00000000-0010-0000-1000-000018000000}" name="Столбец19" headerRowDxfId="659" dataDxfId="658">
      <calculatedColumnFormula>IFERROR(VLOOKUP(Таблица43832323461213141518[[#This Row],[Столбец4]],Лист1!$A$4:$F$60,3,FALSE),"")</calculatedColumnFormula>
    </tableColumn>
    <tableColumn id="25" xr3:uid="{00000000-0010-0000-1000-000019000000}" name="Столбец20" headerRowDxfId="657" dataDxfId="656">
      <calculatedColumnFormula>IFERROR(VLOOKUP(Таблица43832323461213141518[[#This Row],[Столбец5]],Лист1!$A$4:$F$60,3,FALSE),"")</calculatedColumnFormula>
    </tableColumn>
    <tableColumn id="26" xr3:uid="{00000000-0010-0000-1000-00001A000000}" name="Столбец21" headerRowDxfId="655" dataDxfId="654">
      <calculatedColumnFormula>IFERROR(VLOOKUP(Таблица43832323461213141518[[#This Row],[Столбец6]],Лист1!$A$4:$F$60,3,FALSE),"")</calculatedColumnFormula>
    </tableColumn>
    <tableColumn id="27" xr3:uid="{00000000-0010-0000-1000-00001B000000}" name="Столбец22" headerRowDxfId="653" dataDxfId="652">
      <calculatedColumnFormula>IFERROR(VLOOKUP(Таблица43832323461213141518[[#This Row],[Столбец7]],Лист1!$A$4:$F$60,3,FALSE),"")</calculatedColumnFormula>
    </tableColumn>
    <tableColumn id="28" xr3:uid="{00000000-0010-0000-1000-00001C000000}" name="Столбец23" headerRowDxfId="651" dataDxfId="650">
      <calculatedColumnFormula>IFERROR(VLOOKUP(Таблица43832323461213141518[[#This Row],[Столбец8]],Лист1!$A$4:$F$60,3,FALSE),"")</calculatedColumnFormula>
    </tableColumn>
    <tableColumn id="29" xr3:uid="{00000000-0010-0000-1000-00001D000000}" name="Столбец24" headerRowDxfId="649" dataDxfId="648">
      <calculatedColumnFormula>IFERROR(VLOOKUP(Таблица43832323461213141518[[#This Row],[Столбец9]],Лист1!$A$4:$F$60,3,FALSE),"")</calculatedColumnFormula>
    </tableColumn>
    <tableColumn id="46" xr3:uid="{00000000-0010-0000-1000-00002E000000}" name="Столбец39" headerRowDxfId="647" dataDxfId="646">
      <calculatedColumnFormula>ROUND(AE11,3)</calculatedColumnFormula>
    </tableColumn>
    <tableColumn id="47" xr3:uid="{00000000-0010-0000-1000-00002F000000}" name="0" headerRowDxfId="645" dataDxfId="644">
      <calculatedColumnFormula>ROUND(AD12+C12,3)</calculatedColumnFormula>
    </tableColumn>
    <tableColumn id="48" xr3:uid="{00000000-0010-0000-1000-000030000000}" name="Столбец41" headerRowDxfId="643" dataDxfId="642">
      <calculatedColumnFormula>ROUND(ROUNDDOWN(AD12,0),0)</calculatedColumnFormula>
    </tableColumn>
    <tableColumn id="49" xr3:uid="{00000000-0010-0000-1000-000031000000}" name="Столбец42" headerRowDxfId="641" dataDxfId="640">
      <calculatedColumnFormula>ROUND((AD12-AF12)*1000,0)</calculatedColumnFormula>
    </tableColumn>
    <tableColumn id="50" xr3:uid="{00000000-0010-0000-1000-000032000000}" name="Столбец43" headerRowDxfId="639" dataDxfId="638">
      <calculatedColumnFormula>ROUND(ROUNDDOWN(AE12,0),0)</calculatedColumnFormula>
    </tableColumn>
    <tableColumn id="51" xr3:uid="{00000000-0010-0000-1000-000033000000}" name="Столбец44" headerRowDxfId="637" dataDxfId="636">
      <calculatedColumnFormula>ROUND((AE12-AH12)*1000,0)</calculatedColumnFormula>
    </tableColumn>
    <tableColumn id="52" xr3:uid="{00000000-0010-0000-1000-000034000000}" name="Столбец45" headerRowDxfId="635" dataDxfId="634">
      <calculatedColumnFormula>IF(Таблица43832323461213141518[[#This Row],[Столбец42]]=0,"000",Таблица43832323461213141518[[#This Row],[Столбец42]])</calculatedColumnFormula>
    </tableColumn>
    <tableColumn id="53" xr3:uid="{00000000-0010-0000-1000-000035000000}" name="Столбец46" headerRowDxfId="633" dataDxfId="632">
      <calculatedColumnFormula>IF(Таблица43832323461213141518[[#This Row],[Столбец44]]=0,"000",Таблица43832323461213141518[[#This Row],[Столбец44]])</calculatedColumnFormula>
    </tableColumn>
    <tableColumn id="76" xr3:uid="{00000000-0010-0000-1000-00004C000000}" name="Столбец462" headerRowDxfId="631" dataDxfId="630"/>
    <tableColumn id="54" xr3:uid="{00000000-0010-0000-1000-000036000000}" name="Адрес дефекта, км +" headerRowDxfId="629" dataDxfId="628">
      <calculatedColumnFormula>CONCATENATE("км ",AF12,"+",AJ12," - км ",AH12,"+",AK12)</calculatedColumnFormula>
    </tableColumn>
    <tableColumn id="55" xr3:uid="{00000000-0010-0000-1000-000037000000}" name="Столбец48" headerRowDxfId="627" dataDxfId="626">
      <calculatedColumnFormula>IF(ISBLANK(Таблица43832323461213141518[[#This Row],[Столбец9]]),N12&amp;O12&amp;P12&amp;Q12&amp;R12&amp;S12&amp;T12&amp;U12,N12&amp;O12&amp;P12&amp;Q12&amp;R12&amp;S12&amp;T12&amp;U12&amp;";")</calculatedColumnFormula>
    </tableColumn>
    <tableColumn id="75" xr3:uid="{00000000-0010-0000-1000-00004B000000}" name="Вид дефекта" headerRowDxfId="625" dataDxfId="624">
      <calculatedColumnFormula>UPPER(LEFT(Таблица43832323461213141518[[#This Row],[Столбец48]],1))&amp;RIGHT(LOWER(Таблица43832323461213141518[[#This Row],[Столбец48]]),LEN(Таблица43832323461213141518[[#This Row],[Столбец48]])-1)</calculatedColumnFormula>
    </tableColumn>
    <tableColumn id="56" xr3:uid="{00000000-0010-0000-1000-000038000000}" name="Балл минимальный" headerRowDxfId="623" dataDxfId="622">
      <calculatedColumnFormula>MIN(V12:AC12)</calculatedColumnFormula>
    </tableColumn>
    <tableColumn id="59" xr3:uid="{00000000-0010-0000-1000-00003B000000}" name="Б*l" headerRowDxfId="621" dataDxfId="620">
      <calculatedColumnFormula>AP12*C12</calculatedColumnFormula>
    </tableColumn>
    <tableColumn id="63" xr3:uid="{00000000-0010-0000-1000-00003F000000}" name="Столбец50" headerRowDxfId="619" dataDxfId="618"/>
    <tableColumn id="64" xr3:uid="{00000000-0010-0000-1000-000040000000}" name="Столбец51" headerRowDxfId="617" dataDxfId="616">
      <calculatedColumnFormula>AD12</calculatedColumnFormula>
    </tableColumn>
    <tableColumn id="65" xr3:uid="{00000000-0010-0000-1000-000041000000}" name="Столбец52" headerRowDxfId="615" dataDxfId="614">
      <calculatedColumnFormula>AE12</calculatedColumnFormula>
    </tableColumn>
    <tableColumn id="66" xr3:uid="{00000000-0010-0000-1000-000042000000}" name="Столбец53" headerRowDxfId="613" dataDxfId="612">
      <calculatedColumnFormula>E12</calculatedColumnFormula>
    </tableColumn>
    <tableColumn id="67" xr3:uid="{00000000-0010-0000-1000-000043000000}" name="Столбец54" headerRowDxfId="611" dataDxfId="610">
      <calculatedColumnFormula>D12</calculatedColumnFormula>
    </tableColumn>
    <tableColumn id="68" xr3:uid="{00000000-0010-0000-1000-000044000000}" name="Столбец55" headerRowDxfId="609" dataDxfId="608">
      <calculatedColumnFormula>IF(AP12=0,"-",AP12)</calculatedColumnFormula>
    </tableColumn>
    <tableColumn id="70" xr3:uid="{00000000-0010-0000-1000-000046000000}" name="Столбец57" headerRowDxfId="607" dataDxfId="606"/>
    <tableColumn id="34" xr3:uid="{00000000-0010-0000-1000-000022000000}" name="Столбец576" headerRowDxfId="605" dataDxfId="604">
      <calculatedColumnFormula>Таблица43832323461213141518[[#This Row],[Адрес дефекта, км +]]</calculatedColumnFormula>
    </tableColumn>
    <tableColumn id="33" xr3:uid="{00000000-0010-0000-1000-000021000000}" name="Столбец575" headerRowDxfId="603" dataDxfId="602">
      <calculatedColumnFormula>Таблица43832323461213141518[[#This Row],[Столбец55]]</calculatedColumnFormula>
    </tableColumn>
    <tableColumn id="32" xr3:uid="{00000000-0010-0000-1000-000020000000}" name="Столбец574" headerRowDxfId="601" dataDxfId="600">
      <calculatedColumnFormula>Таблица43832323461213141518[[#This Row],[Столбец59]]</calculatedColumnFormula>
    </tableColumn>
    <tableColumn id="31" xr3:uid="{00000000-0010-0000-1000-00001F000000}" name="Столбец573" headerRowDxfId="599" dataDxfId="598"/>
    <tableColumn id="30" xr3:uid="{00000000-0010-0000-1000-00001E000000}" name="Столбец572" headerRowDxfId="597" dataDxfId="596"/>
    <tableColumn id="71" xr3:uid="{00000000-0010-0000-1000-000047000000}" name="Столбец58" headerRowDxfId="595" dataDxfId="594">
      <calculatedColumnFormula>Таблица43832323461213141518[[#This Row],[Адрес дефекта, км +]]</calculatedColumnFormula>
    </tableColumn>
    <tableColumn id="72" xr3:uid="{00000000-0010-0000-1000-000048000000}" name="Столбец59" headerRowDxfId="593" dataDxfId="592">
      <calculatedColumnFormula>ROUND(1-((5-Таблица43832323461213141518[[#This Row],[Балл минимальный]])/10),2)</calculatedColumnFormula>
    </tableColumn>
    <tableColumn id="73" xr3:uid="{00000000-0010-0000-1000-000049000000}" name="Столбец60" headerRowDxfId="591" dataDxfId="590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Таблица43832323461213141518192021222425" displayName="Таблица43832323461213141518192021222425" ref="A12:BF31" headerRowCount="0" totalsRowShown="0" headerRowDxfId="589" dataDxfId="588">
  <tableColumns count="58">
    <tableColumn id="1" xr3:uid="{00000000-0010-0000-1700-000001000000}" name="Столбец1" headerRowDxfId="587" dataDxfId="586"/>
    <tableColumn id="2" xr3:uid="{00000000-0010-0000-1700-000002000000}" name="Столбец2" headerRowDxfId="585" dataDxfId="584"/>
    <tableColumn id="3" xr3:uid="{00000000-0010-0000-1700-000003000000}" name="Прот" headerRowDxfId="583" dataDxfId="582">
      <calculatedColumnFormula>B12-A12</calculatedColumnFormula>
    </tableColumn>
    <tableColumn id="4" xr3:uid="{00000000-0010-0000-1700-000004000000}" name="Ширина" headerRowDxfId="581" dataDxfId="580"/>
    <tableColumn id="5" xr3:uid="{00000000-0010-0000-1700-000005000000}" name="Покрытие" headerRowDxfId="579" dataDxfId="578"/>
    <tableColumn id="6" xr3:uid="{00000000-0010-0000-1700-000006000000}" name="Деф 1" headerRowDxfId="577" dataDxfId="576"/>
    <tableColumn id="7" xr3:uid="{00000000-0010-0000-1700-000007000000}" name="Деф 2" headerRowDxfId="575" dataDxfId="574"/>
    <tableColumn id="8" xr3:uid="{00000000-0010-0000-1700-000008000000}" name="Столбец4" headerRowDxfId="573" dataDxfId="572"/>
    <tableColumn id="9" xr3:uid="{00000000-0010-0000-1700-000009000000}" name="Столбец5" headerRowDxfId="571" dataDxfId="570"/>
    <tableColumn id="10" xr3:uid="{00000000-0010-0000-1700-00000A000000}" name="Столбец6" headerRowDxfId="569" dataDxfId="568"/>
    <tableColumn id="11" xr3:uid="{00000000-0010-0000-1700-00000B000000}" name="Столбец7" headerRowDxfId="567" dataDxfId="566"/>
    <tableColumn id="12" xr3:uid="{00000000-0010-0000-1700-00000C000000}" name="Столбец8" headerRowDxfId="565" dataDxfId="564"/>
    <tableColumn id="13" xr3:uid="{00000000-0010-0000-1700-00000D000000}" name="Столбец9" headerRowDxfId="563" dataDxfId="562"/>
    <tableColumn id="14" xr3:uid="{00000000-0010-0000-1700-00000E000000}" name="Дефекты10" headerRowDxfId="561" dataDxfId="560">
      <calculatedColumnFormula>IFERROR(VLOOKUP(Таблица43832323461213141518192021222425[[#This Row],[Деф 1]],Лист1!$A$4:$F$60,2,FALSE),"")</calculatedColumnFormula>
    </tableColumn>
    <tableColumn id="15" xr3:uid="{00000000-0010-0000-1700-00000F000000}" name="Столбец11" headerRowDxfId="559" dataDxfId="558">
      <calculatedColumnFormula>IFERROR(VLOOKUP(Таблица43832323461213141518192021222425[[#This Row],[Деф 2]],Лист1!$A$4:$F$60,2,FALSE),"")</calculatedColumnFormula>
    </tableColumn>
    <tableColumn id="16" xr3:uid="{00000000-0010-0000-1700-000010000000}" name="Столбец12" headerRowDxfId="557" dataDxfId="556">
      <calculatedColumnFormula>IFERROR(VLOOKUP(Таблица43832323461213141518192021222425[[#This Row],[Столбец4]],Лист1!$A$4:$F$60,2,FALSE),"")</calculatedColumnFormula>
    </tableColumn>
    <tableColumn id="17" xr3:uid="{00000000-0010-0000-1700-000011000000}" name="Столбец13" headerRowDxfId="555" dataDxfId="554">
      <calculatedColumnFormula>IFERROR(VLOOKUP(Таблица43832323461213141518192021222425[[#This Row],[Столбец5]],Лист1!$A$4:$F$60,2,FALSE),"")</calculatedColumnFormula>
    </tableColumn>
    <tableColumn id="18" xr3:uid="{00000000-0010-0000-1700-000012000000}" name="Столбец14" headerRowDxfId="553" dataDxfId="552">
      <calculatedColumnFormula>IFERROR(VLOOKUP(Таблица43832323461213141518192021222425[[#This Row],[Столбец6]],Лист1!$A$4:$F$60,2,FALSE),"")</calculatedColumnFormula>
    </tableColumn>
    <tableColumn id="19" xr3:uid="{00000000-0010-0000-1700-000013000000}" name="Столбец15" headerRowDxfId="551" dataDxfId="550">
      <calculatedColumnFormula>IFERROR(VLOOKUP(Таблица43832323461213141518192021222425[[#This Row],[Столбец7]],Лист1!$A$4:$F$60,2,FALSE),"")</calculatedColumnFormula>
    </tableColumn>
    <tableColumn id="20" xr3:uid="{00000000-0010-0000-1700-000014000000}" name="Столбец16" headerRowDxfId="549" dataDxfId="548">
      <calculatedColumnFormula>IFERROR(VLOOKUP(Таблица43832323461213141518192021222425[[#This Row],[Столбец8]],Лист1!$A$4:$F$60,2,FALSE),"")</calculatedColumnFormula>
    </tableColumn>
    <tableColumn id="21" xr3:uid="{00000000-0010-0000-1700-000015000000}" name="Столбец17" headerRowDxfId="547" dataDxfId="546">
      <calculatedColumnFormula>IFERROR(VLOOKUP(Таблица43832323461213141518192021222425[[#This Row],[Столбец9]],Лист1!$A$4:$F$60,2,FALSE),"")</calculatedColumnFormula>
    </tableColumn>
    <tableColumn id="22" xr3:uid="{00000000-0010-0000-1700-000016000000}" name="Баллы" headerRowDxfId="545" dataDxfId="544">
      <calculatedColumnFormula>IFERROR(VLOOKUP(Таблица43832323461213141518192021222425[[#This Row],[Деф 1]],Лист1!$A$4:$F$60,3,FALSE),"")</calculatedColumnFormula>
    </tableColumn>
    <tableColumn id="23" xr3:uid="{00000000-0010-0000-1700-000017000000}" name="Столбец18" headerRowDxfId="543" dataDxfId="542">
      <calculatedColumnFormula>IFERROR(VLOOKUP(Таблица43832323461213141518192021222425[[#This Row],[Деф 2]],Лист1!$A$4:$F$60,3,FALSE),"")</calculatedColumnFormula>
    </tableColumn>
    <tableColumn id="24" xr3:uid="{00000000-0010-0000-1700-000018000000}" name="Столбец19" headerRowDxfId="541" dataDxfId="540">
      <calculatedColumnFormula>IFERROR(VLOOKUP(Таблица43832323461213141518192021222425[[#This Row],[Столбец4]],Лист1!$A$4:$F$60,3,FALSE),"")</calculatedColumnFormula>
    </tableColumn>
    <tableColumn id="25" xr3:uid="{00000000-0010-0000-1700-000019000000}" name="Столбец20" headerRowDxfId="539" dataDxfId="538">
      <calculatedColumnFormula>IFERROR(VLOOKUP(Таблица43832323461213141518192021222425[[#This Row],[Столбец5]],Лист1!$A$4:$F$60,3,FALSE),"")</calculatedColumnFormula>
    </tableColumn>
    <tableColumn id="26" xr3:uid="{00000000-0010-0000-1700-00001A000000}" name="Столбец21" headerRowDxfId="537" dataDxfId="536">
      <calculatedColumnFormula>IFERROR(VLOOKUP(Таблица43832323461213141518192021222425[[#This Row],[Столбец6]],Лист1!$A$4:$F$60,3,FALSE),"")</calculatedColumnFormula>
    </tableColumn>
    <tableColumn id="27" xr3:uid="{00000000-0010-0000-1700-00001B000000}" name="Столбец22" headerRowDxfId="535" dataDxfId="534">
      <calculatedColumnFormula>IFERROR(VLOOKUP(Таблица43832323461213141518192021222425[[#This Row],[Столбец7]],Лист1!$A$4:$F$60,3,FALSE),"")</calculatedColumnFormula>
    </tableColumn>
    <tableColumn id="28" xr3:uid="{00000000-0010-0000-1700-00001C000000}" name="Столбец23" headerRowDxfId="533" dataDxfId="532">
      <calculatedColumnFormula>IFERROR(VLOOKUP(Таблица43832323461213141518192021222425[[#This Row],[Столбец8]],Лист1!$A$4:$F$60,3,FALSE),"")</calculatedColumnFormula>
    </tableColumn>
    <tableColumn id="29" xr3:uid="{00000000-0010-0000-1700-00001D000000}" name="Столбец24" headerRowDxfId="531" dataDxfId="530">
      <calculatedColumnFormula>IFERROR(VLOOKUP(Таблица43832323461213141518192021222425[[#This Row],[Столбец9]],Лист1!$A$4:$F$60,3,FALSE),"")</calculatedColumnFormula>
    </tableColumn>
    <tableColumn id="46" xr3:uid="{00000000-0010-0000-1700-00002E000000}" name="Столбец39" headerRowDxfId="529" dataDxfId="528">
      <calculatedColumnFormula>ROUND(AE11,3)</calculatedColumnFormula>
    </tableColumn>
    <tableColumn id="47" xr3:uid="{00000000-0010-0000-1700-00002F000000}" name="0" headerRowDxfId="527" dataDxfId="526">
      <calculatedColumnFormula>ROUND(AD12+C12,3)</calculatedColumnFormula>
    </tableColumn>
    <tableColumn id="48" xr3:uid="{00000000-0010-0000-1700-000030000000}" name="Столбец41" headerRowDxfId="525" dataDxfId="524">
      <calculatedColumnFormula>ROUND(ROUNDDOWN(AD12,0),0)</calculatedColumnFormula>
    </tableColumn>
    <tableColumn id="49" xr3:uid="{00000000-0010-0000-1700-000031000000}" name="Столбец42" headerRowDxfId="523" dataDxfId="522">
      <calculatedColumnFormula>ROUND((AD12-AF12)*1000,0)</calculatedColumnFormula>
    </tableColumn>
    <tableColumn id="50" xr3:uid="{00000000-0010-0000-1700-000032000000}" name="Столбец43" headerRowDxfId="521" dataDxfId="520">
      <calculatedColumnFormula>ROUND(ROUNDDOWN(AE12,0),0)</calculatedColumnFormula>
    </tableColumn>
    <tableColumn id="51" xr3:uid="{00000000-0010-0000-1700-000033000000}" name="Столбец44" headerRowDxfId="519" dataDxfId="518">
      <calculatedColumnFormula>ROUND((AE12-AH12)*1000,0)</calculatedColumnFormula>
    </tableColumn>
    <tableColumn id="52" xr3:uid="{00000000-0010-0000-1700-000034000000}" name="Столбец45" headerRowDxfId="517" dataDxfId="516">
      <calculatedColumnFormula>IF(Таблица43832323461213141518192021222425[[#This Row],[Столбец42]]=0,"000",Таблица43832323461213141518192021222425[[#This Row],[Столбец42]])</calculatedColumnFormula>
    </tableColumn>
    <tableColumn id="53" xr3:uid="{00000000-0010-0000-1700-000035000000}" name="Столбец46" headerRowDxfId="515" dataDxfId="514">
      <calculatedColumnFormula>IF(Таблица43832323461213141518192021222425[[#This Row],[Столбец44]]=0,"000",Таблица43832323461213141518192021222425[[#This Row],[Столбец44]])</calculatedColumnFormula>
    </tableColumn>
    <tableColumn id="76" xr3:uid="{00000000-0010-0000-1700-00004C000000}" name="Столбец462" headerRowDxfId="513" dataDxfId="512"/>
    <tableColumn id="54" xr3:uid="{00000000-0010-0000-1700-000036000000}" name="Адрес дефекта, км +" headerRowDxfId="511" dataDxfId="510">
      <calculatedColumnFormula>CONCATENATE("км ",AF12,"+",AJ12," - км ",AH12,"+",AK12)</calculatedColumnFormula>
    </tableColumn>
    <tableColumn id="55" xr3:uid="{00000000-0010-0000-1700-000037000000}" name="Столбец48" headerRowDxfId="509" dataDxfId="508">
      <calculatedColumnFormula>IF(ISBLANK(Таблица43832323461213141518192021222425[[#This Row],[Столбец9]]),N12&amp;O12&amp;P12&amp;Q12&amp;R12&amp;S12&amp;T12&amp;U12,N12&amp;O12&amp;P12&amp;Q12&amp;R12&amp;S12&amp;T12&amp;U12&amp;";")</calculatedColumnFormula>
    </tableColumn>
    <tableColumn id="75" xr3:uid="{00000000-0010-0000-1700-00004B000000}" name="Вид дефекта" headerRowDxfId="507" dataDxfId="506">
      <calculatedColumnFormula>UPPER(LEFT(Таблица43832323461213141518192021222425[[#This Row],[Столбец48]],1))&amp;RIGHT(LOWER(Таблица43832323461213141518192021222425[[#This Row],[Столбец48]]),LEN(Таблица43832323461213141518192021222425[[#This Row],[Столбец48]])-1)</calculatedColumnFormula>
    </tableColumn>
    <tableColumn id="56" xr3:uid="{00000000-0010-0000-1700-000038000000}" name="Балл минимальный" headerRowDxfId="505" dataDxfId="504">
      <calculatedColumnFormula>MIN(V12:AC12)</calculatedColumnFormula>
    </tableColumn>
    <tableColumn id="59" xr3:uid="{00000000-0010-0000-1700-00003B000000}" name="Б*l" headerRowDxfId="503" dataDxfId="502">
      <calculatedColumnFormula>AP12*C12</calculatedColumnFormula>
    </tableColumn>
    <tableColumn id="63" xr3:uid="{00000000-0010-0000-1700-00003F000000}" name="Столбец50" headerRowDxfId="501" dataDxfId="500"/>
    <tableColumn id="64" xr3:uid="{00000000-0010-0000-1700-000040000000}" name="Столбец51" headerRowDxfId="499" dataDxfId="498">
      <calculatedColumnFormula>AD12</calculatedColumnFormula>
    </tableColumn>
    <tableColumn id="65" xr3:uid="{00000000-0010-0000-1700-000041000000}" name="Столбец52" headerRowDxfId="497" dataDxfId="496">
      <calculatedColumnFormula>AE12</calculatedColumnFormula>
    </tableColumn>
    <tableColumn id="66" xr3:uid="{00000000-0010-0000-1700-000042000000}" name="Столбец53" headerRowDxfId="495" dataDxfId="494">
      <calculatedColumnFormula>E12</calculatedColumnFormula>
    </tableColumn>
    <tableColumn id="67" xr3:uid="{00000000-0010-0000-1700-000043000000}" name="Столбец54" headerRowDxfId="493" dataDxfId="492">
      <calculatedColumnFormula>D12</calculatedColumnFormula>
    </tableColumn>
    <tableColumn id="68" xr3:uid="{00000000-0010-0000-1700-000044000000}" name="Столбец55" headerRowDxfId="491" dataDxfId="490">
      <calculatedColumnFormula>IF(AP12=0,"-",AP12)</calculatedColumnFormula>
    </tableColumn>
    <tableColumn id="70" xr3:uid="{00000000-0010-0000-1700-000046000000}" name="Столбец57" headerRowDxfId="489" dataDxfId="488"/>
    <tableColumn id="34" xr3:uid="{00000000-0010-0000-1700-000022000000}" name="Столбец576" headerRowDxfId="487" dataDxfId="486">
      <calculatedColumnFormula>Таблица43832323461213141518192021222425[[#This Row],[Адрес дефекта, км +]]</calculatedColumnFormula>
    </tableColumn>
    <tableColumn id="33" xr3:uid="{00000000-0010-0000-1700-000021000000}" name="Столбец575" headerRowDxfId="485" dataDxfId="484">
      <calculatedColumnFormula>Таблица43832323461213141518192021222425[[#This Row],[Столбец55]]</calculatedColumnFormula>
    </tableColumn>
    <tableColumn id="32" xr3:uid="{00000000-0010-0000-1700-000020000000}" name="Столбец574" headerRowDxfId="483" dataDxfId="482">
      <calculatedColumnFormula>Таблица43832323461213141518192021222425[[#This Row],[Столбец59]]</calculatedColumnFormula>
    </tableColumn>
    <tableColumn id="31" xr3:uid="{00000000-0010-0000-1700-00001F000000}" name="Столбец573" headerRowDxfId="481" dataDxfId="480"/>
    <tableColumn id="30" xr3:uid="{00000000-0010-0000-1700-00001E000000}" name="Столбец572" headerRowDxfId="479" dataDxfId="478"/>
    <tableColumn id="71" xr3:uid="{00000000-0010-0000-1700-000047000000}" name="Столбец58" headerRowDxfId="477" dataDxfId="476">
      <calculatedColumnFormula>Таблица43832323461213141518192021222425[[#This Row],[Адрес дефекта, км +]]</calculatedColumnFormula>
    </tableColumn>
    <tableColumn id="72" xr3:uid="{00000000-0010-0000-1700-000048000000}" name="Столбец59" headerRowDxfId="475" dataDxfId="474">
      <calculatedColumnFormula>ROUND(1-((5-Таблица43832323461213141518192021222425[[#This Row],[Балл минимальный]])/10),2)</calculatedColumnFormula>
    </tableColumn>
    <tableColumn id="73" xr3:uid="{00000000-0010-0000-1700-000049000000}" name="Столбец60" headerRowDxfId="473" dataDxfId="472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Таблица438323234612131415181920212224252829" displayName="Таблица438323234612131415181920212224252829" ref="A12:BF31" headerRowCount="0" totalsRowShown="0" headerRowDxfId="471" dataDxfId="470">
  <tableColumns count="58">
    <tableColumn id="1" xr3:uid="{00000000-0010-0000-1B00-000001000000}" name="Столбец1" headerRowDxfId="469" dataDxfId="468"/>
    <tableColumn id="2" xr3:uid="{00000000-0010-0000-1B00-000002000000}" name="Столбец2" headerRowDxfId="467" dataDxfId="466"/>
    <tableColumn id="3" xr3:uid="{00000000-0010-0000-1B00-000003000000}" name="Прот" headerRowDxfId="465" dataDxfId="464">
      <calculatedColumnFormula>B12-A12</calculatedColumnFormula>
    </tableColumn>
    <tableColumn id="4" xr3:uid="{00000000-0010-0000-1B00-000004000000}" name="Ширина" headerRowDxfId="463" dataDxfId="462"/>
    <tableColumn id="5" xr3:uid="{00000000-0010-0000-1B00-000005000000}" name="Покрытие" headerRowDxfId="461" dataDxfId="460"/>
    <tableColumn id="6" xr3:uid="{00000000-0010-0000-1B00-000006000000}" name="Деф 1" headerRowDxfId="459" dataDxfId="458"/>
    <tableColumn id="7" xr3:uid="{00000000-0010-0000-1B00-000007000000}" name="Деф 2" headerRowDxfId="457" dataDxfId="456"/>
    <tableColumn id="8" xr3:uid="{00000000-0010-0000-1B00-000008000000}" name="Столбец4" headerRowDxfId="455" dataDxfId="454"/>
    <tableColumn id="9" xr3:uid="{00000000-0010-0000-1B00-000009000000}" name="Столбец5" headerRowDxfId="453" dataDxfId="452"/>
    <tableColumn id="10" xr3:uid="{00000000-0010-0000-1B00-00000A000000}" name="Столбец6" headerRowDxfId="451" dataDxfId="450"/>
    <tableColumn id="11" xr3:uid="{00000000-0010-0000-1B00-00000B000000}" name="Столбец7" headerRowDxfId="449" dataDxfId="448"/>
    <tableColumn id="12" xr3:uid="{00000000-0010-0000-1B00-00000C000000}" name="Столбец8" headerRowDxfId="447" dataDxfId="446"/>
    <tableColumn id="13" xr3:uid="{00000000-0010-0000-1B00-00000D000000}" name="Столбец9" headerRowDxfId="445" dataDxfId="444"/>
    <tableColumn id="14" xr3:uid="{00000000-0010-0000-1B00-00000E000000}" name="Дефекты10" headerRowDxfId="443" dataDxfId="442">
      <calculatedColumnFormula>IFERROR(VLOOKUP(Таблица438323234612131415181920212224252829[[#This Row],[Деф 1]],Лист1!$A$4:$F$60,2,FALSE),"")</calculatedColumnFormula>
    </tableColumn>
    <tableColumn id="15" xr3:uid="{00000000-0010-0000-1B00-00000F000000}" name="Столбец11" headerRowDxfId="441" dataDxfId="440">
      <calculatedColumnFormula>IFERROR(VLOOKUP(Таблица438323234612131415181920212224252829[[#This Row],[Деф 2]],Лист1!$A$4:$F$60,2,FALSE),"")</calculatedColumnFormula>
    </tableColumn>
    <tableColumn id="16" xr3:uid="{00000000-0010-0000-1B00-000010000000}" name="Столбец12" headerRowDxfId="439" dataDxfId="438">
      <calculatedColumnFormula>IFERROR(VLOOKUP(Таблица438323234612131415181920212224252829[[#This Row],[Столбец4]],Лист1!$A$4:$F$60,2,FALSE),"")</calculatedColumnFormula>
    </tableColumn>
    <tableColumn id="17" xr3:uid="{00000000-0010-0000-1B00-000011000000}" name="Столбец13" headerRowDxfId="437" dataDxfId="436">
      <calculatedColumnFormula>IFERROR(VLOOKUP(Таблица438323234612131415181920212224252829[[#This Row],[Столбец5]],Лист1!$A$4:$F$60,2,FALSE),"")</calculatedColumnFormula>
    </tableColumn>
    <tableColumn id="18" xr3:uid="{00000000-0010-0000-1B00-000012000000}" name="Столбец14" headerRowDxfId="435" dataDxfId="434">
      <calculatedColumnFormula>IFERROR(VLOOKUP(Таблица438323234612131415181920212224252829[[#This Row],[Столбец6]],Лист1!$A$4:$F$60,2,FALSE),"")</calculatedColumnFormula>
    </tableColumn>
    <tableColumn id="19" xr3:uid="{00000000-0010-0000-1B00-000013000000}" name="Столбец15" headerRowDxfId="433" dataDxfId="432">
      <calculatedColumnFormula>IFERROR(VLOOKUP(Таблица438323234612131415181920212224252829[[#This Row],[Столбец7]],Лист1!$A$4:$F$60,2,FALSE),"")</calculatedColumnFormula>
    </tableColumn>
    <tableColumn id="20" xr3:uid="{00000000-0010-0000-1B00-000014000000}" name="Столбец16" headerRowDxfId="431" dataDxfId="430">
      <calculatedColumnFormula>IFERROR(VLOOKUP(Таблица438323234612131415181920212224252829[[#This Row],[Столбец8]],Лист1!$A$4:$F$60,2,FALSE),"")</calculatedColumnFormula>
    </tableColumn>
    <tableColumn id="21" xr3:uid="{00000000-0010-0000-1B00-000015000000}" name="Столбец17" headerRowDxfId="429" dataDxfId="428">
      <calculatedColumnFormula>IFERROR(VLOOKUP(Таблица438323234612131415181920212224252829[[#This Row],[Столбец9]],Лист1!$A$4:$F$60,2,FALSE),"")</calculatedColumnFormula>
    </tableColumn>
    <tableColumn id="22" xr3:uid="{00000000-0010-0000-1B00-000016000000}" name="Баллы" headerRowDxfId="427" dataDxfId="426">
      <calculatedColumnFormula>IFERROR(VLOOKUP(Таблица438323234612131415181920212224252829[[#This Row],[Деф 1]],Лист1!$A$4:$F$60,3,FALSE),"")</calculatedColumnFormula>
    </tableColumn>
    <tableColumn id="23" xr3:uid="{00000000-0010-0000-1B00-000017000000}" name="Столбец18" headerRowDxfId="425" dataDxfId="424">
      <calculatedColumnFormula>IFERROR(VLOOKUP(Таблица438323234612131415181920212224252829[[#This Row],[Деф 2]],Лист1!$A$4:$F$60,3,FALSE),"")</calculatedColumnFormula>
    </tableColumn>
    <tableColumn id="24" xr3:uid="{00000000-0010-0000-1B00-000018000000}" name="Столбец19" headerRowDxfId="423" dataDxfId="422">
      <calculatedColumnFormula>IFERROR(VLOOKUP(Таблица438323234612131415181920212224252829[[#This Row],[Столбец4]],Лист1!$A$4:$F$60,3,FALSE),"")</calculatedColumnFormula>
    </tableColumn>
    <tableColumn id="25" xr3:uid="{00000000-0010-0000-1B00-000019000000}" name="Столбец20" headerRowDxfId="421" dataDxfId="420">
      <calculatedColumnFormula>IFERROR(VLOOKUP(Таблица438323234612131415181920212224252829[[#This Row],[Столбец5]],Лист1!$A$4:$F$60,3,FALSE),"")</calculatedColumnFormula>
    </tableColumn>
    <tableColumn id="26" xr3:uid="{00000000-0010-0000-1B00-00001A000000}" name="Столбец21" headerRowDxfId="419" dataDxfId="418">
      <calculatedColumnFormula>IFERROR(VLOOKUP(Таблица438323234612131415181920212224252829[[#This Row],[Столбец6]],Лист1!$A$4:$F$60,3,FALSE),"")</calculatedColumnFormula>
    </tableColumn>
    <tableColumn id="27" xr3:uid="{00000000-0010-0000-1B00-00001B000000}" name="Столбец22" headerRowDxfId="417" dataDxfId="416">
      <calculatedColumnFormula>IFERROR(VLOOKUP(Таблица438323234612131415181920212224252829[[#This Row],[Столбец7]],Лист1!$A$4:$F$60,3,FALSE),"")</calculatedColumnFormula>
    </tableColumn>
    <tableColumn id="28" xr3:uid="{00000000-0010-0000-1B00-00001C000000}" name="Столбец23" headerRowDxfId="415" dataDxfId="414">
      <calculatedColumnFormula>IFERROR(VLOOKUP(Таблица438323234612131415181920212224252829[[#This Row],[Столбец8]],Лист1!$A$4:$F$60,3,FALSE),"")</calculatedColumnFormula>
    </tableColumn>
    <tableColumn id="29" xr3:uid="{00000000-0010-0000-1B00-00001D000000}" name="Столбец24" headerRowDxfId="413" dataDxfId="412">
      <calculatedColumnFormula>IFERROR(VLOOKUP(Таблица438323234612131415181920212224252829[[#This Row],[Столбец9]],Лист1!$A$4:$F$60,3,FALSE),"")</calculatedColumnFormula>
    </tableColumn>
    <tableColumn id="46" xr3:uid="{00000000-0010-0000-1B00-00002E000000}" name="Столбец39" headerRowDxfId="411" dataDxfId="410">
      <calculatedColumnFormula>ROUND(AE11,3)</calculatedColumnFormula>
    </tableColumn>
    <tableColumn id="47" xr3:uid="{00000000-0010-0000-1B00-00002F000000}" name="0" headerRowDxfId="409" dataDxfId="408">
      <calculatedColumnFormula>ROUND(AD12+C12,3)</calculatedColumnFormula>
    </tableColumn>
    <tableColumn id="48" xr3:uid="{00000000-0010-0000-1B00-000030000000}" name="Столбец41" headerRowDxfId="407" dataDxfId="406">
      <calculatedColumnFormula>ROUND(ROUNDDOWN(AD12,0),0)</calculatedColumnFormula>
    </tableColumn>
    <tableColumn id="49" xr3:uid="{00000000-0010-0000-1B00-000031000000}" name="Столбец42" headerRowDxfId="405" dataDxfId="404">
      <calculatedColumnFormula>ROUND((AD12-AF12)*1000,0)</calculatedColumnFormula>
    </tableColumn>
    <tableColumn id="50" xr3:uid="{00000000-0010-0000-1B00-000032000000}" name="Столбец43" headerRowDxfId="403" dataDxfId="402">
      <calculatedColumnFormula>ROUND(ROUNDDOWN(AE12,0),0)</calculatedColumnFormula>
    </tableColumn>
    <tableColumn id="51" xr3:uid="{00000000-0010-0000-1B00-000033000000}" name="Столбец44" headerRowDxfId="401" dataDxfId="400">
      <calculatedColumnFormula>ROUND((AE12-AH12)*1000,0)</calculatedColumnFormula>
    </tableColumn>
    <tableColumn id="52" xr3:uid="{00000000-0010-0000-1B00-000034000000}" name="Столбец45" headerRowDxfId="399" dataDxfId="398">
      <calculatedColumnFormula>IF(Таблица438323234612131415181920212224252829[[#This Row],[Столбец42]]=0,"000",Таблица438323234612131415181920212224252829[[#This Row],[Столбец42]])</calculatedColumnFormula>
    </tableColumn>
    <tableColumn id="53" xr3:uid="{00000000-0010-0000-1B00-000035000000}" name="Столбец46" headerRowDxfId="397" dataDxfId="396">
      <calculatedColumnFormula>IF(Таблица438323234612131415181920212224252829[[#This Row],[Столбец44]]=0,"000",Таблица438323234612131415181920212224252829[[#This Row],[Столбец44]])</calculatedColumnFormula>
    </tableColumn>
    <tableColumn id="76" xr3:uid="{00000000-0010-0000-1B00-00004C000000}" name="Столбец462" headerRowDxfId="395" dataDxfId="394"/>
    <tableColumn id="54" xr3:uid="{00000000-0010-0000-1B00-000036000000}" name="Адрес дефекта, км +" headerRowDxfId="393" dataDxfId="392">
      <calculatedColumnFormula>CONCATENATE("км ",AF12,"+",AJ12," - км ",AH12,"+",AK12)</calculatedColumnFormula>
    </tableColumn>
    <tableColumn id="55" xr3:uid="{00000000-0010-0000-1B00-000037000000}" name="Столбец48" headerRowDxfId="391" dataDxfId="390">
      <calculatedColumnFormula>IF(ISBLANK(Таблица438323234612131415181920212224252829[[#This Row],[Столбец9]]),N12&amp;O12&amp;P12&amp;Q12&amp;R12&amp;S12&amp;T12&amp;U12,N12&amp;O12&amp;P12&amp;Q12&amp;R12&amp;S12&amp;T12&amp;U12&amp;";")</calculatedColumnFormula>
    </tableColumn>
    <tableColumn id="75" xr3:uid="{00000000-0010-0000-1B00-00004B000000}" name="Вид дефекта" headerRowDxfId="389" dataDxfId="388">
      <calculatedColumnFormula>UPPER(LEFT(Таблица438323234612131415181920212224252829[[#This Row],[Столбец48]],1))&amp;RIGHT(LOWER(Таблица438323234612131415181920212224252829[[#This Row],[Столбец48]]),LEN(Таблица438323234612131415181920212224252829[[#This Row],[Столбец48]])-1)</calculatedColumnFormula>
    </tableColumn>
    <tableColumn id="56" xr3:uid="{00000000-0010-0000-1B00-000038000000}" name="Балл минимальный" headerRowDxfId="387" dataDxfId="386">
      <calculatedColumnFormula>MIN(V12:AC12)</calculatedColumnFormula>
    </tableColumn>
    <tableColumn id="59" xr3:uid="{00000000-0010-0000-1B00-00003B000000}" name="Б*l" headerRowDxfId="385" dataDxfId="384">
      <calculatedColumnFormula>AP12*C12</calculatedColumnFormula>
    </tableColumn>
    <tableColumn id="63" xr3:uid="{00000000-0010-0000-1B00-00003F000000}" name="Столбец50" headerRowDxfId="383" dataDxfId="382"/>
    <tableColumn id="64" xr3:uid="{00000000-0010-0000-1B00-000040000000}" name="Столбец51" headerRowDxfId="381" dataDxfId="380">
      <calculatedColumnFormula>AD12</calculatedColumnFormula>
    </tableColumn>
    <tableColumn id="65" xr3:uid="{00000000-0010-0000-1B00-000041000000}" name="Столбец52" headerRowDxfId="379" dataDxfId="378">
      <calculatedColumnFormula>AE12</calculatedColumnFormula>
    </tableColumn>
    <tableColumn id="66" xr3:uid="{00000000-0010-0000-1B00-000042000000}" name="Столбец53" headerRowDxfId="377" dataDxfId="376">
      <calculatedColumnFormula>E12</calculatedColumnFormula>
    </tableColumn>
    <tableColumn id="67" xr3:uid="{00000000-0010-0000-1B00-000043000000}" name="Столбец54" headerRowDxfId="375" dataDxfId="374">
      <calculatedColumnFormula>D12</calculatedColumnFormula>
    </tableColumn>
    <tableColumn id="68" xr3:uid="{00000000-0010-0000-1B00-000044000000}" name="Столбец55" headerRowDxfId="373" dataDxfId="372">
      <calculatedColumnFormula>IF(AP12=0,"-",AP12)</calculatedColumnFormula>
    </tableColumn>
    <tableColumn id="70" xr3:uid="{00000000-0010-0000-1B00-000046000000}" name="Столбец57" headerRowDxfId="371" dataDxfId="370"/>
    <tableColumn id="34" xr3:uid="{00000000-0010-0000-1B00-000022000000}" name="Столбец576" headerRowDxfId="369" dataDxfId="368">
      <calculatedColumnFormula>Таблица438323234612131415181920212224252829[[#This Row],[Адрес дефекта, км +]]</calculatedColumnFormula>
    </tableColumn>
    <tableColumn id="33" xr3:uid="{00000000-0010-0000-1B00-000021000000}" name="Столбец575" headerRowDxfId="367" dataDxfId="366">
      <calculatedColumnFormula>Таблица438323234612131415181920212224252829[[#This Row],[Столбец55]]</calculatedColumnFormula>
    </tableColumn>
    <tableColumn id="32" xr3:uid="{00000000-0010-0000-1B00-000020000000}" name="Столбец574" headerRowDxfId="365" dataDxfId="364">
      <calculatedColumnFormula>Таблица438323234612131415181920212224252829[[#This Row],[Столбец59]]</calculatedColumnFormula>
    </tableColumn>
    <tableColumn id="31" xr3:uid="{00000000-0010-0000-1B00-00001F000000}" name="Столбец573" headerRowDxfId="363" dataDxfId="362"/>
    <tableColumn id="30" xr3:uid="{00000000-0010-0000-1B00-00001E000000}" name="Столбец572" headerRowDxfId="361" dataDxfId="360"/>
    <tableColumn id="71" xr3:uid="{00000000-0010-0000-1B00-000047000000}" name="Столбец58" headerRowDxfId="359" dataDxfId="358">
      <calculatedColumnFormula>Таблица438323234612131415181920212224252829[[#This Row],[Адрес дефекта, км +]]</calculatedColumnFormula>
    </tableColumn>
    <tableColumn id="72" xr3:uid="{00000000-0010-0000-1B00-000048000000}" name="Столбец59" headerRowDxfId="357" dataDxfId="356">
      <calculatedColumnFormula>ROUND(1-((5-Таблица438323234612131415181920212224252829[[#This Row],[Балл минимальный]])/10),2)</calculatedColumnFormula>
    </tableColumn>
    <tableColumn id="73" xr3:uid="{00000000-0010-0000-1B00-000049000000}" name="Столбец60" headerRowDxfId="355" dataDxfId="354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Таблица43832323461213141518192021222425282930" displayName="Таблица43832323461213141518192021222425282930" ref="A12:BF31" headerRowCount="0" totalsRowShown="0" headerRowDxfId="353" dataDxfId="352">
  <tableColumns count="58">
    <tableColumn id="1" xr3:uid="{00000000-0010-0000-1C00-000001000000}" name="Столбец1" headerRowDxfId="351" dataDxfId="350"/>
    <tableColumn id="2" xr3:uid="{00000000-0010-0000-1C00-000002000000}" name="Столбец2" headerRowDxfId="349" dataDxfId="348"/>
    <tableColumn id="3" xr3:uid="{00000000-0010-0000-1C00-000003000000}" name="Прот" headerRowDxfId="347" dataDxfId="346">
      <calculatedColumnFormula>B12-A12</calculatedColumnFormula>
    </tableColumn>
    <tableColumn id="4" xr3:uid="{00000000-0010-0000-1C00-000004000000}" name="Ширина" headerRowDxfId="345" dataDxfId="344"/>
    <tableColumn id="5" xr3:uid="{00000000-0010-0000-1C00-000005000000}" name="Покрытие" headerRowDxfId="343" dataDxfId="342"/>
    <tableColumn id="6" xr3:uid="{00000000-0010-0000-1C00-000006000000}" name="Деф 1" headerRowDxfId="341" dataDxfId="340"/>
    <tableColumn id="7" xr3:uid="{00000000-0010-0000-1C00-000007000000}" name="Деф 2" headerRowDxfId="339" dataDxfId="338"/>
    <tableColumn id="8" xr3:uid="{00000000-0010-0000-1C00-000008000000}" name="Столбец4" headerRowDxfId="337" dataDxfId="336"/>
    <tableColumn id="9" xr3:uid="{00000000-0010-0000-1C00-000009000000}" name="Столбец5" headerRowDxfId="335" dataDxfId="334"/>
    <tableColumn id="10" xr3:uid="{00000000-0010-0000-1C00-00000A000000}" name="Столбец6" headerRowDxfId="333" dataDxfId="332"/>
    <tableColumn id="11" xr3:uid="{00000000-0010-0000-1C00-00000B000000}" name="Столбец7" headerRowDxfId="331" dataDxfId="330"/>
    <tableColumn id="12" xr3:uid="{00000000-0010-0000-1C00-00000C000000}" name="Столбец8" headerRowDxfId="329" dataDxfId="328"/>
    <tableColumn id="13" xr3:uid="{00000000-0010-0000-1C00-00000D000000}" name="Столбец9" headerRowDxfId="327" dataDxfId="326"/>
    <tableColumn id="14" xr3:uid="{00000000-0010-0000-1C00-00000E000000}" name="Дефекты10" headerRowDxfId="325" dataDxfId="324">
      <calculatedColumnFormula>IFERROR(VLOOKUP(Таблица43832323461213141518192021222425282930[[#This Row],[Деф 1]],Лист1!$A$4:$F$60,2,FALSE),"")</calculatedColumnFormula>
    </tableColumn>
    <tableColumn id="15" xr3:uid="{00000000-0010-0000-1C00-00000F000000}" name="Столбец11" headerRowDxfId="323" dataDxfId="322">
      <calculatedColumnFormula>IFERROR(VLOOKUP(Таблица43832323461213141518192021222425282930[[#This Row],[Деф 2]],Лист1!$A$4:$F$60,2,FALSE),"")</calculatedColumnFormula>
    </tableColumn>
    <tableColumn id="16" xr3:uid="{00000000-0010-0000-1C00-000010000000}" name="Столбец12" headerRowDxfId="321" dataDxfId="320">
      <calculatedColumnFormula>IFERROR(VLOOKUP(Таблица43832323461213141518192021222425282930[[#This Row],[Столбец4]],Лист1!$A$4:$F$60,2,FALSE),"")</calculatedColumnFormula>
    </tableColumn>
    <tableColumn id="17" xr3:uid="{00000000-0010-0000-1C00-000011000000}" name="Столбец13" headerRowDxfId="319" dataDxfId="318">
      <calculatedColumnFormula>IFERROR(VLOOKUP(Таблица43832323461213141518192021222425282930[[#This Row],[Столбец5]],Лист1!$A$4:$F$60,2,FALSE),"")</calculatedColumnFormula>
    </tableColumn>
    <tableColumn id="18" xr3:uid="{00000000-0010-0000-1C00-000012000000}" name="Столбец14" headerRowDxfId="317" dataDxfId="316">
      <calculatedColumnFormula>IFERROR(VLOOKUP(Таблица43832323461213141518192021222425282930[[#This Row],[Столбец6]],Лист1!$A$4:$F$60,2,FALSE),"")</calculatedColumnFormula>
    </tableColumn>
    <tableColumn id="19" xr3:uid="{00000000-0010-0000-1C00-000013000000}" name="Столбец15" headerRowDxfId="315" dataDxfId="314">
      <calculatedColumnFormula>IFERROR(VLOOKUP(Таблица43832323461213141518192021222425282930[[#This Row],[Столбец7]],Лист1!$A$4:$F$60,2,FALSE),"")</calculatedColumnFormula>
    </tableColumn>
    <tableColumn id="20" xr3:uid="{00000000-0010-0000-1C00-000014000000}" name="Столбец16" headerRowDxfId="313" dataDxfId="312">
      <calculatedColumnFormula>IFERROR(VLOOKUP(Таблица43832323461213141518192021222425282930[[#This Row],[Столбец8]],Лист1!$A$4:$F$60,2,FALSE),"")</calculatedColumnFormula>
    </tableColumn>
    <tableColumn id="21" xr3:uid="{00000000-0010-0000-1C00-000015000000}" name="Столбец17" headerRowDxfId="311" dataDxfId="310">
      <calculatedColumnFormula>IFERROR(VLOOKUP(Таблица43832323461213141518192021222425282930[[#This Row],[Столбец9]],Лист1!$A$4:$F$60,2,FALSE),"")</calculatedColumnFormula>
    </tableColumn>
    <tableColumn id="22" xr3:uid="{00000000-0010-0000-1C00-000016000000}" name="Баллы" headerRowDxfId="309" dataDxfId="308">
      <calculatedColumnFormula>IFERROR(VLOOKUP(Таблица43832323461213141518192021222425282930[[#This Row],[Деф 1]],Лист1!$A$4:$F$60,3,FALSE),"")</calculatedColumnFormula>
    </tableColumn>
    <tableColumn id="23" xr3:uid="{00000000-0010-0000-1C00-000017000000}" name="Столбец18" headerRowDxfId="307" dataDxfId="306">
      <calculatedColumnFormula>IFERROR(VLOOKUP(Таблица43832323461213141518192021222425282930[[#This Row],[Деф 2]],Лист1!$A$4:$F$60,3,FALSE),"")</calculatedColumnFormula>
    </tableColumn>
    <tableColumn id="24" xr3:uid="{00000000-0010-0000-1C00-000018000000}" name="Столбец19" headerRowDxfId="305" dataDxfId="304">
      <calculatedColumnFormula>IFERROR(VLOOKUP(Таблица43832323461213141518192021222425282930[[#This Row],[Столбец4]],Лист1!$A$4:$F$60,3,FALSE),"")</calculatedColumnFormula>
    </tableColumn>
    <tableColumn id="25" xr3:uid="{00000000-0010-0000-1C00-000019000000}" name="Столбец20" headerRowDxfId="303" dataDxfId="302">
      <calculatedColumnFormula>IFERROR(VLOOKUP(Таблица43832323461213141518192021222425282930[[#This Row],[Столбец5]],Лист1!$A$4:$F$60,3,FALSE),"")</calculatedColumnFormula>
    </tableColumn>
    <tableColumn id="26" xr3:uid="{00000000-0010-0000-1C00-00001A000000}" name="Столбец21" headerRowDxfId="301" dataDxfId="300">
      <calculatedColumnFormula>IFERROR(VLOOKUP(Таблица43832323461213141518192021222425282930[[#This Row],[Столбец6]],Лист1!$A$4:$F$60,3,FALSE),"")</calculatedColumnFormula>
    </tableColumn>
    <tableColumn id="27" xr3:uid="{00000000-0010-0000-1C00-00001B000000}" name="Столбец22" headerRowDxfId="299" dataDxfId="298">
      <calculatedColumnFormula>IFERROR(VLOOKUP(Таблица43832323461213141518192021222425282930[[#This Row],[Столбец7]],Лист1!$A$4:$F$60,3,FALSE),"")</calculatedColumnFormula>
    </tableColumn>
    <tableColumn id="28" xr3:uid="{00000000-0010-0000-1C00-00001C000000}" name="Столбец23" headerRowDxfId="297" dataDxfId="296">
      <calculatedColumnFormula>IFERROR(VLOOKUP(Таблица43832323461213141518192021222425282930[[#This Row],[Столбец8]],Лист1!$A$4:$F$60,3,FALSE),"")</calculatedColumnFormula>
    </tableColumn>
    <tableColumn id="29" xr3:uid="{00000000-0010-0000-1C00-00001D000000}" name="Столбец24" headerRowDxfId="295" dataDxfId="294">
      <calculatedColumnFormula>IFERROR(VLOOKUP(Таблица43832323461213141518192021222425282930[[#This Row],[Столбец9]],Лист1!$A$4:$F$60,3,FALSE),"")</calculatedColumnFormula>
    </tableColumn>
    <tableColumn id="46" xr3:uid="{00000000-0010-0000-1C00-00002E000000}" name="Столбец39" headerRowDxfId="293" dataDxfId="292">
      <calculatedColumnFormula>ROUND(AE11,3)</calculatedColumnFormula>
    </tableColumn>
    <tableColumn id="47" xr3:uid="{00000000-0010-0000-1C00-00002F000000}" name="0" headerRowDxfId="291" dataDxfId="290">
      <calculatedColumnFormula>ROUND(AD12+C12,3)</calculatedColumnFormula>
    </tableColumn>
    <tableColumn id="48" xr3:uid="{00000000-0010-0000-1C00-000030000000}" name="Столбец41" headerRowDxfId="289" dataDxfId="288">
      <calculatedColumnFormula>ROUND(ROUNDDOWN(AD12,0),0)</calculatedColumnFormula>
    </tableColumn>
    <tableColumn id="49" xr3:uid="{00000000-0010-0000-1C00-000031000000}" name="Столбец42" headerRowDxfId="287" dataDxfId="286">
      <calculatedColumnFormula>ROUND((AD12-AF12)*1000,0)</calculatedColumnFormula>
    </tableColumn>
    <tableColumn id="50" xr3:uid="{00000000-0010-0000-1C00-000032000000}" name="Столбец43" headerRowDxfId="285" dataDxfId="284">
      <calculatedColumnFormula>ROUND(ROUNDDOWN(AE12,0),0)</calculatedColumnFormula>
    </tableColumn>
    <tableColumn id="51" xr3:uid="{00000000-0010-0000-1C00-000033000000}" name="Столбец44" headerRowDxfId="283" dataDxfId="282">
      <calculatedColumnFormula>ROUND((AE12-AH12)*1000,0)</calculatedColumnFormula>
    </tableColumn>
    <tableColumn id="52" xr3:uid="{00000000-0010-0000-1C00-000034000000}" name="Столбец45" headerRowDxfId="281" dataDxfId="280">
      <calculatedColumnFormula>IF(Таблица43832323461213141518192021222425282930[[#This Row],[Столбец42]]=0,"000",Таблица43832323461213141518192021222425282930[[#This Row],[Столбец42]])</calculatedColumnFormula>
    </tableColumn>
    <tableColumn id="53" xr3:uid="{00000000-0010-0000-1C00-000035000000}" name="Столбец46" headerRowDxfId="279" dataDxfId="278">
      <calculatedColumnFormula>IF(Таблица43832323461213141518192021222425282930[[#This Row],[Столбец44]]=0,"000",Таблица43832323461213141518192021222425282930[[#This Row],[Столбец44]])</calculatedColumnFormula>
    </tableColumn>
    <tableColumn id="76" xr3:uid="{00000000-0010-0000-1C00-00004C000000}" name="Столбец462" headerRowDxfId="277" dataDxfId="276"/>
    <tableColumn id="54" xr3:uid="{00000000-0010-0000-1C00-000036000000}" name="Адрес дефекта, км +" headerRowDxfId="275" dataDxfId="274">
      <calculatedColumnFormula>CONCATENATE("км ",AF12,"+",AJ12," - км ",AH12,"+",AK12)</calculatedColumnFormula>
    </tableColumn>
    <tableColumn id="55" xr3:uid="{00000000-0010-0000-1C00-000037000000}" name="Столбец48" headerRowDxfId="273" dataDxfId="272">
      <calculatedColumnFormula>IF(ISBLANK(Таблица43832323461213141518192021222425282930[[#This Row],[Столбец9]]),N12&amp;O12&amp;P12&amp;Q12&amp;R12&amp;S12&amp;T12&amp;U12,N12&amp;O12&amp;P12&amp;Q12&amp;R12&amp;S12&amp;T12&amp;U12&amp;";")</calculatedColumnFormula>
    </tableColumn>
    <tableColumn id="75" xr3:uid="{00000000-0010-0000-1C00-00004B000000}" name="Вид дефекта" headerRowDxfId="271" dataDxfId="270">
      <calculatedColumnFormula>UPPER(LEFT(Таблица43832323461213141518192021222425282930[[#This Row],[Столбец48]],1))&amp;RIGHT(LOWER(Таблица43832323461213141518192021222425282930[[#This Row],[Столбец48]]),LEN(Таблица43832323461213141518192021222425282930[[#This Row],[Столбец48]])-1)</calculatedColumnFormula>
    </tableColumn>
    <tableColumn id="56" xr3:uid="{00000000-0010-0000-1C00-000038000000}" name="Балл минимальный" headerRowDxfId="269" dataDxfId="268">
      <calculatedColumnFormula>MIN(V12:AC12)</calculatedColumnFormula>
    </tableColumn>
    <tableColumn id="59" xr3:uid="{00000000-0010-0000-1C00-00003B000000}" name="Б*l" headerRowDxfId="267" dataDxfId="266">
      <calculatedColumnFormula>AP12*C12</calculatedColumnFormula>
    </tableColumn>
    <tableColumn id="63" xr3:uid="{00000000-0010-0000-1C00-00003F000000}" name="Столбец50" headerRowDxfId="265" dataDxfId="264"/>
    <tableColumn id="64" xr3:uid="{00000000-0010-0000-1C00-000040000000}" name="Столбец51" headerRowDxfId="263" dataDxfId="262">
      <calculatedColumnFormula>AD12</calculatedColumnFormula>
    </tableColumn>
    <tableColumn id="65" xr3:uid="{00000000-0010-0000-1C00-000041000000}" name="Столбец52" headerRowDxfId="261" dataDxfId="260">
      <calculatedColumnFormula>AE12</calculatedColumnFormula>
    </tableColumn>
    <tableColumn id="66" xr3:uid="{00000000-0010-0000-1C00-000042000000}" name="Столбец53" headerRowDxfId="259" dataDxfId="258">
      <calculatedColumnFormula>E12</calculatedColumnFormula>
    </tableColumn>
    <tableColumn id="67" xr3:uid="{00000000-0010-0000-1C00-000043000000}" name="Столбец54" headerRowDxfId="257" dataDxfId="256">
      <calculatedColumnFormula>D12</calculatedColumnFormula>
    </tableColumn>
    <tableColumn id="68" xr3:uid="{00000000-0010-0000-1C00-000044000000}" name="Столбец55" headerRowDxfId="255" dataDxfId="254">
      <calculatedColumnFormula>IF(AP12=0,"-",AP12)</calculatedColumnFormula>
    </tableColumn>
    <tableColumn id="70" xr3:uid="{00000000-0010-0000-1C00-000046000000}" name="Столбец57" headerRowDxfId="253" dataDxfId="252"/>
    <tableColumn id="34" xr3:uid="{00000000-0010-0000-1C00-000022000000}" name="Столбец576" headerRowDxfId="251" dataDxfId="250">
      <calculatedColumnFormula>Таблица43832323461213141518192021222425282930[[#This Row],[Адрес дефекта, км +]]</calculatedColumnFormula>
    </tableColumn>
    <tableColumn id="33" xr3:uid="{00000000-0010-0000-1C00-000021000000}" name="Столбец575" headerRowDxfId="249" dataDxfId="248">
      <calculatedColumnFormula>Таблица43832323461213141518192021222425282930[[#This Row],[Столбец55]]</calculatedColumnFormula>
    </tableColumn>
    <tableColumn id="32" xr3:uid="{00000000-0010-0000-1C00-000020000000}" name="Столбец574" headerRowDxfId="247" dataDxfId="246">
      <calculatedColumnFormula>Таблица43832323461213141518192021222425282930[[#This Row],[Столбец59]]</calculatedColumnFormula>
    </tableColumn>
    <tableColumn id="31" xr3:uid="{00000000-0010-0000-1C00-00001F000000}" name="Столбец573" headerRowDxfId="245" dataDxfId="244"/>
    <tableColumn id="30" xr3:uid="{00000000-0010-0000-1C00-00001E000000}" name="Столбец572" headerRowDxfId="243" dataDxfId="242"/>
    <tableColumn id="71" xr3:uid="{00000000-0010-0000-1C00-000047000000}" name="Столбец58" headerRowDxfId="241" dataDxfId="240">
      <calculatedColumnFormula>Таблица43832323461213141518192021222425282930[[#This Row],[Адрес дефекта, км +]]</calculatedColumnFormula>
    </tableColumn>
    <tableColumn id="72" xr3:uid="{00000000-0010-0000-1C00-000048000000}" name="Столбец59" headerRowDxfId="239" dataDxfId="238">
      <calculatedColumnFormula>ROUND(1-((5-Таблица43832323461213141518192021222425282930[[#This Row],[Балл минимальный]])/10),2)</calculatedColumnFormula>
    </tableColumn>
    <tableColumn id="73" xr3:uid="{00000000-0010-0000-1C00-000049000000}" name="Столбец60" headerRowDxfId="237" dataDxfId="236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Таблица4383232346121314151819202122242528293031" displayName="Таблица4383232346121314151819202122242528293031" ref="A12:BF31" headerRowCount="0" totalsRowShown="0" headerRowDxfId="235" dataDxfId="234">
  <tableColumns count="58">
    <tableColumn id="1" xr3:uid="{00000000-0010-0000-1D00-000001000000}" name="Столбец1" headerRowDxfId="233" dataDxfId="232"/>
    <tableColumn id="2" xr3:uid="{00000000-0010-0000-1D00-000002000000}" name="Столбец2" headerRowDxfId="231" dataDxfId="230"/>
    <tableColumn id="3" xr3:uid="{00000000-0010-0000-1D00-000003000000}" name="Прот" headerRowDxfId="229" dataDxfId="228">
      <calculatedColumnFormula>B12-A12</calculatedColumnFormula>
    </tableColumn>
    <tableColumn id="4" xr3:uid="{00000000-0010-0000-1D00-000004000000}" name="Ширина" headerRowDxfId="227" dataDxfId="226"/>
    <tableColumn id="5" xr3:uid="{00000000-0010-0000-1D00-000005000000}" name="Покрытие" headerRowDxfId="225" dataDxfId="224"/>
    <tableColumn id="6" xr3:uid="{00000000-0010-0000-1D00-000006000000}" name="Деф 1" headerRowDxfId="223" dataDxfId="222"/>
    <tableColumn id="7" xr3:uid="{00000000-0010-0000-1D00-000007000000}" name="Деф 2" headerRowDxfId="221" dataDxfId="220"/>
    <tableColumn id="8" xr3:uid="{00000000-0010-0000-1D00-000008000000}" name="Столбец4" headerRowDxfId="219" dataDxfId="218"/>
    <tableColumn id="9" xr3:uid="{00000000-0010-0000-1D00-000009000000}" name="Столбец5" headerRowDxfId="217" dataDxfId="216"/>
    <tableColumn id="10" xr3:uid="{00000000-0010-0000-1D00-00000A000000}" name="Столбец6" headerRowDxfId="215" dataDxfId="214"/>
    <tableColumn id="11" xr3:uid="{00000000-0010-0000-1D00-00000B000000}" name="Столбец7" headerRowDxfId="213" dataDxfId="212"/>
    <tableColumn id="12" xr3:uid="{00000000-0010-0000-1D00-00000C000000}" name="Столбец8" headerRowDxfId="211" dataDxfId="210"/>
    <tableColumn id="13" xr3:uid="{00000000-0010-0000-1D00-00000D000000}" name="Столбец9" headerRowDxfId="209" dataDxfId="208"/>
    <tableColumn id="14" xr3:uid="{00000000-0010-0000-1D00-00000E000000}" name="Дефекты10" headerRowDxfId="207" dataDxfId="206">
      <calculatedColumnFormula>IFERROR(VLOOKUP(Таблица4383232346121314151819202122242528293031[[#This Row],[Деф 1]],Лист1!$A$4:$F$60,2,FALSE),"")</calculatedColumnFormula>
    </tableColumn>
    <tableColumn id="15" xr3:uid="{00000000-0010-0000-1D00-00000F000000}" name="Столбец11" headerRowDxfId="205" dataDxfId="204">
      <calculatedColumnFormula>IFERROR(VLOOKUP(Таблица4383232346121314151819202122242528293031[[#This Row],[Деф 2]],Лист1!$A$4:$F$60,2,FALSE),"")</calculatedColumnFormula>
    </tableColumn>
    <tableColumn id="16" xr3:uid="{00000000-0010-0000-1D00-000010000000}" name="Столбец12" headerRowDxfId="203" dataDxfId="202">
      <calculatedColumnFormula>IFERROR(VLOOKUP(Таблица4383232346121314151819202122242528293031[[#This Row],[Столбец4]],Лист1!$A$4:$F$60,2,FALSE),"")</calculatedColumnFormula>
    </tableColumn>
    <tableColumn id="17" xr3:uid="{00000000-0010-0000-1D00-000011000000}" name="Столбец13" headerRowDxfId="201" dataDxfId="200">
      <calculatedColumnFormula>IFERROR(VLOOKUP(Таблица4383232346121314151819202122242528293031[[#This Row],[Столбец5]],Лист1!$A$4:$F$60,2,FALSE),"")</calculatedColumnFormula>
    </tableColumn>
    <tableColumn id="18" xr3:uid="{00000000-0010-0000-1D00-000012000000}" name="Столбец14" headerRowDxfId="199" dataDxfId="198">
      <calculatedColumnFormula>IFERROR(VLOOKUP(Таблица4383232346121314151819202122242528293031[[#This Row],[Столбец6]],Лист1!$A$4:$F$60,2,FALSE),"")</calculatedColumnFormula>
    </tableColumn>
    <tableColumn id="19" xr3:uid="{00000000-0010-0000-1D00-000013000000}" name="Столбец15" headerRowDxfId="197" dataDxfId="196">
      <calculatedColumnFormula>IFERROR(VLOOKUP(Таблица4383232346121314151819202122242528293031[[#This Row],[Столбец7]],Лист1!$A$4:$F$60,2,FALSE),"")</calculatedColumnFormula>
    </tableColumn>
    <tableColumn id="20" xr3:uid="{00000000-0010-0000-1D00-000014000000}" name="Столбец16" headerRowDxfId="195" dataDxfId="194">
      <calculatedColumnFormula>IFERROR(VLOOKUP(Таблица4383232346121314151819202122242528293031[[#This Row],[Столбец8]],Лист1!$A$4:$F$60,2,FALSE),"")</calculatedColumnFormula>
    </tableColumn>
    <tableColumn id="21" xr3:uid="{00000000-0010-0000-1D00-000015000000}" name="Столбец17" headerRowDxfId="193" dataDxfId="192">
      <calculatedColumnFormula>IFERROR(VLOOKUP(Таблица4383232346121314151819202122242528293031[[#This Row],[Столбец9]],Лист1!$A$4:$F$60,2,FALSE),"")</calculatedColumnFormula>
    </tableColumn>
    <tableColumn id="22" xr3:uid="{00000000-0010-0000-1D00-000016000000}" name="Баллы" headerRowDxfId="191" dataDxfId="190">
      <calculatedColumnFormula>IFERROR(VLOOKUP(Таблица4383232346121314151819202122242528293031[[#This Row],[Деф 1]],Лист1!$A$4:$F$60,3,FALSE),"")</calculatedColumnFormula>
    </tableColumn>
    <tableColumn id="23" xr3:uid="{00000000-0010-0000-1D00-000017000000}" name="Столбец18" headerRowDxfId="189" dataDxfId="188">
      <calculatedColumnFormula>IFERROR(VLOOKUP(Таблица4383232346121314151819202122242528293031[[#This Row],[Деф 2]],Лист1!$A$4:$F$60,3,FALSE),"")</calculatedColumnFormula>
    </tableColumn>
    <tableColumn id="24" xr3:uid="{00000000-0010-0000-1D00-000018000000}" name="Столбец19" headerRowDxfId="187" dataDxfId="186">
      <calculatedColumnFormula>IFERROR(VLOOKUP(Таблица4383232346121314151819202122242528293031[[#This Row],[Столбец4]],Лист1!$A$4:$F$60,3,FALSE),"")</calculatedColumnFormula>
    </tableColumn>
    <tableColumn id="25" xr3:uid="{00000000-0010-0000-1D00-000019000000}" name="Столбец20" headerRowDxfId="185" dataDxfId="184">
      <calculatedColumnFormula>IFERROR(VLOOKUP(Таблица4383232346121314151819202122242528293031[[#This Row],[Столбец5]],Лист1!$A$4:$F$60,3,FALSE),"")</calculatedColumnFormula>
    </tableColumn>
    <tableColumn id="26" xr3:uid="{00000000-0010-0000-1D00-00001A000000}" name="Столбец21" headerRowDxfId="183" dataDxfId="182">
      <calculatedColumnFormula>IFERROR(VLOOKUP(Таблица4383232346121314151819202122242528293031[[#This Row],[Столбец6]],Лист1!$A$4:$F$60,3,FALSE),"")</calculatedColumnFormula>
    </tableColumn>
    <tableColumn id="27" xr3:uid="{00000000-0010-0000-1D00-00001B000000}" name="Столбец22" headerRowDxfId="181" dataDxfId="180">
      <calculatedColumnFormula>IFERROR(VLOOKUP(Таблица4383232346121314151819202122242528293031[[#This Row],[Столбец7]],Лист1!$A$4:$F$60,3,FALSE),"")</calculatedColumnFormula>
    </tableColumn>
    <tableColumn id="28" xr3:uid="{00000000-0010-0000-1D00-00001C000000}" name="Столбец23" headerRowDxfId="179" dataDxfId="178">
      <calculatedColumnFormula>IFERROR(VLOOKUP(Таблица4383232346121314151819202122242528293031[[#This Row],[Столбец8]],Лист1!$A$4:$F$60,3,FALSE),"")</calculatedColumnFormula>
    </tableColumn>
    <tableColumn id="29" xr3:uid="{00000000-0010-0000-1D00-00001D000000}" name="Столбец24" headerRowDxfId="177" dataDxfId="176">
      <calculatedColumnFormula>IFERROR(VLOOKUP(Таблица4383232346121314151819202122242528293031[[#This Row],[Столбец9]],Лист1!$A$4:$F$60,3,FALSE),"")</calculatedColumnFormula>
    </tableColumn>
    <tableColumn id="46" xr3:uid="{00000000-0010-0000-1D00-00002E000000}" name="Столбец39" headerRowDxfId="175" dataDxfId="174">
      <calculatedColumnFormula>ROUND(AE11,3)</calculatedColumnFormula>
    </tableColumn>
    <tableColumn id="47" xr3:uid="{00000000-0010-0000-1D00-00002F000000}" name="0" headerRowDxfId="173" dataDxfId="172">
      <calculatedColumnFormula>ROUND(AD12+C12,3)</calculatedColumnFormula>
    </tableColumn>
    <tableColumn id="48" xr3:uid="{00000000-0010-0000-1D00-000030000000}" name="Столбец41" headerRowDxfId="171" dataDxfId="170">
      <calculatedColumnFormula>ROUND(ROUNDDOWN(AD12,0),0)</calculatedColumnFormula>
    </tableColumn>
    <tableColumn id="49" xr3:uid="{00000000-0010-0000-1D00-000031000000}" name="Столбец42" headerRowDxfId="169" dataDxfId="168">
      <calculatedColumnFormula>ROUND((AD12-AF12)*1000,0)</calculatedColumnFormula>
    </tableColumn>
    <tableColumn id="50" xr3:uid="{00000000-0010-0000-1D00-000032000000}" name="Столбец43" headerRowDxfId="167" dataDxfId="166">
      <calculatedColumnFormula>ROUND(ROUNDDOWN(AE12,0),0)</calculatedColumnFormula>
    </tableColumn>
    <tableColumn id="51" xr3:uid="{00000000-0010-0000-1D00-000033000000}" name="Столбец44" headerRowDxfId="165" dataDxfId="164">
      <calculatedColumnFormula>ROUND((AE12-AH12)*1000,0)</calculatedColumnFormula>
    </tableColumn>
    <tableColumn id="52" xr3:uid="{00000000-0010-0000-1D00-000034000000}" name="Столбец45" headerRowDxfId="163" dataDxfId="162">
      <calculatedColumnFormula>IF(Таблица4383232346121314151819202122242528293031[[#This Row],[Столбец42]]=0,"000",Таблица4383232346121314151819202122242528293031[[#This Row],[Столбец42]])</calculatedColumnFormula>
    </tableColumn>
    <tableColumn id="53" xr3:uid="{00000000-0010-0000-1D00-000035000000}" name="Столбец46" headerRowDxfId="161" dataDxfId="160">
      <calculatedColumnFormula>IF(Таблица4383232346121314151819202122242528293031[[#This Row],[Столбец44]]=0,"000",Таблица4383232346121314151819202122242528293031[[#This Row],[Столбец44]])</calculatedColumnFormula>
    </tableColumn>
    <tableColumn id="76" xr3:uid="{00000000-0010-0000-1D00-00004C000000}" name="Столбец462" headerRowDxfId="159" dataDxfId="158"/>
    <tableColumn id="54" xr3:uid="{00000000-0010-0000-1D00-000036000000}" name="Адрес дефекта, км +" headerRowDxfId="157" dataDxfId="156">
      <calculatedColumnFormula>CONCATENATE("км ",AF12,"+",AJ12," - км ",AH12,"+",AK12)</calculatedColumnFormula>
    </tableColumn>
    <tableColumn id="55" xr3:uid="{00000000-0010-0000-1D00-000037000000}" name="Столбец48" headerRowDxfId="155" dataDxfId="154">
      <calculatedColumnFormula>IF(ISBLANK(Таблица4383232346121314151819202122242528293031[[#This Row],[Столбец9]]),N12&amp;O12&amp;P12&amp;Q12&amp;R12&amp;S12&amp;T12&amp;U12,N12&amp;O12&amp;P12&amp;Q12&amp;R12&amp;S12&amp;T12&amp;U12&amp;";")</calculatedColumnFormula>
    </tableColumn>
    <tableColumn id="75" xr3:uid="{00000000-0010-0000-1D00-00004B000000}" name="Вид дефекта" headerRowDxfId="153" dataDxfId="152">
      <calculatedColumnFormula>UPPER(LEFT(Таблица4383232346121314151819202122242528293031[[#This Row],[Столбец48]],1))&amp;RIGHT(LOWER(Таблица4383232346121314151819202122242528293031[[#This Row],[Столбец48]]),LEN(Таблица4383232346121314151819202122242528293031[[#This Row],[Столбец48]])-1)</calculatedColumnFormula>
    </tableColumn>
    <tableColumn id="56" xr3:uid="{00000000-0010-0000-1D00-000038000000}" name="Балл минимальный" headerRowDxfId="151" dataDxfId="150">
      <calculatedColumnFormula>MIN(V12:AC12)</calculatedColumnFormula>
    </tableColumn>
    <tableColumn id="59" xr3:uid="{00000000-0010-0000-1D00-00003B000000}" name="Б*l" headerRowDxfId="149" dataDxfId="148">
      <calculatedColumnFormula>AP12*C12</calculatedColumnFormula>
    </tableColumn>
    <tableColumn id="63" xr3:uid="{00000000-0010-0000-1D00-00003F000000}" name="Столбец50" headerRowDxfId="147" dataDxfId="146"/>
    <tableColumn id="64" xr3:uid="{00000000-0010-0000-1D00-000040000000}" name="Столбец51" headerRowDxfId="145" dataDxfId="144">
      <calculatedColumnFormula>AD12</calculatedColumnFormula>
    </tableColumn>
    <tableColumn id="65" xr3:uid="{00000000-0010-0000-1D00-000041000000}" name="Столбец52" headerRowDxfId="143" dataDxfId="142">
      <calculatedColumnFormula>AE12</calculatedColumnFormula>
    </tableColumn>
    <tableColumn id="66" xr3:uid="{00000000-0010-0000-1D00-000042000000}" name="Столбец53" headerRowDxfId="141" dataDxfId="140">
      <calculatedColumnFormula>E12</calculatedColumnFormula>
    </tableColumn>
    <tableColumn id="67" xr3:uid="{00000000-0010-0000-1D00-000043000000}" name="Столбец54" headerRowDxfId="139" dataDxfId="138">
      <calculatedColumnFormula>D12</calculatedColumnFormula>
    </tableColumn>
    <tableColumn id="68" xr3:uid="{00000000-0010-0000-1D00-000044000000}" name="Столбец55" headerRowDxfId="137" dataDxfId="136">
      <calculatedColumnFormula>IF(AP12=0,"-",AP12)</calculatedColumnFormula>
    </tableColumn>
    <tableColumn id="70" xr3:uid="{00000000-0010-0000-1D00-000046000000}" name="Столбец57" headerRowDxfId="135" dataDxfId="134"/>
    <tableColumn id="34" xr3:uid="{00000000-0010-0000-1D00-000022000000}" name="Столбец576" headerRowDxfId="133" dataDxfId="132">
      <calculatedColumnFormula>Таблица4383232346121314151819202122242528293031[[#This Row],[Адрес дефекта, км +]]</calculatedColumnFormula>
    </tableColumn>
    <tableColumn id="33" xr3:uid="{00000000-0010-0000-1D00-000021000000}" name="Столбец575" headerRowDxfId="131" dataDxfId="130">
      <calculatedColumnFormula>Таблица4383232346121314151819202122242528293031[[#This Row],[Столбец55]]</calculatedColumnFormula>
    </tableColumn>
    <tableColumn id="32" xr3:uid="{00000000-0010-0000-1D00-000020000000}" name="Столбец574" headerRowDxfId="129" dataDxfId="128">
      <calculatedColumnFormula>Таблица4383232346121314151819202122242528293031[[#This Row],[Столбец59]]</calculatedColumnFormula>
    </tableColumn>
    <tableColumn id="31" xr3:uid="{00000000-0010-0000-1D00-00001F000000}" name="Столбец573" headerRowDxfId="127" dataDxfId="126"/>
    <tableColumn id="30" xr3:uid="{00000000-0010-0000-1D00-00001E000000}" name="Столбец572" headerRowDxfId="125" dataDxfId="124"/>
    <tableColumn id="71" xr3:uid="{00000000-0010-0000-1D00-000047000000}" name="Столбец58" headerRowDxfId="123" dataDxfId="122">
      <calculatedColumnFormula>Таблица4383232346121314151819202122242528293031[[#This Row],[Адрес дефекта, км +]]</calculatedColumnFormula>
    </tableColumn>
    <tableColumn id="72" xr3:uid="{00000000-0010-0000-1D00-000048000000}" name="Столбец59" headerRowDxfId="121" dataDxfId="120">
      <calculatedColumnFormula>ROUND(1-((5-Таблица4383232346121314151819202122242528293031[[#This Row],[Балл минимальный]])/10),2)</calculatedColumnFormula>
    </tableColumn>
    <tableColumn id="73" xr3:uid="{00000000-0010-0000-1D00-000049000000}" name="Столбец60" headerRowDxfId="119" dataDxfId="118">
      <calculatedColumnFormula>ROUND(BE12*$N$4,0)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131"/>
  <sheetViews>
    <sheetView zoomScale="85" zoomScaleNormal="85" workbookViewId="0">
      <selection activeCell="N8" sqref="N8"/>
    </sheetView>
  </sheetViews>
  <sheetFormatPr baseColWidth="10" defaultColWidth="8.83203125" defaultRowHeight="15" x14ac:dyDescent="0.2"/>
  <cols>
    <col min="2" max="2" width="48.6640625" customWidth="1"/>
    <col min="3" max="3" width="15.33203125" customWidth="1"/>
    <col min="4" max="4" width="16.5" customWidth="1"/>
    <col min="5" max="5" width="19.83203125" customWidth="1"/>
    <col min="6" max="6" width="17.5" customWidth="1"/>
  </cols>
  <sheetData>
    <row r="1" spans="1:6" ht="18" thickBot="1" x14ac:dyDescent="0.25">
      <c r="B1" s="1" t="s">
        <v>0</v>
      </c>
      <c r="C1" s="2"/>
      <c r="D1" s="219" t="s">
        <v>1</v>
      </c>
      <c r="E1" s="220"/>
      <c r="F1" s="221"/>
    </row>
    <row r="2" spans="1:6" ht="52" thickBot="1" x14ac:dyDescent="0.25">
      <c r="B2" s="3"/>
      <c r="C2" s="4" t="s">
        <v>2</v>
      </c>
      <c r="D2" s="4" t="s">
        <v>3</v>
      </c>
      <c r="E2" s="5" t="s">
        <v>4</v>
      </c>
      <c r="F2" s="5" t="s">
        <v>5</v>
      </c>
    </row>
    <row r="3" spans="1:6" ht="17" thickBot="1" x14ac:dyDescent="0.25">
      <c r="B3" s="6">
        <v>1</v>
      </c>
      <c r="C3" s="4">
        <v>2</v>
      </c>
      <c r="D3" s="4">
        <v>3</v>
      </c>
      <c r="E3" s="4">
        <v>4</v>
      </c>
      <c r="F3" s="4">
        <v>5</v>
      </c>
    </row>
    <row r="4" spans="1:6" ht="18" thickBot="1" x14ac:dyDescent="0.25">
      <c r="A4" t="s">
        <v>7</v>
      </c>
      <c r="B4" s="7" t="s">
        <v>6</v>
      </c>
      <c r="C4" s="8">
        <v>5</v>
      </c>
      <c r="D4" s="8">
        <v>1</v>
      </c>
      <c r="E4" s="8">
        <v>1</v>
      </c>
      <c r="F4" s="8">
        <v>1</v>
      </c>
    </row>
    <row r="5" spans="1:6" ht="35" thickBot="1" x14ac:dyDescent="0.25">
      <c r="A5" t="s">
        <v>9</v>
      </c>
      <c r="B5" s="7" t="s">
        <v>8</v>
      </c>
      <c r="C5" s="8">
        <v>4.9000000000000004</v>
      </c>
      <c r="D5" s="8">
        <v>0.95</v>
      </c>
      <c r="E5" s="8">
        <v>1</v>
      </c>
      <c r="F5" s="8">
        <v>0.9</v>
      </c>
    </row>
    <row r="6" spans="1:6" ht="35" thickBot="1" x14ac:dyDescent="0.25">
      <c r="A6" t="s">
        <v>11</v>
      </c>
      <c r="B6" s="7" t="s">
        <v>10</v>
      </c>
      <c r="C6" s="8">
        <v>4.5999999999999996</v>
      </c>
      <c r="D6" s="8">
        <v>0.9</v>
      </c>
      <c r="E6" s="8">
        <v>0.95</v>
      </c>
      <c r="F6" s="8">
        <v>0.8</v>
      </c>
    </row>
    <row r="7" spans="1:6" ht="35" thickBot="1" x14ac:dyDescent="0.25">
      <c r="A7" t="s">
        <v>13</v>
      </c>
      <c r="B7" s="9" t="s">
        <v>12</v>
      </c>
      <c r="C7" s="10">
        <v>4.3</v>
      </c>
      <c r="D7" s="10">
        <v>0.85</v>
      </c>
      <c r="E7" s="10">
        <v>0.9</v>
      </c>
      <c r="F7" s="10">
        <v>0.7</v>
      </c>
    </row>
    <row r="8" spans="1:6" ht="35" thickBot="1" x14ac:dyDescent="0.25">
      <c r="A8" t="s">
        <v>15</v>
      </c>
      <c r="B8" s="9" t="s">
        <v>14</v>
      </c>
      <c r="C8" s="10">
        <v>3.9</v>
      </c>
      <c r="D8" s="10">
        <v>0.8</v>
      </c>
      <c r="E8" s="10">
        <v>0.85</v>
      </c>
      <c r="F8" s="10">
        <v>0.55000000000000004</v>
      </c>
    </row>
    <row r="9" spans="1:6" ht="35" thickBot="1" x14ac:dyDescent="0.25">
      <c r="A9" t="s">
        <v>17</v>
      </c>
      <c r="B9" s="9" t="s">
        <v>16</v>
      </c>
      <c r="C9" s="10">
        <v>3.6</v>
      </c>
      <c r="D9" s="10">
        <v>0.78</v>
      </c>
      <c r="E9" s="10">
        <v>0.83</v>
      </c>
      <c r="F9" s="10">
        <v>0.42</v>
      </c>
    </row>
    <row r="10" spans="1:6" ht="35" thickBot="1" x14ac:dyDescent="0.25">
      <c r="A10" t="s">
        <v>20</v>
      </c>
      <c r="B10" s="11" t="s">
        <v>18</v>
      </c>
      <c r="C10" s="12">
        <v>3.2</v>
      </c>
      <c r="D10" s="12">
        <v>0.75</v>
      </c>
      <c r="E10" s="12">
        <v>0.8</v>
      </c>
      <c r="F10" s="12" t="s">
        <v>19</v>
      </c>
    </row>
    <row r="11" spans="1:6" ht="35" thickBot="1" x14ac:dyDescent="0.25">
      <c r="A11" t="s">
        <v>22</v>
      </c>
      <c r="B11" s="11" t="s">
        <v>21</v>
      </c>
      <c r="C11" s="12">
        <v>2.9</v>
      </c>
      <c r="D11" s="12">
        <v>0.7</v>
      </c>
      <c r="E11" s="12">
        <v>0.75</v>
      </c>
      <c r="F11" s="12" t="s">
        <v>19</v>
      </c>
    </row>
    <row r="12" spans="1:6" ht="35" thickBot="1" x14ac:dyDescent="0.25">
      <c r="A12" t="s">
        <v>24</v>
      </c>
      <c r="B12" s="11" t="s">
        <v>23</v>
      </c>
      <c r="C12" s="12">
        <v>2.6</v>
      </c>
      <c r="D12" s="12">
        <v>0.65</v>
      </c>
      <c r="E12" s="12">
        <v>0.7</v>
      </c>
      <c r="F12" s="12" t="s">
        <v>19</v>
      </c>
    </row>
    <row r="13" spans="1:6" ht="18" thickBot="1" x14ac:dyDescent="0.25">
      <c r="A13" t="s">
        <v>26</v>
      </c>
      <c r="B13" s="13" t="s">
        <v>25</v>
      </c>
      <c r="C13" s="14">
        <v>4.5</v>
      </c>
      <c r="D13" s="14">
        <v>0.9</v>
      </c>
      <c r="E13" s="14">
        <v>0.95</v>
      </c>
      <c r="F13" s="14" t="s">
        <v>19</v>
      </c>
    </row>
    <row r="14" spans="1:6" ht="18" thickBot="1" x14ac:dyDescent="0.25">
      <c r="A14" t="s">
        <v>28</v>
      </c>
      <c r="B14" s="13" t="s">
        <v>27</v>
      </c>
      <c r="C14" s="14">
        <v>3.5</v>
      </c>
      <c r="D14" s="14">
        <v>0.9</v>
      </c>
      <c r="E14" s="14">
        <v>0.85</v>
      </c>
      <c r="F14" s="14" t="s">
        <v>19</v>
      </c>
    </row>
    <row r="15" spans="1:6" ht="18" thickBot="1" x14ac:dyDescent="0.25">
      <c r="A15" t="s">
        <v>141</v>
      </c>
      <c r="B15" s="13" t="s">
        <v>142</v>
      </c>
      <c r="C15" s="14">
        <v>5</v>
      </c>
      <c r="D15" s="14">
        <v>1</v>
      </c>
      <c r="E15" s="14">
        <v>1</v>
      </c>
      <c r="F15" s="14">
        <v>1</v>
      </c>
    </row>
    <row r="16" spans="1:6" ht="52" thickBot="1" x14ac:dyDescent="0.25">
      <c r="A16" t="s">
        <v>30</v>
      </c>
      <c r="B16" s="15" t="s">
        <v>29</v>
      </c>
      <c r="C16" s="16">
        <v>3</v>
      </c>
      <c r="D16" s="16">
        <v>0.75</v>
      </c>
      <c r="E16" s="16">
        <v>0.8</v>
      </c>
      <c r="F16" s="16" t="s">
        <v>19</v>
      </c>
    </row>
    <row r="17" spans="1:6" ht="52" thickBot="1" x14ac:dyDescent="0.25">
      <c r="A17" t="s">
        <v>32</v>
      </c>
      <c r="B17" s="15" t="s">
        <v>31</v>
      </c>
      <c r="C17" s="16">
        <v>2.5</v>
      </c>
      <c r="D17" s="16">
        <v>0.65</v>
      </c>
      <c r="E17" s="16">
        <v>0.7</v>
      </c>
      <c r="F17" s="16"/>
    </row>
    <row r="18" spans="1:6" ht="18" thickBot="1" x14ac:dyDescent="0.25">
      <c r="A18" t="s">
        <v>34</v>
      </c>
      <c r="B18" s="15" t="s">
        <v>33</v>
      </c>
      <c r="C18" s="16">
        <v>2</v>
      </c>
      <c r="D18" s="16">
        <v>0.6</v>
      </c>
      <c r="E18" s="16">
        <v>0.65</v>
      </c>
      <c r="F18" s="16"/>
    </row>
    <row r="19" spans="1:6" ht="52" thickBot="1" x14ac:dyDescent="0.25">
      <c r="A19" t="s">
        <v>36</v>
      </c>
      <c r="B19" s="15" t="s">
        <v>35</v>
      </c>
      <c r="C19" s="16">
        <v>2.2999999999999998</v>
      </c>
      <c r="D19" s="16">
        <v>0.6</v>
      </c>
      <c r="E19" s="16">
        <v>0.65</v>
      </c>
      <c r="F19" s="16" t="s">
        <v>19</v>
      </c>
    </row>
    <row r="20" spans="1:6" ht="35" thickBot="1" x14ac:dyDescent="0.25">
      <c r="A20" t="s">
        <v>38</v>
      </c>
      <c r="B20" s="15" t="s">
        <v>37</v>
      </c>
      <c r="C20" s="16">
        <v>1.9</v>
      </c>
      <c r="D20" s="16">
        <v>0.55000000000000004</v>
      </c>
      <c r="E20" s="16">
        <v>0.6</v>
      </c>
      <c r="F20" s="16" t="s">
        <v>19</v>
      </c>
    </row>
    <row r="21" spans="1:6" ht="35" thickBot="1" x14ac:dyDescent="0.25">
      <c r="A21" t="s">
        <v>40</v>
      </c>
      <c r="B21" s="15" t="s">
        <v>39</v>
      </c>
      <c r="C21" s="16">
        <v>1.6</v>
      </c>
      <c r="D21" s="16">
        <v>0.5</v>
      </c>
      <c r="E21" s="16">
        <v>0.55000000000000004</v>
      </c>
      <c r="F21" s="16" t="s">
        <v>19</v>
      </c>
    </row>
    <row r="22" spans="1:6" ht="35" thickBot="1" x14ac:dyDescent="0.25">
      <c r="A22" t="s">
        <v>42</v>
      </c>
      <c r="B22" s="17" t="s">
        <v>41</v>
      </c>
      <c r="C22" s="18">
        <v>5</v>
      </c>
      <c r="D22" s="18"/>
      <c r="E22" s="18"/>
      <c r="F22" s="18"/>
    </row>
    <row r="23" spans="1:6" ht="35" thickBot="1" x14ac:dyDescent="0.25">
      <c r="A23" t="s">
        <v>44</v>
      </c>
      <c r="B23" s="17" t="s">
        <v>43</v>
      </c>
      <c r="C23" s="18">
        <v>5</v>
      </c>
      <c r="D23" s="18"/>
      <c r="E23" s="18"/>
      <c r="F23" s="18"/>
    </row>
    <row r="24" spans="1:6" ht="35" thickBot="1" x14ac:dyDescent="0.25">
      <c r="A24" t="s">
        <v>46</v>
      </c>
      <c r="B24" s="17" t="s">
        <v>45</v>
      </c>
      <c r="C24" s="18">
        <v>5</v>
      </c>
      <c r="D24" s="18"/>
      <c r="E24" s="18"/>
      <c r="F24" s="18"/>
    </row>
    <row r="25" spans="1:6" ht="35" thickBot="1" x14ac:dyDescent="0.25">
      <c r="A25" t="s">
        <v>48</v>
      </c>
      <c r="B25" s="17" t="s">
        <v>47</v>
      </c>
      <c r="C25" s="18">
        <v>5</v>
      </c>
      <c r="D25" s="18"/>
      <c r="E25" s="18"/>
      <c r="F25" s="18"/>
    </row>
    <row r="26" spans="1:6" ht="35" thickBot="1" x14ac:dyDescent="0.25">
      <c r="A26" t="s">
        <v>50</v>
      </c>
      <c r="B26" s="17" t="s">
        <v>49</v>
      </c>
      <c r="C26" s="18">
        <v>5</v>
      </c>
      <c r="D26" s="18"/>
      <c r="E26" s="18"/>
      <c r="F26" s="18"/>
    </row>
    <row r="27" spans="1:6" ht="35" thickBot="1" x14ac:dyDescent="0.25">
      <c r="A27" t="s">
        <v>52</v>
      </c>
      <c r="B27" s="17" t="s">
        <v>51</v>
      </c>
      <c r="C27" s="18">
        <v>5</v>
      </c>
      <c r="D27" s="18"/>
      <c r="E27" s="18"/>
      <c r="F27" s="18"/>
    </row>
    <row r="28" spans="1:6" ht="35" thickBot="1" x14ac:dyDescent="0.25">
      <c r="A28" t="s">
        <v>54</v>
      </c>
      <c r="B28" s="17" t="s">
        <v>53</v>
      </c>
      <c r="C28" s="18">
        <v>5</v>
      </c>
      <c r="D28" s="18"/>
      <c r="E28" s="18"/>
      <c r="F28" s="18"/>
    </row>
    <row r="29" spans="1:6" ht="35" thickBot="1" x14ac:dyDescent="0.25">
      <c r="A29" t="s">
        <v>56</v>
      </c>
      <c r="B29" s="19" t="s">
        <v>55</v>
      </c>
      <c r="C29" s="20">
        <v>1.2</v>
      </c>
      <c r="D29" s="20">
        <v>0.45</v>
      </c>
      <c r="E29" s="20">
        <v>0.5</v>
      </c>
      <c r="F29" s="20">
        <v>0.35</v>
      </c>
    </row>
    <row r="30" spans="1:6" ht="35" thickBot="1" x14ac:dyDescent="0.25">
      <c r="A30" t="s">
        <v>58</v>
      </c>
      <c r="B30" s="19" t="s">
        <v>57</v>
      </c>
      <c r="C30" s="20">
        <v>0.9</v>
      </c>
      <c r="D30" s="20">
        <v>0.4</v>
      </c>
      <c r="E30" s="20">
        <v>0.45</v>
      </c>
      <c r="F30" s="20">
        <v>0.3</v>
      </c>
    </row>
    <row r="31" spans="1:6" ht="35" thickBot="1" x14ac:dyDescent="0.25">
      <c r="A31" t="s">
        <v>60</v>
      </c>
      <c r="B31" s="19" t="s">
        <v>59</v>
      </c>
      <c r="C31" s="20">
        <v>0.5</v>
      </c>
      <c r="D31" s="20">
        <v>0.35</v>
      </c>
      <c r="E31" s="20">
        <v>0.4</v>
      </c>
      <c r="F31" s="20">
        <v>0.25</v>
      </c>
    </row>
    <row r="32" spans="1:6" ht="52" thickBot="1" x14ac:dyDescent="0.25">
      <c r="A32" t="s">
        <v>62</v>
      </c>
      <c r="B32" s="9" t="s">
        <v>61</v>
      </c>
      <c r="C32" s="10">
        <v>1.2</v>
      </c>
      <c r="D32" s="10">
        <v>0.45</v>
      </c>
      <c r="E32" s="10">
        <v>0.5</v>
      </c>
      <c r="F32" s="10">
        <v>0.35</v>
      </c>
    </row>
    <row r="33" spans="1:6" ht="52" thickBot="1" x14ac:dyDescent="0.25">
      <c r="A33" t="s">
        <v>64</v>
      </c>
      <c r="B33" s="9" t="s">
        <v>63</v>
      </c>
      <c r="C33" s="10">
        <v>0.9</v>
      </c>
      <c r="D33" s="10">
        <v>0.4</v>
      </c>
      <c r="E33" s="10">
        <v>0.45</v>
      </c>
      <c r="F33" s="10">
        <v>0.3</v>
      </c>
    </row>
    <row r="34" spans="1:6" ht="52" thickBot="1" x14ac:dyDescent="0.25">
      <c r="A34" t="s">
        <v>66</v>
      </c>
      <c r="B34" s="9" t="s">
        <v>65</v>
      </c>
      <c r="C34" s="10">
        <v>0.5</v>
      </c>
      <c r="D34" s="10">
        <v>0.35</v>
      </c>
      <c r="E34" s="10">
        <v>0.4</v>
      </c>
      <c r="F34" s="10">
        <v>0.25</v>
      </c>
    </row>
    <row r="35" spans="1:6" ht="35" thickBot="1" x14ac:dyDescent="0.25">
      <c r="A35" t="s">
        <v>68</v>
      </c>
      <c r="B35" s="21" t="s">
        <v>67</v>
      </c>
      <c r="C35" s="22">
        <v>4.5</v>
      </c>
      <c r="D35" s="22">
        <v>0.85</v>
      </c>
      <c r="E35" s="22">
        <v>0.9</v>
      </c>
      <c r="F35" s="22" t="s">
        <v>19</v>
      </c>
    </row>
    <row r="36" spans="1:6" ht="18" thickBot="1" x14ac:dyDescent="0.25">
      <c r="A36" t="s">
        <v>70</v>
      </c>
      <c r="B36" s="21" t="s">
        <v>69</v>
      </c>
      <c r="C36" s="22">
        <v>3.5</v>
      </c>
      <c r="D36" s="22">
        <v>0.75</v>
      </c>
      <c r="E36" s="22">
        <v>0.8</v>
      </c>
      <c r="F36" s="22" t="s">
        <v>19</v>
      </c>
    </row>
    <row r="37" spans="1:6" ht="18" thickBot="1" x14ac:dyDescent="0.25">
      <c r="A37" t="s">
        <v>72</v>
      </c>
      <c r="B37" s="21" t="s">
        <v>71</v>
      </c>
      <c r="C37" s="22">
        <v>2.7</v>
      </c>
      <c r="D37" s="22">
        <v>0.65</v>
      </c>
      <c r="E37" s="22">
        <v>0.7</v>
      </c>
      <c r="F37" s="22" t="s">
        <v>19</v>
      </c>
    </row>
    <row r="38" spans="1:6" ht="18" thickBot="1" x14ac:dyDescent="0.25">
      <c r="A38" t="s">
        <v>74</v>
      </c>
      <c r="B38" s="21" t="s">
        <v>73</v>
      </c>
      <c r="C38" s="22">
        <v>2.2000000000000002</v>
      </c>
      <c r="D38" s="22">
        <v>0.6</v>
      </c>
      <c r="E38" s="22">
        <v>0.65</v>
      </c>
      <c r="F38" s="22" t="s">
        <v>19</v>
      </c>
    </row>
    <row r="39" spans="1:6" ht="35" thickBot="1" x14ac:dyDescent="0.25">
      <c r="A39" t="s">
        <v>76</v>
      </c>
      <c r="B39" s="24" t="s">
        <v>75</v>
      </c>
      <c r="C39" s="25">
        <v>3</v>
      </c>
      <c r="D39" s="25">
        <v>0.75</v>
      </c>
      <c r="E39" s="25">
        <v>0.8</v>
      </c>
      <c r="F39" s="25" t="s">
        <v>19</v>
      </c>
    </row>
    <row r="40" spans="1:6" ht="18" thickBot="1" x14ac:dyDescent="0.25">
      <c r="A40" t="s">
        <v>78</v>
      </c>
      <c r="B40" s="24" t="s">
        <v>77</v>
      </c>
      <c r="C40" s="25">
        <v>2</v>
      </c>
      <c r="D40" s="25">
        <v>0.6</v>
      </c>
      <c r="E40" s="25">
        <v>0.65</v>
      </c>
      <c r="F40" s="25">
        <v>0.42</v>
      </c>
    </row>
    <row r="41" spans="1:6" ht="18" thickBot="1" x14ac:dyDescent="0.25">
      <c r="A41" t="s">
        <v>103</v>
      </c>
      <c r="B41" s="24" t="s">
        <v>104</v>
      </c>
      <c r="C41" s="25">
        <v>0</v>
      </c>
      <c r="D41" s="25">
        <v>0</v>
      </c>
      <c r="E41" s="25">
        <v>0</v>
      </c>
      <c r="F41" s="25">
        <v>0</v>
      </c>
    </row>
    <row r="42" spans="1:6" ht="18" thickBot="1" x14ac:dyDescent="0.25">
      <c r="A42" t="s">
        <v>79</v>
      </c>
      <c r="B42" s="26" t="s">
        <v>100</v>
      </c>
      <c r="C42" s="27">
        <v>0</v>
      </c>
      <c r="D42" s="27">
        <v>0</v>
      </c>
      <c r="E42" s="27">
        <v>0</v>
      </c>
      <c r="F42" s="27">
        <v>0</v>
      </c>
    </row>
    <row r="43" spans="1:6" ht="18" thickBot="1" x14ac:dyDescent="0.25">
      <c r="A43" t="s">
        <v>96</v>
      </c>
      <c r="B43" s="26" t="s">
        <v>101</v>
      </c>
      <c r="C43" s="27">
        <v>0</v>
      </c>
      <c r="D43" s="27">
        <v>0</v>
      </c>
      <c r="E43" s="27">
        <v>0</v>
      </c>
      <c r="F43" s="27">
        <v>0</v>
      </c>
    </row>
    <row r="44" spans="1:6" ht="18" thickBot="1" x14ac:dyDescent="0.25">
      <c r="A44" t="s">
        <v>97</v>
      </c>
      <c r="B44" s="26" t="s">
        <v>99</v>
      </c>
      <c r="C44" s="27">
        <v>0.5</v>
      </c>
      <c r="D44" s="27">
        <v>0.35</v>
      </c>
      <c r="E44" s="27">
        <v>0.4</v>
      </c>
      <c r="F44" s="27">
        <v>0.25</v>
      </c>
    </row>
    <row r="45" spans="1:6" ht="52" thickBot="1" x14ac:dyDescent="0.25">
      <c r="A45" t="s">
        <v>115</v>
      </c>
      <c r="B45" s="58" t="s">
        <v>143</v>
      </c>
      <c r="C45" s="59">
        <v>4.9000000000000004</v>
      </c>
      <c r="D45" s="59"/>
      <c r="E45" s="59"/>
      <c r="F45" s="59"/>
    </row>
    <row r="46" spans="1:6" ht="52" thickBot="1" x14ac:dyDescent="0.25">
      <c r="A46" t="s">
        <v>116</v>
      </c>
      <c r="B46" s="58" t="s">
        <v>144</v>
      </c>
      <c r="C46" s="59">
        <v>4.5999999999999996</v>
      </c>
      <c r="D46" s="59"/>
      <c r="E46" s="59"/>
      <c r="F46" s="59"/>
    </row>
    <row r="47" spans="1:6" ht="35" thickBot="1" x14ac:dyDescent="0.25">
      <c r="A47" t="s">
        <v>117</v>
      </c>
      <c r="B47" s="58" t="s">
        <v>145</v>
      </c>
      <c r="C47" s="59">
        <v>4.3</v>
      </c>
      <c r="D47" s="59"/>
      <c r="E47" s="59"/>
      <c r="F47" s="59"/>
    </row>
    <row r="48" spans="1:6" ht="35" thickBot="1" x14ac:dyDescent="0.25">
      <c r="A48" t="s">
        <v>118</v>
      </c>
      <c r="B48" s="58" t="s">
        <v>146</v>
      </c>
      <c r="C48" s="59">
        <v>3.5</v>
      </c>
      <c r="D48" s="59"/>
      <c r="E48" s="59"/>
      <c r="F48" s="59"/>
    </row>
    <row r="49" spans="1:6" ht="35" thickBot="1" x14ac:dyDescent="0.25">
      <c r="A49" t="s">
        <v>119</v>
      </c>
      <c r="B49" s="58" t="s">
        <v>147</v>
      </c>
      <c r="C49" s="59">
        <v>2.5</v>
      </c>
      <c r="D49" s="59"/>
      <c r="E49" s="59"/>
      <c r="F49" s="59"/>
    </row>
    <row r="50" spans="1:6" ht="35" thickBot="1" x14ac:dyDescent="0.25">
      <c r="A50" t="s">
        <v>105</v>
      </c>
      <c r="B50" s="60" t="s">
        <v>148</v>
      </c>
      <c r="C50" s="61">
        <v>4.9000000000000004</v>
      </c>
      <c r="D50" s="61"/>
      <c r="E50" s="61"/>
      <c r="F50" s="61"/>
    </row>
    <row r="51" spans="1:6" ht="35" thickBot="1" x14ac:dyDescent="0.25">
      <c r="A51" t="s">
        <v>106</v>
      </c>
      <c r="B51" s="60" t="s">
        <v>149</v>
      </c>
      <c r="C51" s="61">
        <v>4.5999999999999996</v>
      </c>
      <c r="D51" s="61"/>
      <c r="E51" s="61"/>
      <c r="F51" s="61"/>
    </row>
    <row r="52" spans="1:6" ht="35" thickBot="1" x14ac:dyDescent="0.25">
      <c r="A52" t="s">
        <v>107</v>
      </c>
      <c r="B52" s="60" t="s">
        <v>150</v>
      </c>
      <c r="C52" s="61">
        <v>4.3</v>
      </c>
      <c r="D52" s="61"/>
      <c r="E52" s="61"/>
      <c r="F52" s="61"/>
    </row>
    <row r="53" spans="1:6" ht="35" thickBot="1" x14ac:dyDescent="0.25">
      <c r="A53" t="s">
        <v>108</v>
      </c>
      <c r="B53" s="60" t="s">
        <v>151</v>
      </c>
      <c r="C53" s="61">
        <v>3.5</v>
      </c>
      <c r="D53" s="61"/>
      <c r="E53" s="61"/>
      <c r="F53" s="61"/>
    </row>
    <row r="54" spans="1:6" ht="35" thickBot="1" x14ac:dyDescent="0.25">
      <c r="A54" t="s">
        <v>109</v>
      </c>
      <c r="B54" s="60" t="s">
        <v>152</v>
      </c>
      <c r="C54" s="61">
        <v>2.5</v>
      </c>
      <c r="D54" s="61"/>
      <c r="E54" s="61"/>
      <c r="F54" s="61"/>
    </row>
    <row r="55" spans="1:6" ht="52" thickBot="1" x14ac:dyDescent="0.25">
      <c r="A55" t="s">
        <v>112</v>
      </c>
      <c r="B55" s="62" t="s">
        <v>153</v>
      </c>
      <c r="C55" s="63">
        <v>0</v>
      </c>
      <c r="D55" s="63"/>
      <c r="E55" s="63"/>
      <c r="F55" s="63"/>
    </row>
    <row r="56" spans="1:6" ht="52" thickBot="1" x14ac:dyDescent="0.25">
      <c r="A56" t="s">
        <v>113</v>
      </c>
      <c r="B56" s="62" t="s">
        <v>154</v>
      </c>
      <c r="C56" s="63">
        <v>0</v>
      </c>
      <c r="D56" s="63"/>
      <c r="E56" s="63"/>
      <c r="F56" s="63"/>
    </row>
    <row r="57" spans="1:6" ht="52" thickBot="1" x14ac:dyDescent="0.25">
      <c r="A57" t="s">
        <v>111</v>
      </c>
      <c r="B57" s="62" t="s">
        <v>155</v>
      </c>
      <c r="C57" s="63">
        <v>0</v>
      </c>
      <c r="D57" s="63"/>
      <c r="E57" s="63"/>
      <c r="F57" s="63"/>
    </row>
    <row r="58" spans="1:6" ht="52" thickBot="1" x14ac:dyDescent="0.25">
      <c r="A58" t="s">
        <v>110</v>
      </c>
      <c r="B58" s="62" t="s">
        <v>156</v>
      </c>
      <c r="C58" s="63">
        <v>0</v>
      </c>
      <c r="D58" s="63"/>
      <c r="E58" s="63"/>
      <c r="F58" s="63"/>
    </row>
    <row r="59" spans="1:6" ht="52" thickBot="1" x14ac:dyDescent="0.25">
      <c r="A59" t="s">
        <v>114</v>
      </c>
      <c r="B59" s="62" t="s">
        <v>157</v>
      </c>
      <c r="C59" s="63">
        <v>0</v>
      </c>
      <c r="D59" s="63"/>
      <c r="E59" s="63"/>
      <c r="F59" s="63"/>
    </row>
    <row r="60" spans="1:6" ht="18" thickBot="1" x14ac:dyDescent="0.25">
      <c r="A60" t="s">
        <v>89</v>
      </c>
      <c r="B60" s="26" t="s">
        <v>98</v>
      </c>
      <c r="C60" s="27">
        <v>0</v>
      </c>
      <c r="D60" s="27">
        <v>0</v>
      </c>
      <c r="E60" s="27">
        <v>0</v>
      </c>
      <c r="F60" s="27">
        <v>0</v>
      </c>
    </row>
    <row r="63" spans="1:6" x14ac:dyDescent="0.2">
      <c r="A63" t="s">
        <v>93</v>
      </c>
      <c r="B63" s="23">
        <v>1.25</v>
      </c>
      <c r="C63">
        <v>345</v>
      </c>
    </row>
    <row r="64" spans="1:6" x14ac:dyDescent="0.2">
      <c r="A64" t="s">
        <v>94</v>
      </c>
      <c r="B64" s="23">
        <v>1</v>
      </c>
      <c r="C64">
        <v>299</v>
      </c>
    </row>
    <row r="65" spans="1:3" x14ac:dyDescent="0.2">
      <c r="A65" t="s">
        <v>91</v>
      </c>
      <c r="B65" s="23">
        <v>1</v>
      </c>
      <c r="C65">
        <v>264</v>
      </c>
    </row>
    <row r="66" spans="1:3" x14ac:dyDescent="0.2">
      <c r="A66" t="s">
        <v>84</v>
      </c>
      <c r="B66" s="23">
        <v>0.83</v>
      </c>
      <c r="C66">
        <v>220</v>
      </c>
    </row>
    <row r="67" spans="1:3" x14ac:dyDescent="0.2">
      <c r="A67" t="s">
        <v>87</v>
      </c>
      <c r="B67" s="23">
        <v>0.67</v>
      </c>
      <c r="C67">
        <v>165</v>
      </c>
    </row>
    <row r="68" spans="1:3" x14ac:dyDescent="0.2">
      <c r="A68" t="s">
        <v>92</v>
      </c>
      <c r="B68" s="23">
        <v>0.5</v>
      </c>
      <c r="C68">
        <v>110</v>
      </c>
    </row>
    <row r="75" spans="1:3" ht="105.5" customHeight="1" x14ac:dyDescent="0.2">
      <c r="B75" s="65" t="s">
        <v>121</v>
      </c>
    </row>
    <row r="76" spans="1:3" x14ac:dyDescent="0.2">
      <c r="B76" t="s">
        <v>122</v>
      </c>
    </row>
    <row r="77" spans="1:3" x14ac:dyDescent="0.2">
      <c r="B77" t="s">
        <v>123</v>
      </c>
    </row>
    <row r="78" spans="1:3" x14ac:dyDescent="0.2">
      <c r="B78" t="s">
        <v>124</v>
      </c>
    </row>
    <row r="81" spans="2:2" ht="144" x14ac:dyDescent="0.2">
      <c r="B81" s="64" t="s">
        <v>125</v>
      </c>
    </row>
    <row r="82" spans="2:2" x14ac:dyDescent="0.2">
      <c r="B82" t="s">
        <v>126</v>
      </c>
    </row>
    <row r="83" spans="2:2" x14ac:dyDescent="0.2">
      <c r="B83" t="s">
        <v>127</v>
      </c>
    </row>
    <row r="110" spans="2:2" x14ac:dyDescent="0.2">
      <c r="B110" s="71"/>
    </row>
    <row r="111" spans="2:2" x14ac:dyDescent="0.2">
      <c r="B111" s="71"/>
    </row>
    <row r="112" spans="2:2" x14ac:dyDescent="0.2">
      <c r="B112" s="71"/>
    </row>
    <row r="113" spans="2:2" x14ac:dyDescent="0.2">
      <c r="B113" s="71"/>
    </row>
    <row r="114" spans="2:2" x14ac:dyDescent="0.2">
      <c r="B114" s="71"/>
    </row>
    <row r="115" spans="2:2" x14ac:dyDescent="0.2">
      <c r="B115" s="71"/>
    </row>
    <row r="116" spans="2:2" x14ac:dyDescent="0.2">
      <c r="B116" s="71"/>
    </row>
    <row r="117" spans="2:2" x14ac:dyDescent="0.2">
      <c r="B117" s="71"/>
    </row>
    <row r="118" spans="2:2" x14ac:dyDescent="0.2">
      <c r="B118" s="71"/>
    </row>
    <row r="119" spans="2:2" x14ac:dyDescent="0.2">
      <c r="B119" s="71"/>
    </row>
    <row r="120" spans="2:2" x14ac:dyDescent="0.2">
      <c r="B120" s="71"/>
    </row>
    <row r="121" spans="2:2" x14ac:dyDescent="0.2">
      <c r="B121" s="71"/>
    </row>
    <row r="122" spans="2:2" x14ac:dyDescent="0.2">
      <c r="B122" s="71"/>
    </row>
    <row r="123" spans="2:2" x14ac:dyDescent="0.2">
      <c r="B123" s="71"/>
    </row>
    <row r="124" spans="2:2" x14ac:dyDescent="0.2">
      <c r="B124" s="71"/>
    </row>
    <row r="125" spans="2:2" x14ac:dyDescent="0.2">
      <c r="B125" s="71"/>
    </row>
    <row r="126" spans="2:2" x14ac:dyDescent="0.2">
      <c r="B126" s="71"/>
    </row>
    <row r="127" spans="2:2" x14ac:dyDescent="0.2">
      <c r="B127" s="71"/>
    </row>
    <row r="128" spans="2:2" x14ac:dyDescent="0.2">
      <c r="B128" s="71"/>
    </row>
    <row r="129" spans="2:2" x14ac:dyDescent="0.2">
      <c r="B129" s="71"/>
    </row>
    <row r="130" spans="2:2" x14ac:dyDescent="0.2">
      <c r="B130" s="71"/>
    </row>
    <row r="131" spans="2:2" x14ac:dyDescent="0.2">
      <c r="B131" s="71"/>
    </row>
  </sheetData>
  <mergeCells count="1">
    <mergeCell ref="D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FF00"/>
  </sheetPr>
  <dimension ref="A1:BF31"/>
  <sheetViews>
    <sheetView topLeftCell="AO3" workbookViewId="0">
      <selection activeCell="BA12" sqref="BA12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283</v>
      </c>
      <c r="C1" s="48" t="str">
        <f>VLOOKUP(B1,ИД!D2:R140,2,FALSE)</f>
        <v>Подъезд к базе ЧП "Сабир Арат"</v>
      </c>
      <c r="D1" s="50"/>
      <c r="E1" s="49"/>
      <c r="O1" s="28" t="str">
        <f>TRIM(RIGHT(SUBSTITUTE(E3,",",REPT(" ",5)),5))</f>
        <v>IV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частной</v>
      </c>
      <c r="C2" s="232" t="s">
        <v>82</v>
      </c>
      <c r="D2" s="232"/>
      <c r="E2" s="39" t="s">
        <v>161</v>
      </c>
      <c r="F2" s="37"/>
      <c r="G2" s="235" t="s">
        <v>85</v>
      </c>
      <c r="H2" s="235"/>
      <c r="I2" s="235"/>
      <c r="J2" s="235"/>
      <c r="K2" s="236">
        <f>ROUND(SUM(Таблица438323234612131415181920212224252829[Б*l])/(SUM(Таблица438323234612131415181920212224252829[Прот])-$E$4),1)</f>
        <v>4.9000000000000004</v>
      </c>
      <c r="L2" s="236"/>
      <c r="N2" s="38">
        <f>VLOOKUP(B1,ИД!D2:R140,12,FALSE)</f>
        <v>4</v>
      </c>
      <c r="O2" s="28" t="str">
        <f>LOWER(LEFT(C1,1))&amp;RIGHT(C1,LEN(C1)-1)</f>
        <v>подъезд к базе ЧП "Сабир Арат"</v>
      </c>
      <c r="AM2" s="231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4,9, средневзвешенного коэффициента прочности – 0,99. 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N2" s="231"/>
      <c r="AO2" s="231"/>
    </row>
    <row r="3" spans="1:58" ht="46.25" customHeight="1" x14ac:dyDescent="0.3">
      <c r="B3" s="100" t="s">
        <v>136</v>
      </c>
      <c r="C3" s="241" t="s">
        <v>83</v>
      </c>
      <c r="D3" s="241"/>
      <c r="E3" s="151" t="str">
        <f>VLOOKUP(B1,ИД!D2:R140,3,FALSE)</f>
        <v>IV</v>
      </c>
      <c r="G3" s="233" t="s">
        <v>90</v>
      </c>
      <c r="H3" s="233"/>
      <c r="I3" s="233"/>
      <c r="J3" s="233"/>
      <c r="K3" s="238">
        <f>SUM(Таблица438323234612131415181920212224252829[Прот])</f>
        <v>0.6</v>
      </c>
      <c r="L3" s="238"/>
      <c r="N3" s="38">
        <f>VLOOKUP(O1,Лист1!A63:C68,2,FALSE)</f>
        <v>0.67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M3" s="231"/>
      <c r="AN3" s="231"/>
      <c r="AO3" s="231"/>
      <c r="AU3" s="72" t="s">
        <v>135</v>
      </c>
    </row>
    <row r="4" spans="1:58" ht="26" x14ac:dyDescent="0.3">
      <c r="B4" s="100">
        <f>VLOOKUP(B1,ИД!D2:R140,9,FALSE)</f>
        <v>0.6</v>
      </c>
      <c r="C4" s="230" t="s">
        <v>86</v>
      </c>
      <c r="D4" s="230"/>
      <c r="E4" s="39">
        <v>0</v>
      </c>
      <c r="G4" s="233" t="s">
        <v>120</v>
      </c>
      <c r="H4" s="233"/>
      <c r="I4" s="233"/>
      <c r="J4" s="233"/>
      <c r="K4" s="234">
        <f>ROUND(0.5+K2/10,2)</f>
        <v>0.99</v>
      </c>
      <c r="L4" s="234"/>
      <c r="N4" s="38">
        <f>VLOOKUP(O1,Лист1!A63:C68,3,FALSE)</f>
        <v>165</v>
      </c>
      <c r="AM4" s="231"/>
      <c r="AN4" s="231"/>
      <c r="AO4" s="231"/>
    </row>
    <row r="5" spans="1:58" ht="27" thickBot="1" x14ac:dyDescent="0.35">
      <c r="B5" s="100" t="str">
        <f>VLOOKUP(B1,ИД!D2:R140,4,FALSE)</f>
        <v>асф. бет.</v>
      </c>
      <c r="C5" s="230" t="s">
        <v>95</v>
      </c>
      <c r="D5" s="230"/>
      <c r="E5" s="39">
        <v>0</v>
      </c>
      <c r="G5" s="239" t="s">
        <v>88</v>
      </c>
      <c r="H5" s="239"/>
      <c r="I5" s="239"/>
      <c r="J5" s="239"/>
      <c r="K5" s="240">
        <f>VLOOKUP(B1,ИД!D2:R140,10,FALSE)</f>
        <v>0</v>
      </c>
      <c r="L5" s="240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100 представляет собой участок частной автомобильной дороги «Подъезд к базе ЧП "Сабир Арат"», который начинается от местной атомобильной дороги "Подъезд к ст. Эликкалла" и следует до базы ЧП "Сабир Арат".</v>
      </c>
      <c r="AM5" s="66"/>
      <c r="AN5" s="66"/>
      <c r="AO5" s="66"/>
    </row>
    <row r="6" spans="1:58" ht="26" x14ac:dyDescent="0.3">
      <c r="B6" s="100">
        <f>VLOOKUP(B1,ИД!D2:R140,8,FALSE)</f>
        <v>5.5</v>
      </c>
      <c r="C6" s="69" t="s">
        <v>128</v>
      </c>
      <c r="D6" s="222" t="str">
        <f>VLOOKUP(B1,ИД!D2:R140,14,FALSE)</f>
        <v>местной атомобильной дороги "Подъезд к ст. Эликкалла"</v>
      </c>
      <c r="E6" s="223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100 представляет собой участок  Подъезд к базе ЧП "Сабир Арат", который начинается от местной атомобильной дороги "Подъезд к ст. Эликкалла" и следует до базы ЧП "Сабир Арат".</v>
      </c>
      <c r="AM6" s="224" t="str">
        <f>VLOOKUP(B3,N5:O7,2,FALSE)</f>
        <v>Маршрут № У 100 представляет собой участок частной автомобильной дороги «Подъезд к базе ЧП "Сабир Арат"», который начинается от местной атомобильной дороги "Подъезд к ст. Эликкалла" и следует до базы ЧП "Сабир Арат".</v>
      </c>
      <c r="AN6" s="225"/>
      <c r="AO6" s="226"/>
    </row>
    <row r="7" spans="1:58" ht="42" customHeight="1" thickBot="1" x14ac:dyDescent="0.35">
      <c r="B7" s="100" t="str">
        <f>VLOOKUP(B1,ИД!D2:R140,11,FALSE)</f>
        <v>частная</v>
      </c>
      <c r="C7" s="69" t="s">
        <v>129</v>
      </c>
      <c r="D7" s="230" t="str">
        <f>VLOOKUP(B1,ИД!D2:R140,15,FALSE)</f>
        <v>базы ЧП "Сабир Арат"</v>
      </c>
      <c r="E7" s="230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100 представляет собой подъезд к базе ЧП "Сабир Арат" от местной атомобильной дороги "Подъезд к ст. Эликкалла".</v>
      </c>
      <c r="AM7" s="227"/>
      <c r="AN7" s="228"/>
      <c r="AO7" s="229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0.6</v>
      </c>
      <c r="C12" s="36">
        <f>B12-A12</f>
        <v>0.6</v>
      </c>
      <c r="D12" s="56">
        <v>5.5</v>
      </c>
      <c r="E12" s="57" t="s">
        <v>171</v>
      </c>
      <c r="F12" s="57" t="s">
        <v>284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IFERROR(VLOOKUP(Таблица438323234612131415181920212224252829[[#This Row],[Деф 1]],Лист1!$A$4:$F$60,2,FALSE),"")</f>
        <v xml:space="preserve">поперечные одиночные трещины на расстоянии 20-40 м между трещинами; </v>
      </c>
      <c r="O12" s="30" t="str">
        <f>IFERROR(VLOOKUP(Таблица438323234612131415181920212224252829[[#This Row],[Деф 2]],Лист1!$A$4:$F$60,2,FALSE),"")</f>
        <v/>
      </c>
      <c r="P12" s="30" t="str">
        <f>IFERROR(VLOOKUP(Таблица438323234612131415181920212224252829[[#This Row],[Столбец4]],Лист1!$A$4:$F$60,2,FALSE),"")</f>
        <v/>
      </c>
      <c r="Q12" s="30" t="str">
        <f>IFERROR(VLOOKUP(Таблица438323234612131415181920212224252829[[#This Row],[Столбец5]],Лист1!$A$4:$F$60,2,FALSE),"")</f>
        <v/>
      </c>
      <c r="R12" s="30" t="str">
        <f>IFERROR(VLOOKUP(Таблица438323234612131415181920212224252829[[#This Row],[Столбец6]],Лист1!$A$4:$F$60,2,FALSE),"")</f>
        <v/>
      </c>
      <c r="S12" s="30" t="str">
        <f>IFERROR(VLOOKUP(Таблица438323234612131415181920212224252829[[#This Row],[Столбец7]],Лист1!$A$4:$F$60,2,FALSE),"")</f>
        <v/>
      </c>
      <c r="T12" s="30" t="str">
        <f>IFERROR(VLOOKUP(Таблица438323234612131415181920212224252829[[#This Row],[Столбец8]],Лист1!$A$4:$F$60,2,FALSE),"")</f>
        <v/>
      </c>
      <c r="U12" s="75" t="str">
        <f>IFERROR(VLOOKUP(Таблица438323234612131415181920212224252829[[#This Row],[Столбец9]],Лист1!$A$4:$F$60,2,FALSE),"")</f>
        <v/>
      </c>
      <c r="V12" s="31">
        <f>IFERROR(VLOOKUP(Таблица438323234612131415181920212224252829[[#This Row],[Деф 1]],Лист1!$A$4:$F$60,3,FALSE),"")</f>
        <v>4.9000000000000004</v>
      </c>
      <c r="W12" s="31" t="str">
        <f>IFERROR(VLOOKUP(Таблица438323234612131415181920212224252829[[#This Row],[Деф 2]],Лист1!$A$4:$F$60,3,FALSE),"")</f>
        <v/>
      </c>
      <c r="X12" s="31" t="str">
        <f>IFERROR(VLOOKUP(Таблица438323234612131415181920212224252829[[#This Row],[Столбец4]],Лист1!$A$4:$F$60,3,FALSE),"")</f>
        <v/>
      </c>
      <c r="Y12" s="31" t="str">
        <f>IFERROR(VLOOKUP(Таблица438323234612131415181920212224252829[[#This Row],[Столбец5]],Лист1!$A$4:$F$60,3,FALSE),"")</f>
        <v/>
      </c>
      <c r="Z12" s="31" t="str">
        <f>IFERROR(VLOOKUP(Таблица438323234612131415181920212224252829[[#This Row],[Столбец6]],Лист1!$A$4:$F$60,3,FALSE),"")</f>
        <v/>
      </c>
      <c r="AA12" s="31" t="str">
        <f>IFERROR(VLOOKUP(Таблица438323234612131415181920212224252829[[#This Row],[Столбец7]],Лист1!$A$4:$F$60,3,FALSE),"")</f>
        <v/>
      </c>
      <c r="AB12" s="31" t="str">
        <f>IFERROR(VLOOKUP(Таблица438323234612131415181920212224252829[[#This Row],[Столбец8]],Лист1!$A$4:$F$60,3,FALSE),"")</f>
        <v/>
      </c>
      <c r="AC12" s="31" t="str">
        <f>IFERROR(VLOOKUP(Таблица438323234612131415181920212224252829[[#This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0.6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600</v>
      </c>
      <c r="AJ12" s="34" t="str">
        <f>IF(Таблица438323234612131415181920212224252829[[#This Row],[Столбец42]]=0,"000",Таблица438323234612131415181920212224252829[[#This Row],[Столбец42]])</f>
        <v>000</v>
      </c>
      <c r="AK12" s="34">
        <f>IF(Таблица438323234612131415181920212224252829[[#This Row],[Столбец44]]=0,"000",Таблица438323234612131415181920212224252829[[#This Row],[Столбец44]])</f>
        <v>600</v>
      </c>
      <c r="AL12" s="45"/>
      <c r="AM12" s="40" t="str">
        <f t="shared" ref="AM12" si="6">CONCATENATE("км ",AF12,"+",AJ12," - км ",AH12,"+",AK12)</f>
        <v>км 0+000 - км 0+600</v>
      </c>
      <c r="AN12" s="44" t="str">
        <f>IF(ISBLANK(Таблица438323234612131415181920212224252829[[#This Row],[Столбец9]]),N12&amp;O12&amp;P12&amp;Q12&amp;R12&amp;S12&amp;T12&amp;U12,N12&amp;O12&amp;P12&amp;Q12&amp;R12&amp;S12&amp;T12&amp;U12&amp;";")</f>
        <v xml:space="preserve">поперечные одиночные трещины на расстоянии 20-40 м между трещинами; </v>
      </c>
      <c r="AO12" s="44" t="str">
        <f>UPPER(LEFT(Таблица438323234612131415181920212224252829[[#This Row],[Столбец48]],1))&amp;RIGHT(LOWER(Таблица438323234612131415181920212224252829[[#This Row],[Столбец48]]),LEN(Таблица438323234612131415181920212224252829[[#This Row],[Столбец48]])-1)</f>
        <v xml:space="preserve">Поперечные одиночные трещины на расстоянии 20-40 м между трещинами; </v>
      </c>
      <c r="AP12" s="35">
        <f>MIN(V12:AC12)</f>
        <v>4.9000000000000004</v>
      </c>
      <c r="AQ12" s="34">
        <f>AP12*$C12</f>
        <v>2.94</v>
      </c>
      <c r="AR12" s="46"/>
      <c r="AS12" s="42">
        <f t="shared" ref="AS12:AT12" si="7">AD12</f>
        <v>0</v>
      </c>
      <c r="AT12" s="42">
        <f t="shared" si="7"/>
        <v>0.6</v>
      </c>
      <c r="AU12" s="40" t="str">
        <f t="shared" ref="AU12" si="8">E12</f>
        <v>асфальтобетон</v>
      </c>
      <c r="AV12" s="43">
        <f t="shared" ref="AV12" si="9">D12</f>
        <v>5.5</v>
      </c>
      <c r="AW12" s="43">
        <f t="shared" ref="AW12" si="10">IF(AP12=0,"-",AP12)</f>
        <v>4.9000000000000004</v>
      </c>
      <c r="AX12" s="45"/>
      <c r="AY12" s="42" t="str">
        <f>Таблица438323234612131415181920212224252829[[#This Row],[Адрес дефекта, км +]]</f>
        <v>км 0+000 - км 0+600</v>
      </c>
      <c r="AZ12" s="43">
        <f>Таблица438323234612131415181920212224252829[[#This Row],[Столбец55]]</f>
        <v>4.9000000000000004</v>
      </c>
      <c r="BA12" s="41">
        <f>Таблица438323234612131415181920212224252829[[#This Row],[Столбец59]]</f>
        <v>0.99</v>
      </c>
      <c r="BB12" s="45"/>
      <c r="BC12" s="45"/>
      <c r="BD12" s="40" t="str">
        <f>Таблица438323234612131415181920212224252829[[#This Row],[Адрес дефекта, км +]]</f>
        <v>км 0+000 - км 0+600</v>
      </c>
      <c r="BE12" s="41">
        <f>ROUND(1-((5-Таблица438323234612131415181920212224252829[[#This Row],[Балл минимальный]])/10),2)</f>
        <v>0.99</v>
      </c>
      <c r="BF12" s="40">
        <f t="shared" ref="BF12" si="11">ROUND(BE12*$N$4,0)</f>
        <v>163</v>
      </c>
    </row>
    <row r="13" spans="1:58" ht="47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5:D5"/>
    <mergeCell ref="G5:J5"/>
    <mergeCell ref="K5:L5"/>
    <mergeCell ref="D6:E6"/>
    <mergeCell ref="AM6:AO7"/>
    <mergeCell ref="D7:E7"/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</mergeCells>
  <dataValidations count="2">
    <dataValidation type="list" allowBlank="1" showInputMessage="1" showErrorMessage="1" sqref="E2" xr:uid="{00000000-0002-0000-1E00-000000000000}">
      <formula1>"капитальная,облегченная"</formula1>
    </dataValidation>
    <dataValidation type="list" allowBlank="1" showInputMessage="1" showErrorMessage="1" sqref="B3" xr:uid="{00000000-0002-0000-1E00-000001000000}">
      <formula1>"дорога,улица,подъезд"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FF00"/>
  </sheetPr>
  <dimension ref="A1:BF31"/>
  <sheetViews>
    <sheetView zoomScale="85" zoomScaleNormal="85" workbookViewId="0">
      <selection sqref="A1:XFD1048576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285</v>
      </c>
      <c r="C1" s="48" t="str">
        <f>VLOOKUP(B1,ИД!D2:R140,2,FALSE)</f>
        <v>Подъезд к карьеру ООО "QARAUZAK SHEVEN"</v>
      </c>
      <c r="D1" s="50"/>
      <c r="E1" s="49"/>
      <c r="O1" s="28" t="str">
        <f>TRIM(RIGHT(SUBSTITUTE(E3,",",REPT(" ",5)),5))</f>
        <v>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частной</v>
      </c>
      <c r="C2" s="232" t="s">
        <v>82</v>
      </c>
      <c r="D2" s="232"/>
      <c r="E2" s="39" t="s">
        <v>161</v>
      </c>
      <c r="F2" s="37"/>
      <c r="G2" s="235" t="s">
        <v>85</v>
      </c>
      <c r="H2" s="235"/>
      <c r="I2" s="235"/>
      <c r="J2" s="235"/>
      <c r="K2" s="236" t="e">
        <f>ROUND(SUM(Таблица43832323461213141518192021222425282930[Б*l])/(SUM(Таблица43832323461213141518192021222425282930[Прот])-$E$4),1)</f>
        <v>#DIV/0!</v>
      </c>
      <c r="L2" s="236"/>
      <c r="N2" s="38">
        <f>VLOOKUP(B1,ИД!D2:R140,12,FALSE)</f>
        <v>4</v>
      </c>
      <c r="O2" s="28" t="str">
        <f>LOWER(LEFT(C1,1))&amp;RIGHT(C1,LEN(C1)-1)</f>
        <v>подъезд к карьеру ООО "QARAUZAK SHEVEN"</v>
      </c>
      <c r="AM2" s="231" t="e">
        <f>CONCATENATE(Лист1!B81,K2,Лист1!B82,K4,Лист1!B83,O3)</f>
        <v>#DIV/0!</v>
      </c>
      <c r="AN2" s="231"/>
      <c r="AO2" s="231"/>
    </row>
    <row r="3" spans="1:58" ht="46.25" customHeight="1" x14ac:dyDescent="0.3">
      <c r="B3" s="100" t="s">
        <v>136</v>
      </c>
      <c r="C3" s="241" t="s">
        <v>83</v>
      </c>
      <c r="D3" s="241"/>
      <c r="E3" s="151" t="str">
        <f>VLOOKUP(B1,ИД!D2:R140,3,FALSE)</f>
        <v>V</v>
      </c>
      <c r="G3" s="233" t="s">
        <v>90</v>
      </c>
      <c r="H3" s="233"/>
      <c r="I3" s="233"/>
      <c r="J3" s="233"/>
      <c r="K3" s="238">
        <f>SUM(Таблица43832323461213141518192021222425282930[Прот])</f>
        <v>0.3</v>
      </c>
      <c r="L3" s="238"/>
      <c r="N3" s="38">
        <f>VLOOKUP(O1,Лист1!A63:C68,2,FALSE)</f>
        <v>0.5</v>
      </c>
      <c r="O3" s="28" t="e">
        <f>IF(4&lt;K2,Лист1!B75,IF(3&lt;K2,Лист1!B76,IF(2&lt;K2,Лист1!B77,Лист1!B78)))</f>
        <v>#DIV/0!</v>
      </c>
      <c r="AM3" s="231"/>
      <c r="AN3" s="231"/>
      <c r="AO3" s="231"/>
      <c r="AU3" s="72" t="s">
        <v>135</v>
      </c>
    </row>
    <row r="4" spans="1:58" ht="26" x14ac:dyDescent="0.3">
      <c r="B4" s="100">
        <f>VLOOKUP(B1,ИД!D2:R140,9,FALSE)</f>
        <v>0.3</v>
      </c>
      <c r="C4" s="230" t="s">
        <v>86</v>
      </c>
      <c r="D4" s="230"/>
      <c r="E4" s="39">
        <v>0.3</v>
      </c>
      <c r="G4" s="233" t="s">
        <v>120</v>
      </c>
      <c r="H4" s="233"/>
      <c r="I4" s="233"/>
      <c r="J4" s="233"/>
      <c r="K4" s="234" t="e">
        <f>ROUND(0.5+K2/10,2)</f>
        <v>#DIV/0!</v>
      </c>
      <c r="L4" s="234"/>
      <c r="N4" s="38">
        <f>VLOOKUP(O1,Лист1!A63:C68,3,FALSE)</f>
        <v>110</v>
      </c>
      <c r="AM4" s="231"/>
      <c r="AN4" s="231"/>
      <c r="AO4" s="231"/>
    </row>
    <row r="5" spans="1:58" ht="27" thickBot="1" x14ac:dyDescent="0.35">
      <c r="B5" s="100" t="str">
        <f>VLOOKUP(B1,ИД!D2:R140,4,FALSE)</f>
        <v>ПГС</v>
      </c>
      <c r="C5" s="230" t="s">
        <v>95</v>
      </c>
      <c r="D5" s="230"/>
      <c r="E5" s="39">
        <v>0</v>
      </c>
      <c r="G5" s="239" t="s">
        <v>88</v>
      </c>
      <c r="H5" s="239"/>
      <c r="I5" s="239"/>
      <c r="J5" s="239"/>
      <c r="K5" s="240">
        <f>VLOOKUP(B1,ИД!D2:R140,10,FALSE)</f>
        <v>0</v>
      </c>
      <c r="L5" s="240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101 представляет собой участок частной автомобильной дороги «Подъезд к карьеру ООО "QARAUZAK SHEVEN"», который начинается от автомобильной дороги «А-380 «Гузор-Бухоро-Нукус-Бейнеу» и следует до карьера ООО "QARAUZAK SHEVEN".</v>
      </c>
      <c r="AM5" s="66"/>
      <c r="AN5" s="66"/>
      <c r="AO5" s="66"/>
    </row>
    <row r="6" spans="1:58" ht="26" x14ac:dyDescent="0.3">
      <c r="B6" s="100">
        <f>VLOOKUP(B1,ИД!D2:R140,8,FALSE)</f>
        <v>5</v>
      </c>
      <c r="C6" s="69" t="s">
        <v>128</v>
      </c>
      <c r="D6" s="222" t="str">
        <f>VLOOKUP(B1,ИД!D2:R140,14,FALSE)</f>
        <v>автомобильной дороги «А-380 «Гузор-Бухоро-Нукус-Бейнеу»</v>
      </c>
      <c r="E6" s="223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101 представляет собой участок  Подъезд к карьеру ООО "QARAUZAK SHEVEN", который начинается от автомобильной дороги «А-380 «Гузор-Бухоро-Нукус-Бейнеу» и следует до карьера ООО "QARAUZAK SHEVEN".</v>
      </c>
      <c r="AM6" s="224" t="str">
        <f>VLOOKUP(B3,N5:O7,2,FALSE)</f>
        <v>Маршрут № У 101 представляет собой участок частной автомобильной дороги «Подъезд к карьеру ООО "QARAUZAK SHEVEN"», который начинается от автомобильной дороги «А-380 «Гузор-Бухоро-Нукус-Бейнеу» и следует до карьера ООО "QARAUZAK SHEVEN".</v>
      </c>
      <c r="AN6" s="225"/>
      <c r="AO6" s="226"/>
    </row>
    <row r="7" spans="1:58" ht="42" customHeight="1" thickBot="1" x14ac:dyDescent="0.35">
      <c r="B7" s="100" t="str">
        <f>VLOOKUP(B1,ИД!D2:R140,11,FALSE)</f>
        <v>частная</v>
      </c>
      <c r="C7" s="69" t="s">
        <v>129</v>
      </c>
      <c r="D7" s="230" t="str">
        <f>VLOOKUP(B1,ИД!D2:R140,15,FALSE)</f>
        <v>карьера ООО "QARAUZAK SHEVEN"</v>
      </c>
      <c r="E7" s="230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101 представляет собой подъезд к карьеру ООО "QARAUZAK SHEVEN" от автомобильной дороги «А-380 «Гузор-Бухоро-Нукус-Бейнеу».</v>
      </c>
      <c r="AM7" s="227"/>
      <c r="AN7" s="228"/>
      <c r="AO7" s="229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0.3</v>
      </c>
      <c r="C12" s="36">
        <f>B12-A12</f>
        <v>0.3</v>
      </c>
      <c r="D12" s="56">
        <v>5</v>
      </c>
      <c r="E12" s="57" t="s">
        <v>102</v>
      </c>
      <c r="F12" s="57" t="s">
        <v>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IFERROR(VLOOKUP(Таблица43832323461213141518192021222425282930[[#This Row],[Деф 1]],Лист1!$A$4:$F$60,2,FALSE),"")</f>
        <v xml:space="preserve">без дефектов; </v>
      </c>
      <c r="O12" s="30" t="str">
        <f>IFERROR(VLOOKUP(Таблица43832323461213141518192021222425282930[[#This Row],[Деф 2]],Лист1!$A$4:$F$60,2,FALSE),"")</f>
        <v/>
      </c>
      <c r="P12" s="30" t="str">
        <f>IFERROR(VLOOKUP(Таблица43832323461213141518192021222425282930[[#This Row],[Столбец4]],Лист1!$A$4:$F$60,2,FALSE),"")</f>
        <v/>
      </c>
      <c r="Q12" s="30" t="str">
        <f>IFERROR(VLOOKUP(Таблица43832323461213141518192021222425282930[[#This Row],[Столбец5]],Лист1!$A$4:$F$60,2,FALSE),"")</f>
        <v/>
      </c>
      <c r="R12" s="30" t="str">
        <f>IFERROR(VLOOKUP(Таблица43832323461213141518192021222425282930[[#This Row],[Столбец6]],Лист1!$A$4:$F$60,2,FALSE),"")</f>
        <v/>
      </c>
      <c r="S12" s="30" t="str">
        <f>IFERROR(VLOOKUP(Таблица43832323461213141518192021222425282930[[#This Row],[Столбец7]],Лист1!$A$4:$F$60,2,FALSE),"")</f>
        <v/>
      </c>
      <c r="T12" s="30" t="str">
        <f>IFERROR(VLOOKUP(Таблица43832323461213141518192021222425282930[[#This Row],[Столбец8]],Лист1!$A$4:$F$60,2,FALSE),"")</f>
        <v/>
      </c>
      <c r="U12" s="75" t="str">
        <f>IFERROR(VLOOKUP(Таблица43832323461213141518192021222425282930[[#This Row],[Столбец9]],Лист1!$A$4:$F$60,2,FALSE),"")</f>
        <v/>
      </c>
      <c r="V12" s="31">
        <f>IFERROR(VLOOKUP(Таблица43832323461213141518192021222425282930[[#This Row],[Деф 1]],Лист1!$A$4:$F$60,3,FALSE),"")</f>
        <v>5</v>
      </c>
      <c r="W12" s="31" t="str">
        <f>IFERROR(VLOOKUP(Таблица43832323461213141518192021222425282930[[#This Row],[Деф 2]],Лист1!$A$4:$F$60,3,FALSE),"")</f>
        <v/>
      </c>
      <c r="X12" s="31" t="str">
        <f>IFERROR(VLOOKUP(Таблица43832323461213141518192021222425282930[[#This Row],[Столбец4]],Лист1!$A$4:$F$60,3,FALSE),"")</f>
        <v/>
      </c>
      <c r="Y12" s="31" t="str">
        <f>IFERROR(VLOOKUP(Таблица43832323461213141518192021222425282930[[#This Row],[Столбец5]],Лист1!$A$4:$F$60,3,FALSE),"")</f>
        <v/>
      </c>
      <c r="Z12" s="31" t="str">
        <f>IFERROR(VLOOKUP(Таблица43832323461213141518192021222425282930[[#This Row],[Столбец6]],Лист1!$A$4:$F$60,3,FALSE),"")</f>
        <v/>
      </c>
      <c r="AA12" s="31" t="str">
        <f>IFERROR(VLOOKUP(Таблица43832323461213141518192021222425282930[[#This Row],[Столбец7]],Лист1!$A$4:$F$60,3,FALSE),"")</f>
        <v/>
      </c>
      <c r="AB12" s="31" t="str">
        <f>IFERROR(VLOOKUP(Таблица43832323461213141518192021222425282930[[#This Row],[Столбец8]],Лист1!$A$4:$F$60,3,FALSE),"")</f>
        <v/>
      </c>
      <c r="AC12" s="31" t="str">
        <f>IFERROR(VLOOKUP(Таблица43832323461213141518192021222425282930[[#This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0.3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300</v>
      </c>
      <c r="AJ12" s="34" t="str">
        <f>IF(Таблица43832323461213141518192021222425282930[[#This Row],[Столбец42]]=0,"000",Таблица43832323461213141518192021222425282930[[#This Row],[Столбец42]])</f>
        <v>000</v>
      </c>
      <c r="AK12" s="34">
        <f>IF(Таблица43832323461213141518192021222425282930[[#This Row],[Столбец44]]=0,"000",Таблица43832323461213141518192021222425282930[[#This Row],[Столбец44]])</f>
        <v>300</v>
      </c>
      <c r="AL12" s="45"/>
      <c r="AM12" s="40" t="str">
        <f t="shared" ref="AM12" si="6">CONCATENATE("км ",AF12,"+",AJ12," - км ",AH12,"+",AK12)</f>
        <v>км 0+000 - км 0+300</v>
      </c>
      <c r="AN12" s="44" t="str">
        <f>IF(ISBLANK(Таблица43832323461213141518192021222425282930[[#This Row],[Столбец9]]),N12&amp;O12&amp;P12&amp;Q12&amp;R12&amp;S12&amp;T12&amp;U12,N12&amp;O12&amp;P12&amp;Q12&amp;R12&amp;S12&amp;T12&amp;U12&amp;";")</f>
        <v xml:space="preserve">без дефектов; </v>
      </c>
      <c r="AO12" s="44" t="str">
        <f>UPPER(LEFT(Таблица43832323461213141518192021222425282930[[#This Row],[Столбец48]],1))&amp;RIGHT(LOWER(Таблица43832323461213141518192021222425282930[[#This Row],[Столбец48]]),LEN(Таблица43832323461213141518192021222425282930[[#This Row],[Столбец48]])-1)</f>
        <v xml:space="preserve">Без дефектов; </v>
      </c>
      <c r="AP12" s="35">
        <f>MIN(V12:AC12)</f>
        <v>5</v>
      </c>
      <c r="AQ12" s="34">
        <f>AP12*$C12</f>
        <v>1.5</v>
      </c>
      <c r="AR12" s="46"/>
      <c r="AS12" s="42">
        <f t="shared" ref="AS12:AT12" si="7">AD12</f>
        <v>0</v>
      </c>
      <c r="AT12" s="42">
        <f t="shared" si="7"/>
        <v>0.3</v>
      </c>
      <c r="AU12" s="40" t="str">
        <f t="shared" ref="AU12" si="8">E12</f>
        <v>ПГС</v>
      </c>
      <c r="AV12" s="43">
        <f t="shared" ref="AV12" si="9">D12</f>
        <v>5</v>
      </c>
      <c r="AW12" s="43">
        <f t="shared" ref="AW12" si="10">IF(AP12=0,"-",AP12)</f>
        <v>5</v>
      </c>
      <c r="AX12" s="45"/>
      <c r="AY12" s="42" t="str">
        <f>Таблица43832323461213141518192021222425282930[[#This Row],[Адрес дефекта, км +]]</f>
        <v>км 0+000 - км 0+300</v>
      </c>
      <c r="AZ12" s="43">
        <f>Таблица43832323461213141518192021222425282930[[#This Row],[Столбец55]]</f>
        <v>5</v>
      </c>
      <c r="BA12" s="41">
        <f>Таблица43832323461213141518192021222425282930[[#This Row],[Столбец59]]</f>
        <v>1</v>
      </c>
      <c r="BB12" s="45"/>
      <c r="BC12" s="45"/>
      <c r="BD12" s="40" t="str">
        <f>Таблица43832323461213141518192021222425282930[[#This Row],[Адрес дефекта, км +]]</f>
        <v>км 0+000 - км 0+300</v>
      </c>
      <c r="BE12" s="41">
        <f>ROUND(1-((5-Таблица43832323461213141518192021222425282930[[#This Row],[Балл минимальный]])/10),2)</f>
        <v>1</v>
      </c>
      <c r="BF12" s="40">
        <f t="shared" ref="BF12" si="11">ROUND(BE12*$N$4,0)</f>
        <v>110</v>
      </c>
    </row>
    <row r="13" spans="1:58" ht="47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5:D5"/>
    <mergeCell ref="G5:J5"/>
    <mergeCell ref="K5:L5"/>
    <mergeCell ref="D6:E6"/>
    <mergeCell ref="AM6:AO7"/>
    <mergeCell ref="D7:E7"/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</mergeCells>
  <dataValidations count="2">
    <dataValidation type="list" allowBlank="1" showInputMessage="1" showErrorMessage="1" sqref="B3" xr:uid="{00000000-0002-0000-1F00-000000000000}">
      <formula1>"дорога,улица,подъезд"</formula1>
    </dataValidation>
    <dataValidation type="list" allowBlank="1" showInputMessage="1" showErrorMessage="1" sqref="E2" xr:uid="{00000000-0002-0000-1F00-000001000000}">
      <formula1>"капитальная,облегченная"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FF00"/>
  </sheetPr>
  <dimension ref="A1:BF31"/>
  <sheetViews>
    <sheetView workbookViewId="0">
      <selection sqref="A1:XFD1048576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286</v>
      </c>
      <c r="C1" s="48" t="str">
        <f>VLOOKUP(B1,ИД!D2:R140,2,FALSE)</f>
        <v>Подъезд к карьеру ООО "Road Project Ekspertiza"</v>
      </c>
      <c r="D1" s="50"/>
      <c r="E1" s="49"/>
      <c r="O1" s="28" t="str">
        <f>TRIM(RIGHT(SUBSTITUTE(E3,",",REPT(" ",5)),5))</f>
        <v>IV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частной</v>
      </c>
      <c r="C2" s="232" t="s">
        <v>82</v>
      </c>
      <c r="D2" s="232"/>
      <c r="E2" s="39" t="s">
        <v>161</v>
      </c>
      <c r="F2" s="37"/>
      <c r="G2" s="235" t="s">
        <v>85</v>
      </c>
      <c r="H2" s="235"/>
      <c r="I2" s="235"/>
      <c r="J2" s="235"/>
      <c r="K2" s="236">
        <f>ROUND(SUM(Таблица4383232346121314151819202122242528293031[Б*l])/(SUM(Таблица4383232346121314151819202122242528293031[Прот])-$E$4),1)</f>
        <v>4.3</v>
      </c>
      <c r="L2" s="236"/>
      <c r="N2" s="38">
        <f>VLOOKUP(B1,ИД!D2:R140,12,FALSE)</f>
        <v>4</v>
      </c>
      <c r="O2" s="28" t="str">
        <f>LOWER(LEFT(C1,1))&amp;RIGHT(C1,LEN(C1)-1)</f>
        <v>подъезд к карьеру ООО "Road Project Ekspertiza"</v>
      </c>
      <c r="AM2" s="231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4,3, средневзвешенного коэффициента прочности – 0,93. 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N2" s="231"/>
      <c r="AO2" s="231"/>
    </row>
    <row r="3" spans="1:58" ht="46.25" customHeight="1" x14ac:dyDescent="0.3">
      <c r="B3" s="100" t="s">
        <v>136</v>
      </c>
      <c r="C3" s="241" t="s">
        <v>83</v>
      </c>
      <c r="D3" s="241"/>
      <c r="E3" s="151" t="str">
        <f>VLOOKUP(B1,ИД!D2:R140,3,FALSE)</f>
        <v>IV</v>
      </c>
      <c r="G3" s="233" t="s">
        <v>90</v>
      </c>
      <c r="H3" s="233"/>
      <c r="I3" s="233"/>
      <c r="J3" s="233"/>
      <c r="K3" s="238">
        <f>SUM(Таблица4383232346121314151819202122242528293031[Прот])</f>
        <v>0.4</v>
      </c>
      <c r="L3" s="238"/>
      <c r="N3" s="38">
        <f>VLOOKUP(O1,Лист1!A63:C68,2,FALSE)</f>
        <v>0.67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M3" s="231"/>
      <c r="AN3" s="231"/>
      <c r="AO3" s="231"/>
      <c r="AU3" s="72" t="s">
        <v>135</v>
      </c>
    </row>
    <row r="4" spans="1:58" ht="26" x14ac:dyDescent="0.3">
      <c r="B4" s="100">
        <f>VLOOKUP(B1,ИД!D2:R140,9,FALSE)</f>
        <v>0.4</v>
      </c>
      <c r="C4" s="230" t="s">
        <v>86</v>
      </c>
      <c r="D4" s="230"/>
      <c r="E4" s="39"/>
      <c r="G4" s="233" t="s">
        <v>120</v>
      </c>
      <c r="H4" s="233"/>
      <c r="I4" s="233"/>
      <c r="J4" s="233"/>
      <c r="K4" s="234">
        <f>ROUND(0.5+K2/10,2)</f>
        <v>0.93</v>
      </c>
      <c r="L4" s="234"/>
      <c r="N4" s="38">
        <f>VLOOKUP(O1,Лист1!A63:C68,3,FALSE)</f>
        <v>165</v>
      </c>
      <c r="AM4" s="231"/>
      <c r="AN4" s="231"/>
      <c r="AO4" s="231"/>
    </row>
    <row r="5" spans="1:58" ht="27" thickBot="1" x14ac:dyDescent="0.35">
      <c r="B5" s="100" t="str">
        <f>VLOOKUP(B1,ИД!D2:R140,4,FALSE)</f>
        <v>ЩПС</v>
      </c>
      <c r="C5" s="230" t="s">
        <v>95</v>
      </c>
      <c r="D5" s="230"/>
      <c r="E5" s="39">
        <v>0</v>
      </c>
      <c r="G5" s="239" t="s">
        <v>88</v>
      </c>
      <c r="H5" s="239"/>
      <c r="I5" s="239"/>
      <c r="J5" s="239"/>
      <c r="K5" s="240">
        <f>VLOOKUP(B1,ИД!D2:R140,10,FALSE)</f>
        <v>0</v>
      </c>
      <c r="L5" s="240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102 представляет собой участок частной автомобильной дороги «Подъезд к карьеру ООО "Road Project Ekspertiza"», который начинается от автомобильной дороги «А-380 «Гузор-Бухоро-Нукус-Бейнеу» и следует до карьера ООО "Road Project Ekspertiza".</v>
      </c>
      <c r="AM5" s="66"/>
      <c r="AN5" s="66"/>
      <c r="AO5" s="66"/>
    </row>
    <row r="6" spans="1:58" ht="26" x14ac:dyDescent="0.3">
      <c r="B6" s="100">
        <f>VLOOKUP(B1,ИД!D2:R140,8,FALSE)</f>
        <v>7</v>
      </c>
      <c r="C6" s="69" t="s">
        <v>128</v>
      </c>
      <c r="D6" s="222" t="str">
        <f>VLOOKUP(B1,ИД!D2:R140,14,FALSE)</f>
        <v>автомобильной дороги «А-380 «Гузор-Бухоро-Нукус-Бейнеу»</v>
      </c>
      <c r="E6" s="223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102 представляет собой участок  Подъезд к карьеру ООО "Road Project Ekspertiza", который начинается от автомобильной дороги «А-380 «Гузор-Бухоро-Нукус-Бейнеу» и следует до карьера ООО "Road Project Ekspertiza".</v>
      </c>
      <c r="AM6" s="224" t="str">
        <f>VLOOKUP(B3,N5:O7,2,FALSE)</f>
        <v>Маршрут № У 102 представляет собой участок частной автомобильной дороги «Подъезд к карьеру ООО "Road Project Ekspertiza"», который начинается от автомобильной дороги «А-380 «Гузор-Бухоро-Нукус-Бейнеу» и следует до карьера ООО "Road Project Ekspertiza".</v>
      </c>
      <c r="AN6" s="225"/>
      <c r="AO6" s="226"/>
    </row>
    <row r="7" spans="1:58" ht="42" customHeight="1" thickBot="1" x14ac:dyDescent="0.35">
      <c r="B7" s="100" t="str">
        <f>VLOOKUP(B1,ИД!D2:R140,11,FALSE)</f>
        <v>частная</v>
      </c>
      <c r="C7" s="69" t="s">
        <v>129</v>
      </c>
      <c r="D7" s="230" t="str">
        <f>VLOOKUP(B1,ИД!D2:R140,15,FALSE)</f>
        <v>карьера ООО "Road Project Ekspertiza"</v>
      </c>
      <c r="E7" s="230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102 представляет собой подъезд к карьеру ООО "Road Project Ekspertiza" от автомобильной дороги «А-380 «Гузор-Бухоро-Нукус-Бейнеу».</v>
      </c>
      <c r="AM7" s="227"/>
      <c r="AN7" s="228"/>
      <c r="AO7" s="229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0.4</v>
      </c>
      <c r="C12" s="36">
        <f>B12-A12</f>
        <v>0.4</v>
      </c>
      <c r="D12" s="56">
        <v>7</v>
      </c>
      <c r="E12" s="57" t="s">
        <v>262</v>
      </c>
      <c r="F12" s="57" t="s">
        <v>107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IFERROR(VLOOKUP(Таблица4383232346121314151819202122242528293031[[#This Row],[Деф 1]],Лист1!$A$4:$F$60,2,FALSE),"")</f>
        <v xml:space="preserve">редкие выбоины на гравийном покрытии на расстоянии 8-10 м между выбоинами; </v>
      </c>
      <c r="O12" s="30" t="str">
        <f>IFERROR(VLOOKUP(Таблица4383232346121314151819202122242528293031[[#This Row],[Деф 2]],Лист1!$A$4:$F$60,2,FALSE),"")</f>
        <v/>
      </c>
      <c r="P12" s="30" t="str">
        <f>IFERROR(VLOOKUP(Таблица4383232346121314151819202122242528293031[[#This Row],[Столбец4]],Лист1!$A$4:$F$60,2,FALSE),"")</f>
        <v/>
      </c>
      <c r="Q12" s="30" t="str">
        <f>IFERROR(VLOOKUP(Таблица4383232346121314151819202122242528293031[[#This Row],[Столбец5]],Лист1!$A$4:$F$60,2,FALSE),"")</f>
        <v/>
      </c>
      <c r="R12" s="30" t="str">
        <f>IFERROR(VLOOKUP(Таблица4383232346121314151819202122242528293031[[#This Row],[Столбец6]],Лист1!$A$4:$F$60,2,FALSE),"")</f>
        <v/>
      </c>
      <c r="S12" s="30" t="str">
        <f>IFERROR(VLOOKUP(Таблица4383232346121314151819202122242528293031[[#This Row],[Столбец7]],Лист1!$A$4:$F$60,2,FALSE),"")</f>
        <v/>
      </c>
      <c r="T12" s="30" t="str">
        <f>IFERROR(VLOOKUP(Таблица4383232346121314151819202122242528293031[[#This Row],[Столбец8]],Лист1!$A$4:$F$60,2,FALSE),"")</f>
        <v/>
      </c>
      <c r="U12" s="75" t="str">
        <f>IFERROR(VLOOKUP(Таблица4383232346121314151819202122242528293031[[#This Row],[Столбец9]],Лист1!$A$4:$F$60,2,FALSE),"")</f>
        <v/>
      </c>
      <c r="V12" s="31">
        <f>IFERROR(VLOOKUP(Таблица4383232346121314151819202122242528293031[[#This Row],[Деф 1]],Лист1!$A$4:$F$60,3,FALSE),"")</f>
        <v>4.3</v>
      </c>
      <c r="W12" s="31" t="str">
        <f>IFERROR(VLOOKUP(Таблица4383232346121314151819202122242528293031[[#This Row],[Деф 2]],Лист1!$A$4:$F$60,3,FALSE),"")</f>
        <v/>
      </c>
      <c r="X12" s="31" t="str">
        <f>IFERROR(VLOOKUP(Таблица4383232346121314151819202122242528293031[[#This Row],[Столбец4]],Лист1!$A$4:$F$60,3,FALSE),"")</f>
        <v/>
      </c>
      <c r="Y12" s="31" t="str">
        <f>IFERROR(VLOOKUP(Таблица4383232346121314151819202122242528293031[[#This Row],[Столбец5]],Лист1!$A$4:$F$60,3,FALSE),"")</f>
        <v/>
      </c>
      <c r="Z12" s="31" t="str">
        <f>IFERROR(VLOOKUP(Таблица4383232346121314151819202122242528293031[[#This Row],[Столбец6]],Лист1!$A$4:$F$60,3,FALSE),"")</f>
        <v/>
      </c>
      <c r="AA12" s="31" t="str">
        <f>IFERROR(VLOOKUP(Таблица4383232346121314151819202122242528293031[[#This Row],[Столбец7]],Лист1!$A$4:$F$60,3,FALSE),"")</f>
        <v/>
      </c>
      <c r="AB12" s="31" t="str">
        <f>IFERROR(VLOOKUP(Таблица4383232346121314151819202122242528293031[[#This Row],[Столбец8]],Лист1!$A$4:$F$60,3,FALSE),"")</f>
        <v/>
      </c>
      <c r="AC12" s="31" t="str">
        <f>IFERROR(VLOOKUP(Таблица4383232346121314151819202122242528293031[[#This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0.4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400</v>
      </c>
      <c r="AJ12" s="34" t="str">
        <f>IF(Таблица4383232346121314151819202122242528293031[[#This Row],[Столбец42]]=0,"000",Таблица4383232346121314151819202122242528293031[[#This Row],[Столбец42]])</f>
        <v>000</v>
      </c>
      <c r="AK12" s="34">
        <f>IF(Таблица4383232346121314151819202122242528293031[[#This Row],[Столбец44]]=0,"000",Таблица4383232346121314151819202122242528293031[[#This Row],[Столбец44]])</f>
        <v>400</v>
      </c>
      <c r="AL12" s="45"/>
      <c r="AM12" s="40" t="str">
        <f t="shared" ref="AM12" si="6">CONCATENATE("км ",AF12,"+",AJ12," - км ",AH12,"+",AK12)</f>
        <v>км 0+000 - км 0+400</v>
      </c>
      <c r="AN12" s="44" t="str">
        <f>IF(ISBLANK(Таблица4383232346121314151819202122242528293031[[#This Row],[Столбец9]]),N12&amp;O12&amp;P12&amp;Q12&amp;R12&amp;S12&amp;T12&amp;U12,N12&amp;O12&amp;P12&amp;Q12&amp;R12&amp;S12&amp;T12&amp;U12&amp;";")</f>
        <v xml:space="preserve">редкие выбоины на гравийном покрытии на расстоянии 8-10 м между выбоинами; </v>
      </c>
      <c r="AO12" s="44" t="str">
        <f>UPPER(LEFT(Таблица4383232346121314151819202122242528293031[[#This Row],[Столбец48]],1))&amp;RIGHT(LOWER(Таблица4383232346121314151819202122242528293031[[#This Row],[Столбец48]]),LEN(Таблица4383232346121314151819202122242528293031[[#This Row],[Столбец48]])-1)</f>
        <v xml:space="preserve">Редкие выбоины на гравийном покрытии на расстоянии 8-10 м между выбоинами; </v>
      </c>
      <c r="AP12" s="35">
        <f>MIN(V12:AC12)</f>
        <v>4.3</v>
      </c>
      <c r="AQ12" s="34">
        <f>AP12*$C12</f>
        <v>1.72</v>
      </c>
      <c r="AR12" s="46"/>
      <c r="AS12" s="42">
        <f t="shared" ref="AS12:AT12" si="7">AD12</f>
        <v>0</v>
      </c>
      <c r="AT12" s="42">
        <f t="shared" si="7"/>
        <v>0.4</v>
      </c>
      <c r="AU12" s="40" t="str">
        <f t="shared" ref="AU12" si="8">E12</f>
        <v>ЩПС</v>
      </c>
      <c r="AV12" s="43">
        <f t="shared" ref="AV12" si="9">D12</f>
        <v>7</v>
      </c>
      <c r="AW12" s="43">
        <f t="shared" ref="AW12" si="10">IF(AP12=0,"-",AP12)</f>
        <v>4.3</v>
      </c>
      <c r="AX12" s="45"/>
      <c r="AY12" s="42" t="str">
        <f>Таблица4383232346121314151819202122242528293031[[#This Row],[Адрес дефекта, км +]]</f>
        <v>км 0+000 - км 0+400</v>
      </c>
      <c r="AZ12" s="43">
        <f>Таблица4383232346121314151819202122242528293031[[#This Row],[Столбец55]]</f>
        <v>4.3</v>
      </c>
      <c r="BA12" s="41">
        <f>Таблица4383232346121314151819202122242528293031[[#This Row],[Столбец59]]</f>
        <v>0.93</v>
      </c>
      <c r="BB12" s="45"/>
      <c r="BC12" s="45"/>
      <c r="BD12" s="40" t="str">
        <f>Таблица4383232346121314151819202122242528293031[[#This Row],[Адрес дефекта, км +]]</f>
        <v>км 0+000 - км 0+400</v>
      </c>
      <c r="BE12" s="41">
        <f>ROUND(1-((5-Таблица4383232346121314151819202122242528293031[[#This Row],[Балл минимальный]])/10),2)</f>
        <v>0.93</v>
      </c>
      <c r="BF12" s="40">
        <f t="shared" ref="BF12" si="11">ROUND(BE12*$N$4,0)</f>
        <v>153</v>
      </c>
    </row>
    <row r="13" spans="1:58" ht="47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5:D5"/>
    <mergeCell ref="G5:J5"/>
    <mergeCell ref="K5:L5"/>
    <mergeCell ref="D6:E6"/>
    <mergeCell ref="AM6:AO7"/>
    <mergeCell ref="D7:E7"/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</mergeCells>
  <dataValidations count="2">
    <dataValidation type="list" allowBlank="1" showInputMessage="1" showErrorMessage="1" sqref="E2" xr:uid="{00000000-0002-0000-2000-000000000000}">
      <formula1>"капитальная,облегченная"</formula1>
    </dataValidation>
    <dataValidation type="list" allowBlank="1" showInputMessage="1" showErrorMessage="1" sqref="B3" xr:uid="{00000000-0002-0000-2000-000001000000}">
      <formula1>"дорога,улица,подъезд"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FF00"/>
  </sheetPr>
  <dimension ref="A1:BF31"/>
  <sheetViews>
    <sheetView topLeftCell="A4" workbookViewId="0">
      <selection activeCell="K12" sqref="K12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287</v>
      </c>
      <c r="C1" s="48" t="str">
        <f>VLOOKUP(B1,ИД!D2:R140,2,FALSE)</f>
        <v>Подъезд к карьеру "Qizilqala-1"</v>
      </c>
      <c r="D1" s="50"/>
      <c r="E1" s="49"/>
      <c r="O1" s="28" t="str">
        <f>TRIM(RIGHT(SUBSTITUTE(E3,",",REPT(" ",5)),5))</f>
        <v>IV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частной</v>
      </c>
      <c r="C2" s="232" t="s">
        <v>82</v>
      </c>
      <c r="D2" s="232"/>
      <c r="E2" s="39" t="s">
        <v>161</v>
      </c>
      <c r="F2" s="37"/>
      <c r="G2" s="235" t="s">
        <v>85</v>
      </c>
      <c r="H2" s="235"/>
      <c r="I2" s="235"/>
      <c r="J2" s="235"/>
      <c r="K2" s="236">
        <f>ROUND(SUM(Таблица438323234612131415181920212224252829303132[Б*l])/(SUM(Таблица438323234612131415181920212224252829303132[Прот])-$E$4),1)</f>
        <v>3.5</v>
      </c>
      <c r="L2" s="236"/>
      <c r="N2" s="38">
        <f>VLOOKUP(B1,ИД!D2:R140,12,FALSE)</f>
        <v>4</v>
      </c>
      <c r="O2" s="28" t="str">
        <f>LOWER(LEFT(C1,1))&amp;RIGHT(C1,LEN(C1)-1)</f>
        <v>подъезд к карьеру "Qizilqala-1"</v>
      </c>
      <c r="AM2" s="231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3,5, средневзвешенного коэффициента прочности – 0,85. Таким образом, в соответствии с результатами камеральной обработки данных, состояние покрытия дороги является удовлетворительным. При значительном увеличении нагрузки на дорожную одежду без проведения ремонтно-восстановительных мероприятий прогнозируется снижение несущей способности до недопустимых значений. Перед пропуском необходимой нагрузки необходимо устранить дефекты проезжей части, а также включить мероприятия по восстановлению вновь образовавшихся дефектов после проезда нагрузки.</v>
      </c>
      <c r="AN2" s="231"/>
      <c r="AO2" s="231"/>
    </row>
    <row r="3" spans="1:58" ht="46.25" customHeight="1" x14ac:dyDescent="0.3">
      <c r="B3" s="100" t="s">
        <v>136</v>
      </c>
      <c r="C3" s="241" t="s">
        <v>83</v>
      </c>
      <c r="D3" s="241"/>
      <c r="E3" s="151" t="str">
        <f>VLOOKUP(B1,ИД!D2:R140,3,FALSE)</f>
        <v>IV</v>
      </c>
      <c r="G3" s="233" t="s">
        <v>90</v>
      </c>
      <c r="H3" s="233"/>
      <c r="I3" s="233"/>
      <c r="J3" s="233"/>
      <c r="K3" s="238">
        <f>SUM(Таблица438323234612131415181920212224252829303132[Прот])</f>
        <v>2.7</v>
      </c>
      <c r="L3" s="238"/>
      <c r="N3" s="38">
        <f>VLOOKUP(O1,Лист1!A63:C68,2,FALSE)</f>
        <v>0.67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удовлетворительным. При значительном увеличении нагрузки на дорожную одежду без проведения ремонтно-восстановительных мероприятий прогнозируется снижение несущей способности до недопустимых значений. Перед пропуском необходимой нагрузки необходимо устранить дефекты проезжей части, а также включить мероприятия по восстановлению вновь образовавшихся дефектов после проезда нагрузки.</v>
      </c>
      <c r="AM3" s="231"/>
      <c r="AN3" s="231"/>
      <c r="AO3" s="231"/>
      <c r="AU3" s="72" t="s">
        <v>135</v>
      </c>
    </row>
    <row r="4" spans="1:58" ht="26" x14ac:dyDescent="0.3">
      <c r="B4" s="100">
        <f>VLOOKUP(B1,ИД!D2:R140,9,FALSE)</f>
        <v>2.7</v>
      </c>
      <c r="C4" s="230" t="s">
        <v>86</v>
      </c>
      <c r="D4" s="230"/>
      <c r="E4" s="39"/>
      <c r="G4" s="233" t="s">
        <v>120</v>
      </c>
      <c r="H4" s="233"/>
      <c r="I4" s="233"/>
      <c r="J4" s="233"/>
      <c r="K4" s="234">
        <f>ROUND(0.5+K2/10,2)</f>
        <v>0.85</v>
      </c>
      <c r="L4" s="234"/>
      <c r="N4" s="38">
        <f>VLOOKUP(O1,Лист1!A63:C68,3,FALSE)</f>
        <v>165</v>
      </c>
      <c r="AM4" s="231"/>
      <c r="AN4" s="231"/>
      <c r="AO4" s="231"/>
    </row>
    <row r="5" spans="1:58" ht="27" thickBot="1" x14ac:dyDescent="0.35">
      <c r="B5" s="100" t="str">
        <f>VLOOKUP(B1,ИД!D2:R140,4,FALSE)</f>
        <v>щщебеночное</v>
      </c>
      <c r="C5" s="230" t="s">
        <v>95</v>
      </c>
      <c r="D5" s="230"/>
      <c r="E5" s="39">
        <v>0</v>
      </c>
      <c r="G5" s="239" t="s">
        <v>88</v>
      </c>
      <c r="H5" s="239"/>
      <c r="I5" s="239"/>
      <c r="J5" s="239"/>
      <c r="K5" s="240">
        <f>VLOOKUP(B1,ИД!D2:R140,10,FALSE)</f>
        <v>0</v>
      </c>
      <c r="L5" s="240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103 представляет собой участок частной автомобильной дороги «Подъезд к карьеру "Qizilqala-1"», который начинается от автомобильной дороги «А-380 «Гузор-Бухоро-Нукус-Бейнеу» и следует до карьера "Qizilqala-1".</v>
      </c>
      <c r="AM5" s="66"/>
      <c r="AN5" s="66"/>
      <c r="AO5" s="66"/>
    </row>
    <row r="6" spans="1:58" ht="26" x14ac:dyDescent="0.3">
      <c r="B6" s="100">
        <f>VLOOKUP(B1,ИД!D2:R140,8,FALSE)</f>
        <v>6</v>
      </c>
      <c r="C6" s="69" t="s">
        <v>128</v>
      </c>
      <c r="D6" s="222" t="str">
        <f>VLOOKUP(B1,ИД!D2:R140,14,FALSE)</f>
        <v>автомобильной дороги «А-380 «Гузор-Бухоро-Нукус-Бейнеу»</v>
      </c>
      <c r="E6" s="223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103 представляет собой участок  Подъезд к карьеру "Qizilqala-1", который начинается от автомобильной дороги «А-380 «Гузор-Бухоро-Нукус-Бейнеу» и следует до карьера "Qizilqala-1".</v>
      </c>
      <c r="AM6" s="224" t="str">
        <f>VLOOKUP(B3,N5:O7,2,FALSE)</f>
        <v>Маршрут № У 103 представляет собой участок частной автомобильной дороги «Подъезд к карьеру "Qizilqala-1"», который начинается от автомобильной дороги «А-380 «Гузор-Бухоро-Нукус-Бейнеу» и следует до карьера "Qizilqala-1".</v>
      </c>
      <c r="AN6" s="225"/>
      <c r="AO6" s="226"/>
    </row>
    <row r="7" spans="1:58" ht="42" customHeight="1" thickBot="1" x14ac:dyDescent="0.35">
      <c r="B7" s="100" t="str">
        <f>VLOOKUP(B1,ИД!D2:R140,11,FALSE)</f>
        <v>частная</v>
      </c>
      <c r="C7" s="69" t="s">
        <v>129</v>
      </c>
      <c r="D7" s="230" t="str">
        <f>VLOOKUP(B1,ИД!D2:R140,15,FALSE)</f>
        <v>карьера "Qizilqala-1"</v>
      </c>
      <c r="E7" s="230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103 представляет собой подъезд к карьеру "Qizilqala-1" от автомобильной дороги «А-380 «Гузор-Бухоро-Нукус-Бейнеу».</v>
      </c>
      <c r="AM7" s="227"/>
      <c r="AN7" s="228"/>
      <c r="AO7" s="229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2.7</v>
      </c>
      <c r="C12" s="36">
        <f>B12-A12</f>
        <v>2.7</v>
      </c>
      <c r="D12" s="56">
        <v>7</v>
      </c>
      <c r="E12" s="57" t="s">
        <v>262</v>
      </c>
      <c r="F12" s="57" t="s">
        <v>108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IFERROR(VLOOKUP(Таблица438323234612131415181920212224252829303132[[#This Row],[Деф 1]],Лист1!$A$4:$F$60,2,FALSE),"")</f>
        <v xml:space="preserve">редкие выбоины на гравийном покрытии на расстоянии 6-8 м между выбоинами; </v>
      </c>
      <c r="O12" s="30" t="str">
        <f>IFERROR(VLOOKUP(Таблица438323234612131415181920212224252829303132[[#This Row],[Деф 2]],Лист1!$A$4:$F$60,2,FALSE),"")</f>
        <v/>
      </c>
      <c r="P12" s="30" t="str">
        <f>IFERROR(VLOOKUP(Таблица438323234612131415181920212224252829303132[[#This Row],[Столбец4]],Лист1!$A$4:$F$60,2,FALSE),"")</f>
        <v/>
      </c>
      <c r="Q12" s="30" t="str">
        <f>IFERROR(VLOOKUP(Таблица438323234612131415181920212224252829303132[[#This Row],[Столбец5]],Лист1!$A$4:$F$60,2,FALSE),"")</f>
        <v/>
      </c>
      <c r="R12" s="30" t="str">
        <f>IFERROR(VLOOKUP(Таблица438323234612131415181920212224252829303132[[#This Row],[Столбец6]],Лист1!$A$4:$F$60,2,FALSE),"")</f>
        <v/>
      </c>
      <c r="S12" s="30" t="str">
        <f>IFERROR(VLOOKUP(Таблица438323234612131415181920212224252829303132[[#This Row],[Столбец7]],Лист1!$A$4:$F$60,2,FALSE),"")</f>
        <v/>
      </c>
      <c r="T12" s="30" t="str">
        <f>IFERROR(VLOOKUP(Таблица438323234612131415181920212224252829303132[[#This Row],[Столбец8]],Лист1!$A$4:$F$60,2,FALSE),"")</f>
        <v/>
      </c>
      <c r="U12" s="75" t="str">
        <f>IFERROR(VLOOKUP(Таблица438323234612131415181920212224252829303132[[#This Row],[Столбец9]],Лист1!$A$4:$F$60,2,FALSE),"")</f>
        <v/>
      </c>
      <c r="V12" s="31">
        <f>IFERROR(VLOOKUP(Таблица438323234612131415181920212224252829303132[[#This Row],[Деф 1]],Лист1!$A$4:$F$60,3,FALSE),"")</f>
        <v>3.5</v>
      </c>
      <c r="W12" s="31" t="str">
        <f>IFERROR(VLOOKUP(Таблица438323234612131415181920212224252829303132[[#This Row],[Деф 2]],Лист1!$A$4:$F$60,3,FALSE),"")</f>
        <v/>
      </c>
      <c r="X12" s="31" t="str">
        <f>IFERROR(VLOOKUP(Таблица438323234612131415181920212224252829303132[[#This Row],[Столбец4]],Лист1!$A$4:$F$60,3,FALSE),"")</f>
        <v/>
      </c>
      <c r="Y12" s="31" t="str">
        <f>IFERROR(VLOOKUP(Таблица438323234612131415181920212224252829303132[[#This Row],[Столбец5]],Лист1!$A$4:$F$60,3,FALSE),"")</f>
        <v/>
      </c>
      <c r="Z12" s="31" t="str">
        <f>IFERROR(VLOOKUP(Таблица438323234612131415181920212224252829303132[[#This Row],[Столбец6]],Лист1!$A$4:$F$60,3,FALSE),"")</f>
        <v/>
      </c>
      <c r="AA12" s="31" t="str">
        <f>IFERROR(VLOOKUP(Таблица438323234612131415181920212224252829303132[[#This Row],[Столбец7]],Лист1!$A$4:$F$60,3,FALSE),"")</f>
        <v/>
      </c>
      <c r="AB12" s="31" t="str">
        <f>IFERROR(VLOOKUP(Таблица438323234612131415181920212224252829303132[[#This Row],[Столбец8]],Лист1!$A$4:$F$60,3,FALSE),"")</f>
        <v/>
      </c>
      <c r="AC12" s="31" t="str">
        <f>IFERROR(VLOOKUP(Таблица438323234612131415181920212224252829303132[[#This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2.7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2</v>
      </c>
      <c r="AI12" s="34">
        <f t="shared" ref="AI12" si="5">ROUND((AE12-AH12)*1000,0)</f>
        <v>700</v>
      </c>
      <c r="AJ12" s="34" t="str">
        <f>IF(Таблица438323234612131415181920212224252829303132[[#This Row],[Столбец42]]=0,"000",Таблица438323234612131415181920212224252829303132[[#This Row],[Столбец42]])</f>
        <v>000</v>
      </c>
      <c r="AK12" s="34">
        <f>IF(Таблица438323234612131415181920212224252829303132[[#This Row],[Столбец44]]=0,"000",Таблица438323234612131415181920212224252829303132[[#This Row],[Столбец44]])</f>
        <v>700</v>
      </c>
      <c r="AL12" s="45"/>
      <c r="AM12" s="40" t="str">
        <f t="shared" ref="AM12" si="6">CONCATENATE("км ",AF12,"+",AJ12," - км ",AH12,"+",AK12)</f>
        <v>км 0+000 - км 2+700</v>
      </c>
      <c r="AN12" s="44" t="str">
        <f>IF(ISBLANK(Таблица438323234612131415181920212224252829303132[[#This Row],[Столбец9]]),N12&amp;O12&amp;P12&amp;Q12&amp;R12&amp;S12&amp;T12&amp;U12,N12&amp;O12&amp;P12&amp;Q12&amp;R12&amp;S12&amp;T12&amp;U12&amp;";")</f>
        <v xml:space="preserve">редкие выбоины на гравийном покрытии на расстоянии 6-8 м между выбоинами; </v>
      </c>
      <c r="AO12" s="44" t="str">
        <f>UPPER(LEFT(Таблица438323234612131415181920212224252829303132[[#This Row],[Столбец48]],1))&amp;RIGHT(LOWER(Таблица438323234612131415181920212224252829303132[[#This Row],[Столбец48]]),LEN(Таблица438323234612131415181920212224252829303132[[#This Row],[Столбец48]])-1)</f>
        <v xml:space="preserve">Редкие выбоины на гравийном покрытии на расстоянии 6-8 м между выбоинами; </v>
      </c>
      <c r="AP12" s="35">
        <f>MIN(V12:AC12)</f>
        <v>3.5</v>
      </c>
      <c r="AQ12" s="34">
        <f>AP12*$C12</f>
        <v>9.4500000000000011</v>
      </c>
      <c r="AR12" s="46"/>
      <c r="AS12" s="42">
        <f t="shared" ref="AS12:AT12" si="7">AD12</f>
        <v>0</v>
      </c>
      <c r="AT12" s="42">
        <f t="shared" si="7"/>
        <v>2.7</v>
      </c>
      <c r="AU12" s="40" t="str">
        <f t="shared" ref="AU12" si="8">E12</f>
        <v>ЩПС</v>
      </c>
      <c r="AV12" s="43">
        <f t="shared" ref="AV12" si="9">D12</f>
        <v>7</v>
      </c>
      <c r="AW12" s="43">
        <f t="shared" ref="AW12" si="10">IF(AP12=0,"-",AP12)</f>
        <v>3.5</v>
      </c>
      <c r="AX12" s="45"/>
      <c r="AY12" s="42" t="str">
        <f>Таблица438323234612131415181920212224252829303132[[#This Row],[Адрес дефекта, км +]]</f>
        <v>км 0+000 - км 2+700</v>
      </c>
      <c r="AZ12" s="43">
        <f>Таблица438323234612131415181920212224252829303132[[#This Row],[Столбец55]]</f>
        <v>3.5</v>
      </c>
      <c r="BA12" s="41">
        <f>Таблица438323234612131415181920212224252829303132[[#This Row],[Столбец59]]</f>
        <v>0.85</v>
      </c>
      <c r="BB12" s="45"/>
      <c r="BC12" s="45"/>
      <c r="BD12" s="40" t="str">
        <f>Таблица438323234612131415181920212224252829303132[[#This Row],[Адрес дефекта, км +]]</f>
        <v>км 0+000 - км 2+700</v>
      </c>
      <c r="BE12" s="41">
        <f>ROUND(1-((5-Таблица438323234612131415181920212224252829303132[[#This Row],[Балл минимальный]])/10),2)</f>
        <v>0.85</v>
      </c>
      <c r="BF12" s="40">
        <f t="shared" ref="BF12" si="11">ROUND(BE12*$N$4,0)</f>
        <v>140</v>
      </c>
    </row>
    <row r="13" spans="1:58" ht="47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5:D5"/>
    <mergeCell ref="G5:J5"/>
    <mergeCell ref="K5:L5"/>
    <mergeCell ref="D6:E6"/>
    <mergeCell ref="AM6:AO7"/>
    <mergeCell ref="D7:E7"/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</mergeCells>
  <dataValidations count="2">
    <dataValidation type="list" allowBlank="1" showInputMessage="1" showErrorMessage="1" sqref="B3" xr:uid="{00000000-0002-0000-2100-000000000000}">
      <formula1>"дорога,улица,подъезд"</formula1>
    </dataValidation>
    <dataValidation type="list" allowBlank="1" showInputMessage="1" showErrorMessage="1" sqref="E2" xr:uid="{00000000-0002-0000-2100-000001000000}">
      <formula1>"капитальная,облегченная"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W209"/>
  <sheetViews>
    <sheetView zoomScale="85" zoomScaleNormal="85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8.83203125" defaultRowHeight="15" x14ac:dyDescent="0.2"/>
  <cols>
    <col min="1" max="1" width="4.5" customWidth="1"/>
    <col min="2" max="2" width="5.5" customWidth="1"/>
    <col min="3" max="3" width="4.5" customWidth="1"/>
    <col min="5" max="5" width="37.5" customWidth="1"/>
    <col min="6" max="6" width="9.6640625" customWidth="1"/>
    <col min="7" max="8" width="19.6640625" customWidth="1"/>
    <col min="9" max="9" width="11.6640625" style="99" customWidth="1"/>
    <col min="10" max="10" width="51" customWidth="1"/>
    <col min="11" max="11" width="9.6640625" customWidth="1"/>
    <col min="12" max="12" width="15.5" customWidth="1"/>
    <col min="13" max="13" width="13.5" style="71" customWidth="1"/>
    <col min="14" max="14" width="15.5" customWidth="1"/>
    <col min="15" max="15" width="5.83203125" customWidth="1"/>
    <col min="16" max="16" width="14.5" customWidth="1"/>
    <col min="17" max="17" width="39.5" customWidth="1"/>
    <col min="18" max="18" width="41.6640625" customWidth="1"/>
    <col min="20" max="23" width="15.6640625" customWidth="1"/>
  </cols>
  <sheetData>
    <row r="1" spans="1:23" ht="32.5" customHeight="1" x14ac:dyDescent="0.2">
      <c r="D1" s="70" t="s">
        <v>130</v>
      </c>
      <c r="E1" s="149" t="s">
        <v>131</v>
      </c>
      <c r="F1" s="149" t="s">
        <v>83</v>
      </c>
      <c r="G1" s="149" t="s">
        <v>81</v>
      </c>
      <c r="H1" s="103" t="s">
        <v>133</v>
      </c>
      <c r="I1" s="150" t="s">
        <v>139</v>
      </c>
      <c r="J1" s="103" t="s">
        <v>134</v>
      </c>
      <c r="K1" s="149" t="s">
        <v>80</v>
      </c>
      <c r="L1" s="149" t="s">
        <v>90</v>
      </c>
      <c r="M1" s="149" t="s">
        <v>132</v>
      </c>
      <c r="N1" s="149" t="s">
        <v>133</v>
      </c>
      <c r="O1" s="172"/>
      <c r="P1" s="105"/>
      <c r="Q1" s="104" t="s">
        <v>128</v>
      </c>
      <c r="R1" s="104" t="s">
        <v>129</v>
      </c>
      <c r="T1" s="153" t="s">
        <v>162</v>
      </c>
      <c r="U1" s="153" t="s">
        <v>163</v>
      </c>
      <c r="V1" s="153" t="s">
        <v>164</v>
      </c>
      <c r="W1" s="153" t="s">
        <v>165</v>
      </c>
    </row>
    <row r="2" spans="1:23" ht="54" customHeight="1" x14ac:dyDescent="0.2">
      <c r="A2" s="111" t="s">
        <v>172</v>
      </c>
      <c r="B2" s="111">
        <v>1</v>
      </c>
      <c r="C2" s="111"/>
      <c r="D2" s="106" t="str">
        <f t="shared" ref="D2:D31" si="0">IF(ISBLANK(C2), A2&amp;" "&amp;B2, A2&amp;" "&amp;B2&amp;"."&amp;C2)</f>
        <v>У 1</v>
      </c>
      <c r="E2" s="107" t="s">
        <v>271</v>
      </c>
      <c r="F2" s="107" t="s">
        <v>84</v>
      </c>
      <c r="G2" s="107" t="s">
        <v>173</v>
      </c>
      <c r="H2" s="107" t="s">
        <v>174</v>
      </c>
      <c r="I2" s="184" t="s">
        <v>140</v>
      </c>
      <c r="J2" s="181" t="str">
        <f>"от "&amp;Q2&amp;" до "&amp;R2</f>
        <v>от автомобильной дороги "Подъезд к ст. Мискин" до автомобильной дороги "Подъезд к ст. Караузяк"</v>
      </c>
      <c r="K2" s="196" t="s">
        <v>272</v>
      </c>
      <c r="L2" s="170">
        <f>1.1+25.5+28.6+4.2+3.2+30.6+4.5+24.5</f>
        <v>122.20000000000002</v>
      </c>
      <c r="M2" s="108"/>
      <c r="N2" s="109" t="s">
        <v>159</v>
      </c>
      <c r="O2" s="110">
        <v>1</v>
      </c>
      <c r="P2" s="182"/>
      <c r="Q2" s="183" t="s">
        <v>216</v>
      </c>
      <c r="R2" s="183" t="s">
        <v>215</v>
      </c>
      <c r="T2" s="154"/>
      <c r="U2" s="154"/>
      <c r="V2" s="154"/>
      <c r="W2" s="154"/>
    </row>
    <row r="3" spans="1:23" ht="54" customHeight="1" x14ac:dyDescent="0.2">
      <c r="A3" s="111" t="s">
        <v>172</v>
      </c>
      <c r="B3" s="111">
        <v>5</v>
      </c>
      <c r="C3" s="111"/>
      <c r="D3" s="106" t="str">
        <f t="shared" ref="D3:D12" si="1">IF(ISBLANK(C3), A3&amp;" "&amp;B3, A3&amp;" "&amp;B3&amp;"."&amp;C3)</f>
        <v>У 5</v>
      </c>
      <c r="E3" s="197" t="s">
        <v>177</v>
      </c>
      <c r="F3" s="197" t="s">
        <v>84</v>
      </c>
      <c r="G3" s="197" t="s">
        <v>190</v>
      </c>
      <c r="H3" s="197" t="s">
        <v>174</v>
      </c>
      <c r="I3" s="198" t="s">
        <v>140</v>
      </c>
      <c r="J3" s="199" t="str">
        <f t="shared" ref="J3:J10" si="2">"от "&amp;Q3&amp;" до "&amp;R3</f>
        <v>от автомобильной дороги А-380 «Гузор-Бухоро-Нукус-Бейнеу» до ул. Матнафакова</v>
      </c>
      <c r="K3" s="200">
        <v>7.5</v>
      </c>
      <c r="L3" s="200">
        <v>2.5</v>
      </c>
      <c r="M3" s="201"/>
      <c r="N3" s="202" t="s">
        <v>178</v>
      </c>
      <c r="O3" s="203">
        <v>2</v>
      </c>
      <c r="P3" s="204"/>
      <c r="Q3" s="205" t="s">
        <v>211</v>
      </c>
      <c r="R3" s="205" t="s">
        <v>179</v>
      </c>
      <c r="T3" s="154"/>
      <c r="U3" s="154"/>
      <c r="V3" s="154"/>
      <c r="W3" s="154"/>
    </row>
    <row r="4" spans="1:23" ht="54" customHeight="1" x14ac:dyDescent="0.2">
      <c r="A4" s="111" t="s">
        <v>172</v>
      </c>
      <c r="B4" s="111">
        <v>6</v>
      </c>
      <c r="C4" s="111"/>
      <c r="D4" s="106" t="str">
        <f t="shared" si="1"/>
        <v>У 6</v>
      </c>
      <c r="E4" s="197" t="s">
        <v>189</v>
      </c>
      <c r="F4" s="197" t="s">
        <v>87</v>
      </c>
      <c r="G4" s="197" t="s">
        <v>190</v>
      </c>
      <c r="H4" s="197" t="s">
        <v>203</v>
      </c>
      <c r="I4" s="198" t="s">
        <v>140</v>
      </c>
      <c r="J4" s="199" t="str">
        <f t="shared" si="2"/>
        <v>от автомобильной дороги 4р161 "Урганч-Чолиш-Беруний-Бустон" до автомобильной дороги "Подъезд к восточному карьеру р. Амударья"</v>
      </c>
      <c r="K4" s="200">
        <v>7</v>
      </c>
      <c r="L4" s="200">
        <v>7.3</v>
      </c>
      <c r="M4" s="201"/>
      <c r="N4" s="202" t="s">
        <v>178</v>
      </c>
      <c r="O4" s="203">
        <v>2</v>
      </c>
      <c r="P4" s="204"/>
      <c r="Q4" s="205" t="s">
        <v>213</v>
      </c>
      <c r="R4" s="205" t="s">
        <v>217</v>
      </c>
      <c r="T4" s="154"/>
      <c r="U4" s="154"/>
      <c r="V4" s="154"/>
      <c r="W4" s="154"/>
    </row>
    <row r="5" spans="1:23" ht="54" customHeight="1" x14ac:dyDescent="0.2">
      <c r="A5" s="111" t="s">
        <v>172</v>
      </c>
      <c r="B5" s="111">
        <v>7</v>
      </c>
      <c r="C5" s="111">
        <v>1</v>
      </c>
      <c r="D5" s="106" t="str">
        <f t="shared" si="1"/>
        <v>У 7.1</v>
      </c>
      <c r="E5" s="217" t="s">
        <v>290</v>
      </c>
      <c r="F5" s="197" t="s">
        <v>91</v>
      </c>
      <c r="G5" s="197" t="s">
        <v>190</v>
      </c>
      <c r="H5" s="197" t="s">
        <v>203</v>
      </c>
      <c r="I5" s="198" t="s">
        <v>201</v>
      </c>
      <c r="J5" s="199" t="str">
        <f>"от "&amp;Q5&amp;" до "&amp;R5</f>
        <v xml:space="preserve">от автомобильной дороги 4К96 до автодороги А-380 «Гузор-Бухоро-Нукус-Бейнеу»                           </v>
      </c>
      <c r="K5" s="200" t="s">
        <v>202</v>
      </c>
      <c r="L5" s="200">
        <v>7.7</v>
      </c>
      <c r="M5" s="201"/>
      <c r="N5" s="202" t="s">
        <v>178</v>
      </c>
      <c r="O5" s="203">
        <v>2</v>
      </c>
      <c r="P5" s="204"/>
      <c r="Q5" s="205" t="s">
        <v>214</v>
      </c>
      <c r="R5" s="205" t="s">
        <v>277</v>
      </c>
      <c r="T5" s="154"/>
      <c r="U5" s="154"/>
      <c r="V5" s="154"/>
      <c r="W5" s="154"/>
    </row>
    <row r="6" spans="1:23" ht="54" customHeight="1" x14ac:dyDescent="0.2">
      <c r="A6" s="111" t="s">
        <v>172</v>
      </c>
      <c r="B6" s="111">
        <v>7</v>
      </c>
      <c r="C6" s="111">
        <v>2</v>
      </c>
      <c r="D6" s="106" t="str">
        <f t="shared" si="1"/>
        <v>У 7.2</v>
      </c>
      <c r="E6" s="217" t="s">
        <v>291</v>
      </c>
      <c r="F6" s="197" t="s">
        <v>204</v>
      </c>
      <c r="G6" s="197" t="s">
        <v>190</v>
      </c>
      <c r="H6" s="197" t="s">
        <v>174</v>
      </c>
      <c r="I6" s="198" t="s">
        <v>140</v>
      </c>
      <c r="J6" s="199" t="str">
        <f>"от "&amp;Q6&amp;" до "&amp;R6</f>
        <v>от автомобильной дорогиА-380 «Гузор-Бухоро-Нукус-Бейнеу» до автомобильной дороги "А380 а/йули (662км)дан -Кизилкалъа-Бустон-Гулдурсун-Турткул"</v>
      </c>
      <c r="K6" s="200">
        <v>7</v>
      </c>
      <c r="L6" s="200">
        <v>21.6</v>
      </c>
      <c r="M6" s="201"/>
      <c r="N6" s="202" t="s">
        <v>178</v>
      </c>
      <c r="O6" s="203">
        <v>2</v>
      </c>
      <c r="P6" s="204"/>
      <c r="Q6" s="205" t="s">
        <v>212</v>
      </c>
      <c r="R6" s="205" t="s">
        <v>205</v>
      </c>
      <c r="T6" s="154"/>
      <c r="U6" s="154"/>
      <c r="V6" s="154"/>
      <c r="W6" s="154"/>
    </row>
    <row r="7" spans="1:23" ht="54" customHeight="1" x14ac:dyDescent="0.2">
      <c r="A7" s="111" t="s">
        <v>172</v>
      </c>
      <c r="B7" s="111">
        <v>8</v>
      </c>
      <c r="C7" s="111">
        <v>1</v>
      </c>
      <c r="D7" s="106" t="str">
        <f t="shared" si="1"/>
        <v>У 8.1</v>
      </c>
      <c r="E7" s="217" t="s">
        <v>289</v>
      </c>
      <c r="F7" s="218" t="s">
        <v>91</v>
      </c>
      <c r="G7" s="197" t="s">
        <v>190</v>
      </c>
      <c r="H7" s="197" t="s">
        <v>174</v>
      </c>
      <c r="I7" s="198" t="s">
        <v>140</v>
      </c>
      <c r="J7" s="199" t="str">
        <f t="shared" si="2"/>
        <v>от автомобильной дороги А-380 «Гузор-Бухоро-Нукус-Бейнеу» до ул. Навруз г. Беруни</v>
      </c>
      <c r="K7" s="216" t="s">
        <v>202</v>
      </c>
      <c r="L7" s="200">
        <v>0.9</v>
      </c>
      <c r="M7" s="201"/>
      <c r="N7" s="202" t="s">
        <v>178</v>
      </c>
      <c r="O7" s="203">
        <v>2</v>
      </c>
      <c r="P7" s="204"/>
      <c r="Q7" s="205" t="s">
        <v>211</v>
      </c>
      <c r="R7" s="205" t="s">
        <v>206</v>
      </c>
      <c r="T7" s="154"/>
      <c r="U7" s="154"/>
      <c r="V7" s="154"/>
      <c r="W7" s="154"/>
    </row>
    <row r="8" spans="1:23" ht="54" customHeight="1" x14ac:dyDescent="0.2">
      <c r="A8" s="111" t="s">
        <v>172</v>
      </c>
      <c r="B8" s="111">
        <v>8</v>
      </c>
      <c r="C8" s="111">
        <v>2</v>
      </c>
      <c r="D8" s="106" t="str">
        <f t="shared" si="1"/>
        <v>У 8.2</v>
      </c>
      <c r="E8" s="217" t="s">
        <v>288</v>
      </c>
      <c r="F8" s="218" t="s">
        <v>91</v>
      </c>
      <c r="G8" s="197" t="s">
        <v>190</v>
      </c>
      <c r="H8" s="197" t="s">
        <v>174</v>
      </c>
      <c r="I8" s="208" t="s">
        <v>140</v>
      </c>
      <c r="J8" s="209" t="str">
        <f t="shared" si="2"/>
        <v>от автомобильной дороги "Проезд вдоль промзоны г. Беруни" до поворота на ж.б. завод ООО "QIYAT AGRO SERVIS"</v>
      </c>
      <c r="K8" s="200">
        <v>9</v>
      </c>
      <c r="L8" s="210">
        <v>0.5</v>
      </c>
      <c r="M8" s="211"/>
      <c r="N8" s="202" t="s">
        <v>178</v>
      </c>
      <c r="O8" s="212">
        <v>2</v>
      </c>
      <c r="P8" s="213"/>
      <c r="Q8" s="214" t="s">
        <v>207</v>
      </c>
      <c r="R8" s="214" t="s">
        <v>208</v>
      </c>
      <c r="T8" s="154"/>
      <c r="U8" s="154"/>
      <c r="V8" s="154"/>
      <c r="W8" s="154"/>
    </row>
    <row r="9" spans="1:23" ht="54" customHeight="1" x14ac:dyDescent="0.2">
      <c r="A9" s="111" t="s">
        <v>172</v>
      </c>
      <c r="B9" s="111">
        <v>9</v>
      </c>
      <c r="C9" s="111"/>
      <c r="D9" s="106" t="str">
        <f t="shared" si="1"/>
        <v>У 9</v>
      </c>
      <c r="E9" s="197" t="s">
        <v>222</v>
      </c>
      <c r="F9" s="207" t="s">
        <v>84</v>
      </c>
      <c r="G9" s="197" t="s">
        <v>190</v>
      </c>
      <c r="H9" s="197" t="s">
        <v>174</v>
      </c>
      <c r="I9" s="208" t="s">
        <v>140</v>
      </c>
      <c r="J9" s="209" t="str">
        <f t="shared" si="2"/>
        <v>от автомобильной дороги 4р161 «Урганч-Чолиш-Беруний-Бустон» до местной дороги "Подъезд к кладбищу г. Беруни"</v>
      </c>
      <c r="K9" s="200">
        <v>6</v>
      </c>
      <c r="L9" s="210">
        <v>1.2</v>
      </c>
      <c r="M9" s="211"/>
      <c r="N9" s="202" t="s">
        <v>178</v>
      </c>
      <c r="O9" s="212">
        <v>2</v>
      </c>
      <c r="P9" s="213"/>
      <c r="Q9" s="214" t="s">
        <v>221</v>
      </c>
      <c r="R9" s="214" t="s">
        <v>223</v>
      </c>
      <c r="T9" s="154"/>
      <c r="U9" s="154"/>
      <c r="V9" s="154"/>
      <c r="W9" s="154"/>
    </row>
    <row r="10" spans="1:23" ht="54" customHeight="1" x14ac:dyDescent="0.2">
      <c r="A10" s="111" t="s">
        <v>172</v>
      </c>
      <c r="B10" s="111">
        <v>10</v>
      </c>
      <c r="C10" s="111"/>
      <c r="D10" s="106" t="str">
        <f t="shared" si="1"/>
        <v>У 10</v>
      </c>
      <c r="E10" s="207" t="s">
        <v>237</v>
      </c>
      <c r="F10" s="207" t="s">
        <v>84</v>
      </c>
      <c r="G10" s="197" t="s">
        <v>190</v>
      </c>
      <c r="H10" s="197" t="s">
        <v>174</v>
      </c>
      <c r="I10" s="208" t="s">
        <v>140</v>
      </c>
      <c r="J10" s="209" t="str">
        <f t="shared" si="2"/>
        <v>от автомобильной дороги А-380 «Гузор-Бухоро-Нукус-Бейнеу» до местной дороги "Подъезд к НРС 17 Элликкала"</v>
      </c>
      <c r="K10" s="215">
        <v>8</v>
      </c>
      <c r="L10" s="210">
        <v>31.8</v>
      </c>
      <c r="M10" s="211"/>
      <c r="N10" s="202" t="s">
        <v>178</v>
      </c>
      <c r="O10" s="212">
        <v>2</v>
      </c>
      <c r="P10" s="213"/>
      <c r="Q10" s="205" t="s">
        <v>211</v>
      </c>
      <c r="R10" s="214" t="s">
        <v>242</v>
      </c>
      <c r="T10" s="154"/>
      <c r="U10" s="154"/>
      <c r="V10" s="154"/>
      <c r="W10" s="154"/>
    </row>
    <row r="11" spans="1:23" ht="54" customHeight="1" x14ac:dyDescent="0.2">
      <c r="A11" s="111" t="s">
        <v>172</v>
      </c>
      <c r="B11" s="111">
        <v>11</v>
      </c>
      <c r="C11" s="111"/>
      <c r="D11" s="106" t="str">
        <f t="shared" si="1"/>
        <v>У 11</v>
      </c>
      <c r="E11" s="207" t="s">
        <v>246</v>
      </c>
      <c r="F11" s="207" t="s">
        <v>87</v>
      </c>
      <c r="G11" s="197" t="s">
        <v>190</v>
      </c>
      <c r="H11" s="197" t="s">
        <v>174</v>
      </c>
      <c r="I11" s="208" t="s">
        <v>140</v>
      </c>
      <c r="J11" s="209" t="str">
        <f t="shared" ref="J11:J12" si="3">"от "&amp;Q11&amp;" до "&amp;R11</f>
        <v>от автомобильной дороги "4р182 А380 а/йули (662км)дан -Кизилкалъа-Бустон-Гулдурсун-Турткул" до автомобильной дороги 4н 103 а/йули (13км)дан Аязкалъа кургонига  а/йули</v>
      </c>
      <c r="K11" s="215">
        <v>7</v>
      </c>
      <c r="L11" s="210">
        <v>12.8</v>
      </c>
      <c r="M11" s="211"/>
      <c r="N11" s="202" t="s">
        <v>178</v>
      </c>
      <c r="O11" s="212">
        <v>2</v>
      </c>
      <c r="P11" s="213"/>
      <c r="Q11" s="214" t="s">
        <v>243</v>
      </c>
      <c r="R11" s="214" t="s">
        <v>245</v>
      </c>
      <c r="T11" s="154"/>
      <c r="U11" s="154"/>
      <c r="V11" s="154"/>
      <c r="W11" s="154"/>
    </row>
    <row r="12" spans="1:23" ht="54" customHeight="1" x14ac:dyDescent="0.2">
      <c r="A12" s="111" t="s">
        <v>172</v>
      </c>
      <c r="B12" s="111">
        <v>12</v>
      </c>
      <c r="C12" s="111"/>
      <c r="D12" s="106" t="str">
        <f t="shared" si="1"/>
        <v>У 12</v>
      </c>
      <c r="E12" s="207" t="s">
        <v>244</v>
      </c>
      <c r="F12" s="207" t="s">
        <v>87</v>
      </c>
      <c r="G12" s="197" t="s">
        <v>190</v>
      </c>
      <c r="H12" s="197" t="s">
        <v>174</v>
      </c>
      <c r="I12" s="208" t="s">
        <v>140</v>
      </c>
      <c r="J12" s="209" t="str">
        <f t="shared" si="3"/>
        <v>от автомобильной дороги "4Н103 4р 182 а/йули (28км)дан-                   Чайка овули-Гулистон ОФЙга" до автодороги "Подъезд к старому карьеру"</v>
      </c>
      <c r="K12" s="215">
        <v>6</v>
      </c>
      <c r="L12" s="210">
        <v>7.9</v>
      </c>
      <c r="M12" s="211"/>
      <c r="N12" s="202" t="s">
        <v>178</v>
      </c>
      <c r="O12" s="212">
        <v>2</v>
      </c>
      <c r="P12" s="213"/>
      <c r="Q12" s="214" t="s">
        <v>247</v>
      </c>
      <c r="R12" s="214" t="s">
        <v>251</v>
      </c>
      <c r="T12" s="154"/>
      <c r="U12" s="154"/>
      <c r="V12" s="154"/>
      <c r="W12" s="154"/>
    </row>
    <row r="13" spans="1:23" ht="30" customHeight="1" x14ac:dyDescent="0.2">
      <c r="A13" s="111" t="s">
        <v>172</v>
      </c>
      <c r="B13" s="111">
        <v>25</v>
      </c>
      <c r="C13" s="111"/>
      <c r="D13" s="161" t="str">
        <f t="shared" si="0"/>
        <v>У 25</v>
      </c>
      <c r="E13" s="173" t="s">
        <v>175</v>
      </c>
      <c r="F13" s="173" t="s">
        <v>92</v>
      </c>
      <c r="G13" s="173" t="s">
        <v>185</v>
      </c>
      <c r="H13" s="173" t="s">
        <v>180</v>
      </c>
      <c r="I13" s="174" t="s">
        <v>140</v>
      </c>
      <c r="J13" s="175" t="str">
        <f t="shared" ref="J13:J32" si="4">"от "&amp;Q13&amp;" до "&amp;R13</f>
        <v>от автомобильной дороги А-380 «Гузор-Бухоро-Нукус-Бейнеу» до местной дороги "Подъезд к ж.д. пути № 20 "</v>
      </c>
      <c r="K13" s="176">
        <v>7.5</v>
      </c>
      <c r="L13" s="177">
        <v>0.6</v>
      </c>
      <c r="M13" s="178"/>
      <c r="N13" s="179" t="s">
        <v>160</v>
      </c>
      <c r="O13" s="180">
        <v>3</v>
      </c>
      <c r="P13" s="119"/>
      <c r="Q13" s="206" t="s">
        <v>211</v>
      </c>
      <c r="R13" s="206" t="s">
        <v>186</v>
      </c>
      <c r="T13" s="154"/>
      <c r="U13" s="154"/>
      <c r="V13" s="154"/>
      <c r="W13" s="154"/>
    </row>
    <row r="14" spans="1:23" ht="39" customHeight="1" x14ac:dyDescent="0.2">
      <c r="A14" s="111" t="s">
        <v>172</v>
      </c>
      <c r="B14" s="111">
        <v>26</v>
      </c>
      <c r="C14" s="111"/>
      <c r="D14" s="161" t="str">
        <f t="shared" si="0"/>
        <v>У 26</v>
      </c>
      <c r="E14" s="112" t="s">
        <v>176</v>
      </c>
      <c r="F14" s="112" t="s">
        <v>87</v>
      </c>
      <c r="G14" s="173" t="s">
        <v>185</v>
      </c>
      <c r="H14" s="173" t="s">
        <v>180</v>
      </c>
      <c r="I14" s="113" t="s">
        <v>140</v>
      </c>
      <c r="J14" s="114" t="str">
        <f t="shared" si="4"/>
        <v>от местной дороги "Северо-Западный подъезд к ст. Мискин" до ж.д. пути № 20</v>
      </c>
      <c r="K14" s="115">
        <v>7</v>
      </c>
      <c r="L14" s="171">
        <v>0.2</v>
      </c>
      <c r="M14" s="116"/>
      <c r="N14" s="117" t="s">
        <v>160</v>
      </c>
      <c r="O14" s="118">
        <v>3</v>
      </c>
      <c r="P14" s="119"/>
      <c r="Q14" s="206" t="s">
        <v>187</v>
      </c>
      <c r="R14" s="206" t="s">
        <v>188</v>
      </c>
      <c r="T14" s="154"/>
      <c r="U14" s="154"/>
      <c r="V14" s="154"/>
      <c r="W14" s="154"/>
    </row>
    <row r="15" spans="1:23" ht="40.5" customHeight="1" x14ac:dyDescent="0.2">
      <c r="A15" s="111" t="s">
        <v>172</v>
      </c>
      <c r="B15" s="111">
        <v>27</v>
      </c>
      <c r="C15" s="111"/>
      <c r="D15" s="161" t="str">
        <f t="shared" si="0"/>
        <v>У 27</v>
      </c>
      <c r="E15" s="112" t="s">
        <v>179</v>
      </c>
      <c r="F15" s="112" t="s">
        <v>87</v>
      </c>
      <c r="G15" s="112" t="s">
        <v>167</v>
      </c>
      <c r="H15" s="173" t="s">
        <v>180</v>
      </c>
      <c r="I15" s="113" t="s">
        <v>170</v>
      </c>
      <c r="J15" s="114" t="str">
        <f t="shared" si="4"/>
        <v>от региональной дороги 4Р-171 Дорога ведущая в город Туркуль до автодороги "Подъезд к месту разгрузки ст. Туркуль"</v>
      </c>
      <c r="K15" s="115">
        <v>7</v>
      </c>
      <c r="L15" s="171">
        <v>1.1000000000000001</v>
      </c>
      <c r="M15" s="116"/>
      <c r="N15" s="117" t="s">
        <v>160</v>
      </c>
      <c r="O15" s="118">
        <v>3</v>
      </c>
      <c r="P15" s="119"/>
      <c r="Q15" s="206" t="s">
        <v>181</v>
      </c>
      <c r="R15" s="206" t="s">
        <v>182</v>
      </c>
      <c r="T15" s="154"/>
      <c r="U15" s="154"/>
      <c r="V15" s="154"/>
      <c r="W15" s="154"/>
    </row>
    <row r="16" spans="1:23" ht="30" customHeight="1" x14ac:dyDescent="0.2">
      <c r="A16" s="111" t="s">
        <v>172</v>
      </c>
      <c r="B16" s="111">
        <v>28</v>
      </c>
      <c r="C16" s="111"/>
      <c r="D16" s="161" t="str">
        <f t="shared" si="0"/>
        <v>У 28</v>
      </c>
      <c r="E16" s="112" t="s">
        <v>183</v>
      </c>
      <c r="F16" s="112" t="s">
        <v>168</v>
      </c>
      <c r="G16" s="112" t="s">
        <v>169</v>
      </c>
      <c r="H16" s="173" t="s">
        <v>180</v>
      </c>
      <c r="I16" s="113" t="s">
        <v>19</v>
      </c>
      <c r="J16" s="114" t="str">
        <f t="shared" si="4"/>
        <v>от ул. Матнафакова до места разгрузки ж.д. пути общего пользования № 3</v>
      </c>
      <c r="K16" s="115">
        <v>7</v>
      </c>
      <c r="L16" s="171">
        <v>0.3</v>
      </c>
      <c r="M16" s="116"/>
      <c r="N16" s="117" t="s">
        <v>160</v>
      </c>
      <c r="O16" s="118">
        <v>3</v>
      </c>
      <c r="P16" s="119"/>
      <c r="Q16" s="206" t="s">
        <v>179</v>
      </c>
      <c r="R16" s="206" t="s">
        <v>184</v>
      </c>
      <c r="T16" s="154"/>
      <c r="U16" s="154"/>
      <c r="V16" s="154"/>
      <c r="W16" s="154"/>
    </row>
    <row r="17" spans="1:23" ht="30" customHeight="1" x14ac:dyDescent="0.2">
      <c r="A17" s="111" t="s">
        <v>172</v>
      </c>
      <c r="B17" s="111">
        <v>29</v>
      </c>
      <c r="C17" s="111"/>
      <c r="D17" s="161" t="str">
        <f t="shared" si="0"/>
        <v>У 29</v>
      </c>
      <c r="E17" s="112" t="s">
        <v>191</v>
      </c>
      <c r="F17" s="112" t="s">
        <v>168</v>
      </c>
      <c r="G17" s="112" t="s">
        <v>169</v>
      </c>
      <c r="H17" s="112" t="s">
        <v>192</v>
      </c>
      <c r="I17" s="113" t="s">
        <v>19</v>
      </c>
      <c r="J17" s="114" t="str">
        <f t="shared" si="4"/>
        <v>от региональной дороги 4К96 до восточного карьера р. Амударья</v>
      </c>
      <c r="K17" s="115">
        <v>4</v>
      </c>
      <c r="L17" s="171">
        <v>0.6</v>
      </c>
      <c r="M17" s="116"/>
      <c r="N17" s="117" t="s">
        <v>160</v>
      </c>
      <c r="O17" s="118">
        <v>3</v>
      </c>
      <c r="P17" s="119"/>
      <c r="Q17" s="206" t="s">
        <v>194</v>
      </c>
      <c r="R17" s="206" t="s">
        <v>193</v>
      </c>
      <c r="T17" s="154"/>
      <c r="U17" s="154"/>
      <c r="V17" s="154"/>
      <c r="W17" s="154"/>
    </row>
    <row r="18" spans="1:23" ht="41.25" customHeight="1" x14ac:dyDescent="0.2">
      <c r="A18" s="111" t="s">
        <v>172</v>
      </c>
      <c r="B18" s="111">
        <v>30</v>
      </c>
      <c r="C18" s="111"/>
      <c r="D18" s="161" t="str">
        <f t="shared" si="0"/>
        <v>У 30</v>
      </c>
      <c r="E18" s="112" t="s">
        <v>195</v>
      </c>
      <c r="F18" s="112" t="s">
        <v>196</v>
      </c>
      <c r="G18" s="112" t="s">
        <v>198</v>
      </c>
      <c r="H18" s="112" t="s">
        <v>192</v>
      </c>
      <c r="I18" s="113" t="s">
        <v>197</v>
      </c>
      <c r="J18" s="114" t="str">
        <f t="shared" si="4"/>
        <v>от автодороги 4р161 "Урганч-Чолиш-Беруний-Бустон" до карьера №1</v>
      </c>
      <c r="K18" s="115" t="s">
        <v>281</v>
      </c>
      <c r="L18" s="171">
        <v>2.2999999999999998</v>
      </c>
      <c r="M18" s="116"/>
      <c r="N18" s="117" t="s">
        <v>160</v>
      </c>
      <c r="O18" s="118">
        <v>3</v>
      </c>
      <c r="P18" s="119"/>
      <c r="Q18" s="206" t="s">
        <v>199</v>
      </c>
      <c r="R18" s="206" t="s">
        <v>200</v>
      </c>
      <c r="T18" s="154"/>
      <c r="U18" s="154"/>
      <c r="V18" s="154"/>
      <c r="W18" s="154"/>
    </row>
    <row r="19" spans="1:23" ht="42" customHeight="1" x14ac:dyDescent="0.2">
      <c r="A19" s="111" t="s">
        <v>172</v>
      </c>
      <c r="B19" s="111">
        <v>31</v>
      </c>
      <c r="C19" s="111"/>
      <c r="D19" s="161" t="str">
        <f t="shared" si="0"/>
        <v>У 31</v>
      </c>
      <c r="E19" s="112" t="s">
        <v>209</v>
      </c>
      <c r="F19" s="112" t="s">
        <v>92</v>
      </c>
      <c r="G19" s="112" t="s">
        <v>102</v>
      </c>
      <c r="H19" s="112" t="s">
        <v>210</v>
      </c>
      <c r="I19" s="113" t="s">
        <v>140</v>
      </c>
      <c r="J19" s="114" t="str">
        <f t="shared" si="4"/>
        <v>от автомобильной дороги А-380 «Гузор-Бухоро-Нукус-Бейнеу» до автомобильной дороги 4р-171А А-380-Беруний шахрига кириш</v>
      </c>
      <c r="K19" s="115">
        <v>5.5</v>
      </c>
      <c r="L19" s="115">
        <v>0.4</v>
      </c>
      <c r="M19" s="116"/>
      <c r="N19" s="117" t="s">
        <v>160</v>
      </c>
      <c r="O19" s="118">
        <v>3</v>
      </c>
      <c r="P19" s="119"/>
      <c r="Q19" s="206" t="s">
        <v>211</v>
      </c>
      <c r="R19" s="206" t="s">
        <v>218</v>
      </c>
      <c r="T19" s="154"/>
      <c r="U19" s="154"/>
      <c r="V19" s="154"/>
      <c r="W19" s="154"/>
    </row>
    <row r="20" spans="1:23" ht="42" customHeight="1" x14ac:dyDescent="0.2">
      <c r="A20" s="111" t="s">
        <v>172</v>
      </c>
      <c r="B20" s="111">
        <v>32</v>
      </c>
      <c r="C20" s="111"/>
      <c r="D20" s="161" t="str">
        <f t="shared" si="0"/>
        <v>У 32</v>
      </c>
      <c r="E20" s="112" t="s">
        <v>219</v>
      </c>
      <c r="F20" s="112" t="s">
        <v>84</v>
      </c>
      <c r="G20" s="112" t="s">
        <v>167</v>
      </c>
      <c r="H20" s="112" t="s">
        <v>210</v>
      </c>
      <c r="I20" s="113" t="s">
        <v>140</v>
      </c>
      <c r="J20" s="114" t="str">
        <f t="shared" si="4"/>
        <v>от автомобильной дороги 4р-171А А-380-Беруний шахрига кириш до ул. Курувчилар</v>
      </c>
      <c r="K20" s="115">
        <v>8</v>
      </c>
      <c r="L20" s="115">
        <v>1</v>
      </c>
      <c r="M20" s="116"/>
      <c r="N20" s="117" t="s">
        <v>160</v>
      </c>
      <c r="O20" s="118">
        <v>3</v>
      </c>
      <c r="P20" s="119"/>
      <c r="Q20" s="120" t="s">
        <v>218</v>
      </c>
      <c r="R20" s="114" t="s">
        <v>220</v>
      </c>
      <c r="T20" s="154"/>
      <c r="U20" s="154"/>
      <c r="V20" s="154"/>
      <c r="W20" s="154"/>
    </row>
    <row r="21" spans="1:23" ht="42" customHeight="1" x14ac:dyDescent="0.2">
      <c r="A21" s="111" t="s">
        <v>172</v>
      </c>
      <c r="B21" s="111">
        <v>33</v>
      </c>
      <c r="C21" s="111"/>
      <c r="D21" s="161" t="str">
        <f t="shared" si="0"/>
        <v>У 33</v>
      </c>
      <c r="E21" s="112" t="s">
        <v>220</v>
      </c>
      <c r="F21" s="112" t="s">
        <v>84</v>
      </c>
      <c r="G21" s="112" t="s">
        <v>167</v>
      </c>
      <c r="H21" s="112" t="s">
        <v>210</v>
      </c>
      <c r="I21" s="113" t="s">
        <v>140</v>
      </c>
      <c r="J21" s="114" t="str">
        <f t="shared" si="4"/>
        <v>от ул. Навруз до автомобильной дороги 4р161 «Урганч-Чолиш-Беруний-Бустон»</v>
      </c>
      <c r="K21" s="115">
        <v>8</v>
      </c>
      <c r="L21" s="115">
        <v>0.4</v>
      </c>
      <c r="M21" s="116"/>
      <c r="N21" s="117" t="s">
        <v>160</v>
      </c>
      <c r="O21" s="118">
        <v>3</v>
      </c>
      <c r="P21" s="119"/>
      <c r="Q21" s="120" t="s">
        <v>219</v>
      </c>
      <c r="R21" s="120" t="s">
        <v>221</v>
      </c>
      <c r="T21" s="154"/>
      <c r="U21" s="154"/>
      <c r="V21" s="154"/>
      <c r="W21" s="154"/>
    </row>
    <row r="22" spans="1:23" ht="42" customHeight="1" x14ac:dyDescent="0.2">
      <c r="A22" s="111" t="s">
        <v>172</v>
      </c>
      <c r="B22" s="111">
        <v>34</v>
      </c>
      <c r="C22" s="111"/>
      <c r="D22" s="161" t="str">
        <f t="shared" si="0"/>
        <v>У 34</v>
      </c>
      <c r="E22" s="112" t="s">
        <v>224</v>
      </c>
      <c r="F22" s="112" t="s">
        <v>87</v>
      </c>
      <c r="G22" s="112" t="s">
        <v>167</v>
      </c>
      <c r="H22" s="112" t="s">
        <v>210</v>
      </c>
      <c r="I22" s="113" t="s">
        <v>140</v>
      </c>
      <c r="J22" s="114" t="str">
        <f t="shared" ref="J22:J28" si="5">"от "&amp;Q22&amp;" до "&amp;R22</f>
        <v>от автомобильной дороги "4н-14 А-380 а/й -У.Жуманиёзов ДФХ" до автомобильной дороги "Подъезд к полигону ТБО г. Беруни"</v>
      </c>
      <c r="K22" s="115">
        <v>6</v>
      </c>
      <c r="L22" s="115">
        <v>1.2</v>
      </c>
      <c r="M22" s="116"/>
      <c r="N22" s="117" t="s">
        <v>160</v>
      </c>
      <c r="O22" s="118">
        <v>3</v>
      </c>
      <c r="P22" s="119"/>
      <c r="Q22" s="120" t="s">
        <v>225</v>
      </c>
      <c r="R22" s="120" t="s">
        <v>226</v>
      </c>
      <c r="T22" s="154"/>
      <c r="U22" s="154"/>
      <c r="V22" s="154"/>
      <c r="W22" s="154"/>
    </row>
    <row r="23" spans="1:23" ht="42" customHeight="1" x14ac:dyDescent="0.2">
      <c r="A23" s="111" t="s">
        <v>172</v>
      </c>
      <c r="B23" s="111">
        <v>35</v>
      </c>
      <c r="C23" s="111"/>
      <c r="D23" s="161" t="str">
        <f t="shared" si="0"/>
        <v>У 35</v>
      </c>
      <c r="E23" s="112" t="s">
        <v>229</v>
      </c>
      <c r="F23" s="112" t="s">
        <v>168</v>
      </c>
      <c r="G23" s="112" t="s">
        <v>169</v>
      </c>
      <c r="H23" s="112" t="s">
        <v>210</v>
      </c>
      <c r="I23" s="113" t="s">
        <v>19</v>
      </c>
      <c r="J23" s="114" t="str">
        <f t="shared" si="5"/>
        <v>от автомобильной дороги "Подъезд к каладбищу г. Беруни" до полигона ТБО г. Беруни</v>
      </c>
      <c r="K23" s="115" t="s">
        <v>230</v>
      </c>
      <c r="L23" s="115">
        <v>1.7</v>
      </c>
      <c r="M23" s="116"/>
      <c r="N23" s="117" t="s">
        <v>160</v>
      </c>
      <c r="O23" s="118">
        <v>3</v>
      </c>
      <c r="P23" s="119"/>
      <c r="Q23" s="120" t="s">
        <v>227</v>
      </c>
      <c r="R23" s="120" t="s">
        <v>228</v>
      </c>
      <c r="T23" s="154"/>
      <c r="U23" s="154"/>
      <c r="V23" s="154"/>
      <c r="W23" s="154"/>
    </row>
    <row r="24" spans="1:23" ht="42" customHeight="1" x14ac:dyDescent="0.2">
      <c r="A24" s="111" t="s">
        <v>172</v>
      </c>
      <c r="B24" s="111">
        <v>36</v>
      </c>
      <c r="C24" s="111"/>
      <c r="D24" s="161" t="str">
        <f t="shared" si="0"/>
        <v>У 36</v>
      </c>
      <c r="E24" s="112" t="s">
        <v>231</v>
      </c>
      <c r="F24" s="112" t="s">
        <v>87</v>
      </c>
      <c r="G24" s="112" t="s">
        <v>167</v>
      </c>
      <c r="H24" s="112" t="s">
        <v>239</v>
      </c>
      <c r="I24" s="113" t="s">
        <v>140</v>
      </c>
      <c r="J24" s="114" t="str">
        <f t="shared" si="5"/>
        <v>от автомобильной дороги 4р161 «Урганч-Чолиш-Беруний-Бустон» до поворота на ж.д. пути общего пользования № 6, 7 ст. Элликкала АО "УзЖД"</v>
      </c>
      <c r="K24" s="115">
        <v>6</v>
      </c>
      <c r="L24" s="115">
        <v>1.9</v>
      </c>
      <c r="M24" s="116"/>
      <c r="N24" s="117" t="s">
        <v>160</v>
      </c>
      <c r="O24" s="118">
        <v>3</v>
      </c>
      <c r="P24" s="119"/>
      <c r="Q24" s="120" t="s">
        <v>221</v>
      </c>
      <c r="R24" s="120" t="s">
        <v>232</v>
      </c>
      <c r="T24" s="154"/>
      <c r="U24" s="154"/>
      <c r="V24" s="154"/>
      <c r="W24" s="154"/>
    </row>
    <row r="25" spans="1:23" ht="42" customHeight="1" x14ac:dyDescent="0.2">
      <c r="A25" s="111" t="s">
        <v>172</v>
      </c>
      <c r="B25" s="111">
        <v>37</v>
      </c>
      <c r="C25" s="111"/>
      <c r="D25" s="161" t="str">
        <f t="shared" si="0"/>
        <v>У 37</v>
      </c>
      <c r="E25" s="112" t="s">
        <v>238</v>
      </c>
      <c r="F25" s="112" t="s">
        <v>92</v>
      </c>
      <c r="G25" s="112" t="s">
        <v>102</v>
      </c>
      <c r="H25" s="112" t="s">
        <v>239</v>
      </c>
      <c r="I25" s="113" t="s">
        <v>170</v>
      </c>
      <c r="J25" s="114" t="str">
        <f t="shared" si="5"/>
        <v>от автомобильной дороги 4р182 А380 а/йули (662км)дан -Кизилкалъа-Бустон-Гулдурсун-Турткул          до места забора воды НРС №17</v>
      </c>
      <c r="K25" s="115">
        <v>5</v>
      </c>
      <c r="L25" s="115">
        <v>0.2</v>
      </c>
      <c r="M25" s="116"/>
      <c r="N25" s="117" t="s">
        <v>160</v>
      </c>
      <c r="O25" s="118">
        <v>3</v>
      </c>
      <c r="P25" s="119"/>
      <c r="Q25" s="120" t="s">
        <v>240</v>
      </c>
      <c r="R25" s="120" t="s">
        <v>241</v>
      </c>
      <c r="T25" s="154"/>
      <c r="U25" s="154"/>
      <c r="V25" s="154"/>
      <c r="W25" s="154"/>
    </row>
    <row r="26" spans="1:23" ht="42" customHeight="1" x14ac:dyDescent="0.2">
      <c r="A26" s="111" t="s">
        <v>172</v>
      </c>
      <c r="B26" s="111">
        <v>38</v>
      </c>
      <c r="C26" s="111"/>
      <c r="D26" s="161" t="str">
        <f t="shared" si="0"/>
        <v>У 38</v>
      </c>
      <c r="E26" s="112" t="s">
        <v>248</v>
      </c>
      <c r="F26" s="112" t="s">
        <v>92</v>
      </c>
      <c r="G26" s="112" t="s">
        <v>102</v>
      </c>
      <c r="H26" s="112" t="s">
        <v>210</v>
      </c>
      <c r="I26" s="113" t="s">
        <v>170</v>
      </c>
      <c r="J26" s="114" t="str">
        <f t="shared" si="5"/>
        <v>от автомобильной дороги "4н13 4н 103 а/йули (13км)дан Аязкалъа кургонига  а/йули" до поворота на площадку строителства КС "Элликкала"</v>
      </c>
      <c r="K26" s="115">
        <v>7</v>
      </c>
      <c r="L26" s="115">
        <v>5.3</v>
      </c>
      <c r="M26" s="116"/>
      <c r="N26" s="117" t="s">
        <v>160</v>
      </c>
      <c r="O26" s="118">
        <v>3</v>
      </c>
      <c r="P26" s="119"/>
      <c r="Q26" s="120" t="s">
        <v>249</v>
      </c>
      <c r="R26" s="120" t="s">
        <v>250</v>
      </c>
      <c r="T26" s="154"/>
      <c r="U26" s="154"/>
      <c r="V26" s="154"/>
      <c r="W26" s="154"/>
    </row>
    <row r="27" spans="1:23" ht="42" customHeight="1" x14ac:dyDescent="0.2">
      <c r="A27" s="111" t="s">
        <v>172</v>
      </c>
      <c r="B27" s="111">
        <v>39</v>
      </c>
      <c r="C27" s="111"/>
      <c r="D27" s="161" t="str">
        <f t="shared" si="0"/>
        <v>У 39</v>
      </c>
      <c r="E27" s="112" t="s">
        <v>252</v>
      </c>
      <c r="F27" s="112" t="s">
        <v>92</v>
      </c>
      <c r="G27" s="112" t="s">
        <v>102</v>
      </c>
      <c r="H27" s="112" t="s">
        <v>239</v>
      </c>
      <c r="I27" s="113" t="s">
        <v>170</v>
      </c>
      <c r="J27" s="114" t="str">
        <f t="shared" si="5"/>
        <v>от автомобильной дороги 4Н103 "4р 182 а/йули (28км)дан-                   Чайка овули-Гулистон ОФЙга" до места забора воды НРС №18</v>
      </c>
      <c r="K27" s="115">
        <v>5</v>
      </c>
      <c r="L27" s="115">
        <v>0.2</v>
      </c>
      <c r="M27" s="116"/>
      <c r="N27" s="117" t="s">
        <v>160</v>
      </c>
      <c r="O27" s="118">
        <v>3</v>
      </c>
      <c r="P27" s="119"/>
      <c r="Q27" s="120" t="s">
        <v>253</v>
      </c>
      <c r="R27" s="120" t="s">
        <v>254</v>
      </c>
      <c r="T27" s="154"/>
      <c r="U27" s="154"/>
      <c r="V27" s="154"/>
      <c r="W27" s="154"/>
    </row>
    <row r="28" spans="1:23" ht="42" customHeight="1" x14ac:dyDescent="0.2">
      <c r="A28" s="111" t="s">
        <v>172</v>
      </c>
      <c r="B28" s="111">
        <v>40</v>
      </c>
      <c r="C28" s="111"/>
      <c r="D28" s="161" t="str">
        <f t="shared" si="0"/>
        <v>У 40</v>
      </c>
      <c r="E28" s="112" t="s">
        <v>255</v>
      </c>
      <c r="F28" s="112" t="s">
        <v>87</v>
      </c>
      <c r="G28" s="112" t="s">
        <v>102</v>
      </c>
      <c r="H28" s="112" t="s">
        <v>256</v>
      </c>
      <c r="I28" s="113" t="s">
        <v>170</v>
      </c>
      <c r="J28" s="114" t="str">
        <f t="shared" si="5"/>
        <v>от автомобильной дороги А-380 «Гузор-Бухоро-Нукус-Бейнеу» до станции Караузяк</v>
      </c>
      <c r="K28" s="115">
        <v>8</v>
      </c>
      <c r="L28" s="115">
        <v>0.4</v>
      </c>
      <c r="M28" s="116"/>
      <c r="N28" s="117" t="s">
        <v>160</v>
      </c>
      <c r="O28" s="118">
        <v>3</v>
      </c>
      <c r="P28" s="119"/>
      <c r="Q28" s="120" t="s">
        <v>211</v>
      </c>
      <c r="R28" s="120" t="s">
        <v>257</v>
      </c>
      <c r="T28" s="154"/>
      <c r="U28" s="154"/>
      <c r="V28" s="154"/>
      <c r="W28" s="154"/>
    </row>
    <row r="29" spans="1:23" ht="39" customHeight="1" x14ac:dyDescent="0.2">
      <c r="A29" s="111" t="s">
        <v>172</v>
      </c>
      <c r="B29" s="111">
        <v>100</v>
      </c>
      <c r="C29" s="111"/>
      <c r="D29" s="161" t="str">
        <f t="shared" si="0"/>
        <v>У 100</v>
      </c>
      <c r="E29" s="161" t="s">
        <v>233</v>
      </c>
      <c r="F29" s="161" t="s">
        <v>87</v>
      </c>
      <c r="G29" s="161" t="s">
        <v>167</v>
      </c>
      <c r="H29" s="161" t="s">
        <v>234</v>
      </c>
      <c r="I29" s="162" t="s">
        <v>140</v>
      </c>
      <c r="J29" s="163" t="str">
        <f t="shared" si="4"/>
        <v>от местной атомобильной дороги "Подъезд к ст. Эликкалла" до базы ЧП "Сабир Арат"</v>
      </c>
      <c r="K29" s="164">
        <v>5.5</v>
      </c>
      <c r="L29" s="161">
        <v>0.6</v>
      </c>
      <c r="M29" s="165"/>
      <c r="N29" s="166" t="s">
        <v>158</v>
      </c>
      <c r="O29" s="167">
        <v>4</v>
      </c>
      <c r="P29" s="168"/>
      <c r="Q29" s="169" t="s">
        <v>235</v>
      </c>
      <c r="R29" s="169" t="s">
        <v>236</v>
      </c>
      <c r="T29" s="154"/>
      <c r="U29" s="154"/>
      <c r="V29" s="154"/>
      <c r="W29" s="154"/>
    </row>
    <row r="30" spans="1:23" ht="39" customHeight="1" x14ac:dyDescent="0.2">
      <c r="A30" s="111" t="s">
        <v>172</v>
      </c>
      <c r="B30" s="111">
        <v>101</v>
      </c>
      <c r="C30" s="111"/>
      <c r="D30" s="161" t="str">
        <f t="shared" si="0"/>
        <v>У 101</v>
      </c>
      <c r="E30" s="161" t="s">
        <v>258</v>
      </c>
      <c r="F30" s="161" t="s">
        <v>92</v>
      </c>
      <c r="G30" s="161" t="s">
        <v>102</v>
      </c>
      <c r="H30" s="161" t="s">
        <v>261</v>
      </c>
      <c r="I30" s="162" t="s">
        <v>140</v>
      </c>
      <c r="J30" s="163" t="str">
        <f t="shared" si="4"/>
        <v>от автомобильной дороги «А-380 «Гузор-Бухоро-Нукус-Бейнеу» до карьера ООО "QARAUZAK SHEVEN"</v>
      </c>
      <c r="K30" s="164">
        <v>5</v>
      </c>
      <c r="L30" s="161">
        <v>0.3</v>
      </c>
      <c r="M30" s="165"/>
      <c r="N30" s="166" t="s">
        <v>158</v>
      </c>
      <c r="O30" s="167">
        <v>4</v>
      </c>
      <c r="P30" s="168"/>
      <c r="Q30" s="169" t="s">
        <v>263</v>
      </c>
      <c r="R30" s="169" t="s">
        <v>264</v>
      </c>
      <c r="T30" s="154"/>
      <c r="U30" s="154"/>
      <c r="V30" s="154"/>
      <c r="W30" s="154"/>
    </row>
    <row r="31" spans="1:23" ht="39" customHeight="1" x14ac:dyDescent="0.2">
      <c r="A31" s="111" t="s">
        <v>172</v>
      </c>
      <c r="B31" s="111">
        <v>102</v>
      </c>
      <c r="C31" s="111"/>
      <c r="D31" s="161" t="str">
        <f t="shared" si="0"/>
        <v>У 102</v>
      </c>
      <c r="E31" s="161" t="s">
        <v>259</v>
      </c>
      <c r="F31" s="161" t="s">
        <v>87</v>
      </c>
      <c r="G31" s="161" t="s">
        <v>262</v>
      </c>
      <c r="H31" s="161" t="s">
        <v>260</v>
      </c>
      <c r="I31" s="162" t="s">
        <v>140</v>
      </c>
      <c r="J31" s="163" t="str">
        <f t="shared" si="4"/>
        <v>от автомобильной дороги «А-380 «Гузор-Бухоро-Нукус-Бейнеу» до карьера ООО "Road Project Ekspertiza"</v>
      </c>
      <c r="K31" s="164">
        <v>7</v>
      </c>
      <c r="L31" s="161">
        <v>0.4</v>
      </c>
      <c r="M31" s="165"/>
      <c r="N31" s="166" t="s">
        <v>158</v>
      </c>
      <c r="O31" s="167">
        <v>4</v>
      </c>
      <c r="P31" s="168"/>
      <c r="Q31" s="169" t="s">
        <v>263</v>
      </c>
      <c r="R31" s="169" t="s">
        <v>265</v>
      </c>
      <c r="T31" s="154"/>
      <c r="U31" s="154"/>
      <c r="V31" s="154"/>
      <c r="W31" s="154"/>
    </row>
    <row r="32" spans="1:23" ht="39" customHeight="1" x14ac:dyDescent="0.2">
      <c r="A32" s="111" t="s">
        <v>172</v>
      </c>
      <c r="B32" s="111">
        <v>103</v>
      </c>
      <c r="C32" s="111"/>
      <c r="D32" s="161" t="str">
        <f>IF(ISBLANK(C32), A32&amp;" "&amp;B32, A32&amp;" "&amp;B32&amp;"."&amp;C32)</f>
        <v>У 103</v>
      </c>
      <c r="E32" s="161" t="s">
        <v>266</v>
      </c>
      <c r="F32" s="161" t="s">
        <v>87</v>
      </c>
      <c r="G32" s="161" t="s">
        <v>268</v>
      </c>
      <c r="H32" s="161" t="s">
        <v>267</v>
      </c>
      <c r="I32" s="162" t="s">
        <v>140</v>
      </c>
      <c r="J32" s="163" t="str">
        <f t="shared" si="4"/>
        <v>от автомобильной дороги «А-380 «Гузор-Бухоро-Нукус-Бейнеу» до карьера "Qizilqala-1"</v>
      </c>
      <c r="K32" s="164">
        <v>6</v>
      </c>
      <c r="L32" s="161">
        <v>2.7</v>
      </c>
      <c r="M32" s="165"/>
      <c r="N32" s="166" t="s">
        <v>158</v>
      </c>
      <c r="O32" s="167">
        <v>4</v>
      </c>
      <c r="P32" s="168"/>
      <c r="Q32" s="169" t="s">
        <v>263</v>
      </c>
      <c r="R32" s="169" t="s">
        <v>269</v>
      </c>
      <c r="T32" s="154"/>
      <c r="U32" s="154"/>
      <c r="V32" s="154"/>
      <c r="W32" s="154"/>
    </row>
    <row r="33" spans="1:23" x14ac:dyDescent="0.2">
      <c r="A33" s="111"/>
      <c r="B33" s="111"/>
      <c r="C33" s="111"/>
      <c r="D33" s="106"/>
      <c r="E33" s="121"/>
      <c r="F33" s="121"/>
      <c r="G33" s="121"/>
      <c r="H33" s="121"/>
      <c r="I33" s="122"/>
      <c r="J33" s="123"/>
      <c r="K33" s="124"/>
      <c r="L33" s="121"/>
      <c r="M33" s="125"/>
      <c r="N33" s="126"/>
      <c r="O33" s="127"/>
      <c r="P33" s="128"/>
      <c r="Q33" s="129"/>
      <c r="R33" s="129"/>
      <c r="T33" s="154"/>
      <c r="U33" s="154"/>
      <c r="V33" s="154"/>
      <c r="W33" s="154"/>
    </row>
    <row r="34" spans="1:23" x14ac:dyDescent="0.2">
      <c r="A34" s="111"/>
      <c r="B34" s="111"/>
      <c r="C34" s="111"/>
      <c r="D34" s="106"/>
      <c r="E34" s="121"/>
      <c r="F34" s="121"/>
      <c r="G34" s="121"/>
      <c r="H34" s="121"/>
      <c r="I34" s="122"/>
      <c r="J34" s="123"/>
      <c r="K34" s="124"/>
      <c r="L34" s="121"/>
      <c r="M34" s="125"/>
      <c r="N34" s="126"/>
      <c r="O34" s="127"/>
      <c r="P34" s="128"/>
      <c r="Q34" s="129"/>
      <c r="R34" s="129"/>
      <c r="T34" s="154"/>
      <c r="U34" s="154"/>
      <c r="V34" s="154"/>
      <c r="W34" s="154"/>
    </row>
    <row r="35" spans="1:23" x14ac:dyDescent="0.2">
      <c r="A35" s="111"/>
      <c r="B35" s="111"/>
      <c r="C35" s="111"/>
      <c r="D35" s="106"/>
      <c r="E35" s="121"/>
      <c r="F35" s="121"/>
      <c r="G35" s="121"/>
      <c r="H35" s="121"/>
      <c r="I35" s="122"/>
      <c r="J35" s="123"/>
      <c r="K35" s="124"/>
      <c r="L35" s="121"/>
      <c r="M35" s="125"/>
      <c r="N35" s="126"/>
      <c r="O35" s="127"/>
      <c r="P35" s="128"/>
      <c r="Q35" s="129"/>
      <c r="R35" s="129"/>
      <c r="T35" s="154"/>
      <c r="U35" s="154"/>
      <c r="V35" s="154"/>
      <c r="W35" s="154"/>
    </row>
    <row r="36" spans="1:23" x14ac:dyDescent="0.2">
      <c r="A36" s="111"/>
      <c r="B36" s="111"/>
      <c r="C36" s="111"/>
      <c r="D36" s="106"/>
      <c r="E36" s="121"/>
      <c r="F36" s="121"/>
      <c r="G36" s="121"/>
      <c r="H36" s="121"/>
      <c r="I36" s="122"/>
      <c r="J36" s="123"/>
      <c r="K36" s="124"/>
      <c r="L36" s="121"/>
      <c r="M36" s="125"/>
      <c r="N36" s="126"/>
      <c r="O36" s="127"/>
      <c r="P36" s="128"/>
      <c r="Q36" s="129"/>
      <c r="R36" s="129"/>
      <c r="T36" s="154"/>
      <c r="U36" s="154"/>
      <c r="V36" s="154"/>
      <c r="W36" s="154"/>
    </row>
    <row r="37" spans="1:23" x14ac:dyDescent="0.2">
      <c r="A37" s="111"/>
      <c r="B37" s="111"/>
      <c r="C37" s="111"/>
      <c r="D37" s="106"/>
      <c r="E37" s="121"/>
      <c r="F37" s="121"/>
      <c r="G37" s="121"/>
      <c r="H37" s="121"/>
      <c r="I37" s="122"/>
      <c r="J37" s="123"/>
      <c r="K37" s="124"/>
      <c r="L37" s="121"/>
      <c r="M37" s="125"/>
      <c r="N37" s="126"/>
      <c r="O37" s="127"/>
      <c r="P37" s="128"/>
      <c r="Q37" s="129"/>
      <c r="R37" s="129"/>
      <c r="T37" s="154"/>
      <c r="U37" s="154"/>
      <c r="V37" s="154"/>
      <c r="W37" s="154"/>
    </row>
    <row r="38" spans="1:23" x14ac:dyDescent="0.2">
      <c r="A38" s="111"/>
      <c r="B38" s="111"/>
      <c r="C38" s="111"/>
      <c r="D38" s="106"/>
      <c r="E38" s="130"/>
      <c r="F38" s="130"/>
      <c r="G38" s="130"/>
      <c r="H38" s="131"/>
      <c r="I38" s="132"/>
      <c r="J38" s="133"/>
      <c r="K38" s="130"/>
      <c r="L38" s="130"/>
      <c r="M38" s="134"/>
      <c r="N38" s="132"/>
      <c r="O38" s="135"/>
      <c r="P38" s="136"/>
      <c r="Q38" s="133"/>
      <c r="R38" s="133"/>
      <c r="T38" s="154"/>
      <c r="U38" s="154"/>
      <c r="V38" s="154"/>
      <c r="W38" s="154"/>
    </row>
    <row r="39" spans="1:23" x14ac:dyDescent="0.2">
      <c r="A39" s="111"/>
      <c r="B39" s="111"/>
      <c r="C39" s="111"/>
      <c r="D39" s="106"/>
      <c r="E39" s="130"/>
      <c r="F39" s="130"/>
      <c r="G39" s="130"/>
      <c r="H39" s="131"/>
      <c r="I39" s="132"/>
      <c r="J39" s="133"/>
      <c r="K39" s="130"/>
      <c r="L39" s="130"/>
      <c r="M39" s="134"/>
      <c r="N39" s="132"/>
      <c r="O39" s="135"/>
      <c r="P39" s="136"/>
      <c r="Q39" s="133"/>
      <c r="R39" s="133"/>
      <c r="T39" s="154"/>
      <c r="U39" s="154"/>
      <c r="V39" s="154"/>
      <c r="W39" s="154"/>
    </row>
    <row r="40" spans="1:23" x14ac:dyDescent="0.2">
      <c r="A40" s="111"/>
      <c r="B40" s="111"/>
      <c r="C40" s="111"/>
      <c r="D40" s="106"/>
      <c r="E40" s="130"/>
      <c r="F40" s="130"/>
      <c r="G40" s="130"/>
      <c r="H40" s="131"/>
      <c r="I40" s="132"/>
      <c r="J40" s="133"/>
      <c r="K40" s="130"/>
      <c r="L40" s="130"/>
      <c r="M40" s="134"/>
      <c r="N40" s="132"/>
      <c r="O40" s="135"/>
      <c r="P40" s="136"/>
      <c r="Q40" s="133"/>
      <c r="R40" s="133"/>
      <c r="T40" s="154"/>
      <c r="U40" s="154"/>
      <c r="V40" s="154"/>
      <c r="W40" s="154"/>
    </row>
    <row r="41" spans="1:23" x14ac:dyDescent="0.2">
      <c r="A41" s="111"/>
      <c r="B41" s="111"/>
      <c r="C41" s="111"/>
      <c r="D41" s="106"/>
      <c r="E41" s="137"/>
      <c r="F41" s="137"/>
      <c r="G41" s="137"/>
      <c r="H41" s="138"/>
      <c r="I41" s="139"/>
      <c r="J41" s="140"/>
      <c r="K41" s="137"/>
      <c r="L41" s="137"/>
      <c r="M41" s="141"/>
      <c r="N41" s="139"/>
      <c r="O41" s="142"/>
      <c r="P41" s="143"/>
      <c r="Q41" s="140"/>
      <c r="R41" s="140"/>
      <c r="T41" s="154"/>
      <c r="U41" s="154"/>
      <c r="V41" s="154"/>
      <c r="W41" s="154"/>
    </row>
    <row r="42" spans="1:23" x14ac:dyDescent="0.2">
      <c r="A42" s="111"/>
      <c r="B42" s="111"/>
      <c r="C42" s="111"/>
      <c r="D42" s="106"/>
      <c r="E42" s="137"/>
      <c r="F42" s="137"/>
      <c r="G42" s="137"/>
      <c r="H42" s="138"/>
      <c r="I42" s="139"/>
      <c r="J42" s="140"/>
      <c r="K42" s="137"/>
      <c r="L42" s="144"/>
      <c r="M42" s="145"/>
      <c r="N42" s="139"/>
      <c r="O42" s="142"/>
      <c r="P42" s="143"/>
      <c r="Q42" s="140"/>
      <c r="R42" s="140"/>
      <c r="T42" s="154"/>
      <c r="U42" s="154"/>
      <c r="V42" s="154"/>
      <c r="W42" s="154"/>
    </row>
    <row r="43" spans="1:23" x14ac:dyDescent="0.2">
      <c r="A43" s="111"/>
      <c r="B43" s="111"/>
      <c r="C43" s="111"/>
      <c r="D43" s="106"/>
      <c r="E43" s="146"/>
      <c r="F43" s="137"/>
      <c r="G43" s="137"/>
      <c r="H43" s="138"/>
      <c r="I43" s="139"/>
      <c r="J43" s="140"/>
      <c r="K43" s="137"/>
      <c r="L43" s="144"/>
      <c r="M43" s="145"/>
      <c r="N43" s="139"/>
      <c r="O43" s="142"/>
      <c r="P43" s="143"/>
      <c r="Q43" s="140"/>
      <c r="R43" s="140"/>
      <c r="T43" s="154"/>
      <c r="U43" s="154"/>
      <c r="V43" s="154"/>
      <c r="W43" s="154"/>
    </row>
    <row r="44" spans="1:23" x14ac:dyDescent="0.2">
      <c r="A44" s="111"/>
      <c r="B44" s="111"/>
      <c r="C44" s="111"/>
      <c r="D44" s="106"/>
      <c r="E44" s="146"/>
      <c r="F44" s="137"/>
      <c r="G44" s="137"/>
      <c r="H44" s="138"/>
      <c r="I44" s="139"/>
      <c r="J44" s="140"/>
      <c r="K44" s="137"/>
      <c r="L44" s="147"/>
      <c r="M44" s="137"/>
      <c r="N44" s="139"/>
      <c r="O44" s="142"/>
      <c r="P44" s="143"/>
      <c r="Q44" s="140"/>
      <c r="R44" s="140"/>
      <c r="T44" s="154"/>
      <c r="U44" s="154"/>
      <c r="V44" s="154"/>
      <c r="W44" s="154"/>
    </row>
    <row r="45" spans="1:23" x14ac:dyDescent="0.2">
      <c r="A45" s="111"/>
      <c r="B45" s="111"/>
      <c r="C45" s="111"/>
      <c r="D45" s="106"/>
      <c r="E45" s="146"/>
      <c r="F45" s="137"/>
      <c r="G45" s="137"/>
      <c r="H45" s="138"/>
      <c r="I45" s="139"/>
      <c r="J45" s="140"/>
      <c r="K45" s="137"/>
      <c r="L45" s="147"/>
      <c r="M45" s="137"/>
      <c r="N45" s="139"/>
      <c r="O45" s="142"/>
      <c r="P45" s="143"/>
      <c r="Q45" s="140"/>
      <c r="R45" s="140"/>
      <c r="T45" s="154"/>
      <c r="U45" s="154"/>
      <c r="V45" s="154"/>
      <c r="W45" s="154"/>
    </row>
    <row r="46" spans="1:23" x14ac:dyDescent="0.2">
      <c r="A46" s="111"/>
      <c r="B46" s="111"/>
      <c r="C46" s="111"/>
      <c r="D46" s="106"/>
      <c r="E46" s="146"/>
      <c r="F46" s="137"/>
      <c r="G46" s="137"/>
      <c r="H46" s="138"/>
      <c r="I46" s="139"/>
      <c r="J46" s="140"/>
      <c r="K46" s="137"/>
      <c r="L46" s="147"/>
      <c r="M46" s="137"/>
      <c r="N46" s="139"/>
      <c r="O46" s="142"/>
      <c r="P46" s="143"/>
      <c r="Q46" s="140"/>
      <c r="R46" s="140"/>
      <c r="T46" s="154"/>
      <c r="U46" s="154"/>
      <c r="V46" s="154"/>
      <c r="W46" s="154"/>
    </row>
    <row r="47" spans="1:23" x14ac:dyDescent="0.2">
      <c r="A47" s="111"/>
      <c r="B47" s="111"/>
      <c r="C47" s="111"/>
      <c r="D47" s="106"/>
      <c r="E47" s="146"/>
      <c r="F47" s="137"/>
      <c r="G47" s="137"/>
      <c r="H47" s="138"/>
      <c r="I47" s="139"/>
      <c r="J47" s="140"/>
      <c r="K47" s="137"/>
      <c r="L47" s="147"/>
      <c r="M47" s="137"/>
      <c r="N47" s="139"/>
      <c r="O47" s="142"/>
      <c r="P47" s="143"/>
      <c r="Q47" s="140"/>
      <c r="R47" s="140"/>
      <c r="T47" s="154"/>
      <c r="U47" s="154"/>
      <c r="V47" s="154"/>
      <c r="W47" s="154"/>
    </row>
    <row r="48" spans="1:23" x14ac:dyDescent="0.2">
      <c r="A48" s="111"/>
      <c r="B48" s="111"/>
      <c r="C48" s="111"/>
      <c r="D48" s="106"/>
      <c r="E48" s="146"/>
      <c r="F48" s="137"/>
      <c r="G48" s="137"/>
      <c r="H48" s="138"/>
      <c r="I48" s="139"/>
      <c r="J48" s="140"/>
      <c r="K48" s="137"/>
      <c r="L48" s="147"/>
      <c r="M48" s="137"/>
      <c r="N48" s="139"/>
      <c r="O48" s="142"/>
      <c r="P48" s="143"/>
      <c r="Q48" s="140"/>
      <c r="R48" s="140"/>
      <c r="T48" s="154"/>
      <c r="U48" s="154"/>
      <c r="V48" s="154"/>
      <c r="W48" s="154"/>
    </row>
    <row r="49" spans="1:23" x14ac:dyDescent="0.2">
      <c r="A49" s="111"/>
      <c r="B49" s="111"/>
      <c r="C49" s="111"/>
      <c r="D49" s="106"/>
      <c r="E49" s="146"/>
      <c r="F49" s="137"/>
      <c r="G49" s="137"/>
      <c r="H49" s="138"/>
      <c r="I49" s="139"/>
      <c r="J49" s="140"/>
      <c r="K49" s="137"/>
      <c r="L49" s="147"/>
      <c r="M49" s="137"/>
      <c r="N49" s="139"/>
      <c r="O49" s="142"/>
      <c r="P49" s="143"/>
      <c r="Q49" s="140"/>
      <c r="R49" s="140"/>
      <c r="T49" s="154"/>
      <c r="U49" s="154"/>
      <c r="V49" s="154"/>
      <c r="W49" s="154"/>
    </row>
    <row r="50" spans="1:23" x14ac:dyDescent="0.2">
      <c r="T50" s="154"/>
      <c r="U50" s="154"/>
      <c r="V50" s="154"/>
      <c r="W50" s="154"/>
    </row>
    <row r="51" spans="1:23" x14ac:dyDescent="0.2">
      <c r="T51" s="154"/>
      <c r="U51" s="154"/>
      <c r="V51" s="154"/>
      <c r="W51" s="154"/>
    </row>
    <row r="52" spans="1:23" x14ac:dyDescent="0.2">
      <c r="T52" s="154"/>
      <c r="U52" s="154"/>
      <c r="V52" s="154"/>
      <c r="W52" s="154"/>
    </row>
    <row r="53" spans="1:23" x14ac:dyDescent="0.2">
      <c r="T53" s="154"/>
      <c r="U53" s="154"/>
      <c r="V53" s="154"/>
      <c r="W53" s="154"/>
    </row>
    <row r="54" spans="1:23" x14ac:dyDescent="0.2">
      <c r="T54" s="154"/>
      <c r="U54" s="154"/>
      <c r="V54" s="154"/>
      <c r="W54" s="154"/>
    </row>
    <row r="55" spans="1:23" x14ac:dyDescent="0.2">
      <c r="T55" s="154"/>
      <c r="U55" s="154"/>
      <c r="V55" s="154"/>
      <c r="W55" s="154"/>
    </row>
    <row r="56" spans="1:23" x14ac:dyDescent="0.2">
      <c r="T56" s="154"/>
      <c r="U56" s="154"/>
      <c r="V56" s="154"/>
      <c r="W56" s="154"/>
    </row>
    <row r="57" spans="1:23" x14ac:dyDescent="0.2">
      <c r="T57" s="154"/>
      <c r="U57" s="154"/>
      <c r="V57" s="154"/>
      <c r="W57" s="154"/>
    </row>
    <row r="58" spans="1:23" x14ac:dyDescent="0.2">
      <c r="T58" s="154"/>
      <c r="U58" s="154"/>
      <c r="V58" s="154"/>
      <c r="W58" s="154"/>
    </row>
    <row r="59" spans="1:23" x14ac:dyDescent="0.2">
      <c r="T59" s="154"/>
      <c r="U59" s="154"/>
      <c r="V59" s="154"/>
      <c r="W59" s="154"/>
    </row>
    <row r="60" spans="1:23" x14ac:dyDescent="0.2">
      <c r="L60" s="159">
        <v>1.1000000000000001</v>
      </c>
      <c r="T60" s="154"/>
      <c r="U60" s="154"/>
      <c r="V60" s="154"/>
      <c r="W60" s="154"/>
    </row>
    <row r="61" spans="1:23" x14ac:dyDescent="0.2">
      <c r="L61" s="159">
        <v>0.9</v>
      </c>
      <c r="T61" s="154"/>
      <c r="U61" s="154"/>
      <c r="V61" s="154"/>
      <c r="W61" s="154"/>
    </row>
    <row r="62" spans="1:23" x14ac:dyDescent="0.2">
      <c r="L62" s="159">
        <v>0.3</v>
      </c>
      <c r="T62" s="154"/>
      <c r="U62" s="154"/>
      <c r="V62" s="154"/>
      <c r="W62" s="154"/>
    </row>
    <row r="63" spans="1:23" x14ac:dyDescent="0.2">
      <c r="L63" s="159">
        <v>0.3</v>
      </c>
      <c r="T63" s="154"/>
      <c r="U63" s="154"/>
      <c r="V63" s="154"/>
      <c r="W63" s="154"/>
    </row>
    <row r="64" spans="1:23" x14ac:dyDescent="0.2">
      <c r="L64" s="159">
        <v>0.6</v>
      </c>
      <c r="T64" s="154"/>
      <c r="U64" s="154"/>
      <c r="V64" s="154"/>
      <c r="W64" s="154"/>
    </row>
    <row r="65" spans="12:23" x14ac:dyDescent="0.2">
      <c r="L65" s="159">
        <v>1.1000000000000001</v>
      </c>
      <c r="T65" s="154"/>
      <c r="U65" s="154"/>
      <c r="V65" s="154"/>
      <c r="W65" s="154"/>
    </row>
    <row r="66" spans="12:23" x14ac:dyDescent="0.2">
      <c r="L66" s="159">
        <v>0.5</v>
      </c>
      <c r="T66" s="154"/>
      <c r="U66" s="154"/>
      <c r="V66" s="154"/>
      <c r="W66" s="154"/>
    </row>
    <row r="67" spans="12:23" x14ac:dyDescent="0.2">
      <c r="L67" s="159">
        <v>4.8</v>
      </c>
      <c r="T67" s="154"/>
      <c r="U67" s="154"/>
      <c r="V67" s="154"/>
      <c r="W67" s="154"/>
    </row>
    <row r="68" spans="12:23" x14ac:dyDescent="0.2">
      <c r="L68" s="159">
        <v>0.25</v>
      </c>
      <c r="T68" s="154"/>
      <c r="U68" s="154"/>
      <c r="V68" s="154"/>
      <c r="W68" s="154"/>
    </row>
    <row r="69" spans="12:23" x14ac:dyDescent="0.2">
      <c r="L69" s="159">
        <v>2</v>
      </c>
      <c r="T69" s="154"/>
      <c r="U69" s="154"/>
      <c r="V69" s="154"/>
      <c r="W69" s="154"/>
    </row>
    <row r="70" spans="12:23" x14ac:dyDescent="0.2">
      <c r="L70" s="160">
        <f>SUM(L60:L69)</f>
        <v>11.85</v>
      </c>
      <c r="T70" s="154"/>
      <c r="U70" s="154"/>
      <c r="V70" s="154"/>
      <c r="W70" s="154"/>
    </row>
    <row r="71" spans="12:23" x14ac:dyDescent="0.2">
      <c r="O71">
        <v>1.64</v>
      </c>
      <c r="T71" s="154"/>
      <c r="U71" s="154"/>
      <c r="V71" s="154"/>
      <c r="W71" s="154"/>
    </row>
    <row r="72" spans="12:23" x14ac:dyDescent="0.2">
      <c r="O72">
        <v>1.7</v>
      </c>
      <c r="T72" s="154"/>
      <c r="U72" s="154"/>
      <c r="V72" s="154"/>
      <c r="W72" s="154"/>
    </row>
    <row r="73" spans="12:23" x14ac:dyDescent="0.2">
      <c r="O73">
        <v>1.63</v>
      </c>
      <c r="T73" s="154"/>
      <c r="U73" s="154"/>
      <c r="V73" s="154"/>
      <c r="W73" s="154"/>
    </row>
    <row r="74" spans="12:23" x14ac:dyDescent="0.2">
      <c r="O74">
        <v>1.7</v>
      </c>
      <c r="T74" s="154"/>
      <c r="U74" s="154"/>
      <c r="V74" s="154"/>
      <c r="W74" s="154"/>
    </row>
    <row r="75" spans="12:23" x14ac:dyDescent="0.2">
      <c r="O75">
        <v>1.59</v>
      </c>
      <c r="T75" s="154"/>
      <c r="U75" s="154"/>
      <c r="V75" s="154"/>
      <c r="W75" s="154"/>
    </row>
    <row r="76" spans="12:23" x14ac:dyDescent="0.2">
      <c r="O76">
        <v>1.7</v>
      </c>
      <c r="T76" s="154"/>
      <c r="U76" s="154"/>
      <c r="V76" s="154"/>
      <c r="W76" s="154"/>
    </row>
    <row r="77" spans="12:23" x14ac:dyDescent="0.2">
      <c r="O77">
        <v>1.72</v>
      </c>
      <c r="T77" s="154"/>
      <c r="U77" s="154"/>
      <c r="V77" s="154"/>
      <c r="W77" s="154"/>
    </row>
    <row r="78" spans="12:23" x14ac:dyDescent="0.2">
      <c r="O78">
        <v>1.8</v>
      </c>
      <c r="T78" s="154"/>
      <c r="U78" s="154"/>
      <c r="V78" s="154"/>
      <c r="W78" s="154"/>
    </row>
    <row r="79" spans="12:23" x14ac:dyDescent="0.2">
      <c r="O79">
        <v>1.61</v>
      </c>
      <c r="T79" s="154"/>
      <c r="U79" s="154"/>
      <c r="V79" s="154"/>
      <c r="W79" s="154"/>
    </row>
    <row r="80" spans="12:23" x14ac:dyDescent="0.2">
      <c r="O80">
        <v>1.72</v>
      </c>
      <c r="T80" s="154"/>
      <c r="U80" s="154"/>
      <c r="V80" s="154"/>
      <c r="W80" s="154"/>
    </row>
    <row r="81" spans="15:23" x14ac:dyDescent="0.2">
      <c r="O81">
        <v>1.66</v>
      </c>
      <c r="T81" s="154"/>
      <c r="U81" s="154"/>
      <c r="V81" s="154"/>
      <c r="W81" s="154"/>
    </row>
    <row r="82" spans="15:23" x14ac:dyDescent="0.2">
      <c r="O82">
        <v>1.65</v>
      </c>
      <c r="T82" s="154"/>
      <c r="U82" s="154"/>
      <c r="V82" s="154"/>
      <c r="W82" s="154"/>
    </row>
    <row r="83" spans="15:23" x14ac:dyDescent="0.2">
      <c r="O83">
        <v>1.63</v>
      </c>
      <c r="T83" s="154"/>
      <c r="U83" s="154"/>
      <c r="V83" s="154"/>
      <c r="W83" s="154"/>
    </row>
    <row r="84" spans="15:23" x14ac:dyDescent="0.2">
      <c r="O84">
        <v>1.67</v>
      </c>
      <c r="T84" s="154"/>
      <c r="U84" s="154"/>
      <c r="V84" s="154"/>
      <c r="W84" s="154"/>
    </row>
    <row r="85" spans="15:23" x14ac:dyDescent="0.2">
      <c r="O85">
        <v>1.62</v>
      </c>
      <c r="T85" s="154"/>
      <c r="U85" s="154"/>
      <c r="V85" s="154"/>
      <c r="W85" s="154"/>
    </row>
    <row r="86" spans="15:23" x14ac:dyDescent="0.2">
      <c r="O86">
        <v>1.79</v>
      </c>
      <c r="T86" s="154"/>
      <c r="U86" s="154"/>
      <c r="V86" s="154"/>
      <c r="W86" s="154"/>
    </row>
    <row r="87" spans="15:23" x14ac:dyDescent="0.2">
      <c r="O87">
        <v>1.61</v>
      </c>
      <c r="T87" s="154"/>
      <c r="U87" s="154"/>
      <c r="V87" s="154"/>
      <c r="W87" s="154"/>
    </row>
    <row r="88" spans="15:23" x14ac:dyDescent="0.2">
      <c r="O88">
        <v>1.63</v>
      </c>
      <c r="T88" s="154"/>
      <c r="U88" s="154"/>
      <c r="V88" s="154"/>
      <c r="W88" s="154"/>
    </row>
    <row r="89" spans="15:23" x14ac:dyDescent="0.2">
      <c r="O89">
        <v>1.76</v>
      </c>
      <c r="T89" s="154"/>
      <c r="U89" s="154"/>
      <c r="V89" s="154"/>
      <c r="W89" s="154"/>
    </row>
    <row r="90" spans="15:23" x14ac:dyDescent="0.2">
      <c r="O90">
        <v>1.65</v>
      </c>
      <c r="T90" s="154"/>
      <c r="U90" s="154"/>
      <c r="V90" s="154"/>
      <c r="W90" s="154"/>
    </row>
    <row r="91" spans="15:23" x14ac:dyDescent="0.2">
      <c r="O91">
        <v>1.63</v>
      </c>
      <c r="T91" s="154"/>
      <c r="U91" s="154"/>
      <c r="V91" s="154"/>
      <c r="W91" s="154"/>
    </row>
    <row r="92" spans="15:23" x14ac:dyDescent="0.2">
      <c r="O92">
        <v>1.77</v>
      </c>
      <c r="T92" s="154"/>
      <c r="U92" s="154"/>
      <c r="V92" s="154"/>
      <c r="W92" s="154"/>
    </row>
    <row r="93" spans="15:23" x14ac:dyDescent="0.2">
      <c r="O93">
        <v>1.61</v>
      </c>
      <c r="T93" s="154"/>
      <c r="U93" s="154"/>
      <c r="V93" s="154"/>
      <c r="W93" s="154"/>
    </row>
    <row r="94" spans="15:23" x14ac:dyDescent="0.2">
      <c r="O94">
        <v>1.72</v>
      </c>
      <c r="T94" s="154"/>
      <c r="U94" s="154"/>
      <c r="V94" s="154"/>
      <c r="W94" s="154"/>
    </row>
    <row r="95" spans="15:23" x14ac:dyDescent="0.2">
      <c r="O95">
        <v>1.72</v>
      </c>
      <c r="T95" s="154"/>
      <c r="U95" s="154"/>
      <c r="V95" s="154"/>
      <c r="W95" s="154"/>
    </row>
    <row r="96" spans="15:23" x14ac:dyDescent="0.2">
      <c r="O96">
        <v>1.59</v>
      </c>
      <c r="T96" s="154"/>
      <c r="U96" s="154"/>
      <c r="V96" s="154"/>
      <c r="W96" s="154"/>
    </row>
    <row r="97" spans="15:23" x14ac:dyDescent="0.2">
      <c r="O97">
        <v>1.68</v>
      </c>
      <c r="T97" s="154"/>
      <c r="U97" s="154"/>
      <c r="V97" s="154"/>
      <c r="W97" s="154"/>
    </row>
    <row r="98" spans="15:23" x14ac:dyDescent="0.2">
      <c r="O98">
        <v>1.63</v>
      </c>
      <c r="T98" s="154"/>
      <c r="U98" s="154"/>
      <c r="V98" s="154"/>
      <c r="W98" s="154"/>
    </row>
    <row r="99" spans="15:23" x14ac:dyDescent="0.2">
      <c r="O99">
        <v>1.62</v>
      </c>
      <c r="T99" s="154"/>
      <c r="U99" s="154"/>
      <c r="V99" s="154"/>
      <c r="W99" s="154"/>
    </row>
    <row r="100" spans="15:23" x14ac:dyDescent="0.2">
      <c r="O100">
        <v>1.75</v>
      </c>
      <c r="T100" s="154"/>
      <c r="U100" s="154"/>
      <c r="V100" s="154"/>
      <c r="W100" s="154"/>
    </row>
    <row r="101" spans="15:23" x14ac:dyDescent="0.2">
      <c r="O101">
        <v>1.62</v>
      </c>
      <c r="T101" s="154"/>
      <c r="U101" s="154"/>
      <c r="V101" s="154"/>
      <c r="W101" s="154"/>
    </row>
    <row r="102" spans="15:23" x14ac:dyDescent="0.2">
      <c r="O102">
        <v>1.75</v>
      </c>
      <c r="T102" s="154"/>
      <c r="U102" s="154"/>
      <c r="V102" s="154"/>
      <c r="W102" s="154"/>
    </row>
    <row r="103" spans="15:23" x14ac:dyDescent="0.2">
      <c r="O103">
        <v>1.65</v>
      </c>
      <c r="T103" s="154"/>
      <c r="U103" s="154"/>
      <c r="V103" s="154"/>
      <c r="W103" s="154"/>
    </row>
    <row r="104" spans="15:23" x14ac:dyDescent="0.2">
      <c r="O104">
        <v>1.81</v>
      </c>
      <c r="T104" s="154"/>
      <c r="U104" s="154"/>
      <c r="V104" s="154"/>
      <c r="W104" s="154"/>
    </row>
    <row r="105" spans="15:23" x14ac:dyDescent="0.2">
      <c r="O105">
        <v>1.79</v>
      </c>
      <c r="T105" s="154"/>
      <c r="U105" s="154"/>
      <c r="V105" s="154"/>
      <c r="W105" s="154"/>
    </row>
    <row r="106" spans="15:23" x14ac:dyDescent="0.2">
      <c r="O106">
        <v>1.73</v>
      </c>
      <c r="T106" s="154"/>
      <c r="U106" s="154"/>
      <c r="V106" s="154"/>
      <c r="W106" s="154"/>
    </row>
    <row r="107" spans="15:23" x14ac:dyDescent="0.2">
      <c r="O107">
        <v>1.73</v>
      </c>
      <c r="T107" s="154"/>
      <c r="U107" s="154"/>
      <c r="V107" s="154"/>
      <c r="W107" s="154"/>
    </row>
    <row r="108" spans="15:23" x14ac:dyDescent="0.2">
      <c r="T108" s="154"/>
      <c r="U108" s="154"/>
      <c r="V108" s="154"/>
      <c r="W108" s="154"/>
    </row>
    <row r="109" spans="15:23" x14ac:dyDescent="0.2">
      <c r="T109" s="154"/>
      <c r="U109" s="154"/>
      <c r="V109" s="154"/>
      <c r="W109" s="154"/>
    </row>
    <row r="110" spans="15:23" x14ac:dyDescent="0.2">
      <c r="T110" s="154"/>
      <c r="U110" s="154"/>
      <c r="V110" s="154"/>
      <c r="W110" s="154"/>
    </row>
    <row r="111" spans="15:23" x14ac:dyDescent="0.2">
      <c r="T111" s="154"/>
      <c r="U111" s="154"/>
      <c r="V111" s="154"/>
      <c r="W111" s="154"/>
    </row>
    <row r="112" spans="15:23" x14ac:dyDescent="0.2">
      <c r="T112" s="154"/>
      <c r="U112" s="154"/>
      <c r="V112" s="154"/>
      <c r="W112" s="154"/>
    </row>
    <row r="113" spans="20:23" x14ac:dyDescent="0.2">
      <c r="T113" s="154"/>
      <c r="U113" s="154"/>
      <c r="V113" s="154"/>
      <c r="W113" s="154"/>
    </row>
    <row r="114" spans="20:23" x14ac:dyDescent="0.2">
      <c r="T114" s="154"/>
      <c r="U114" s="154"/>
      <c r="V114" s="154"/>
      <c r="W114" s="154"/>
    </row>
    <row r="115" spans="20:23" x14ac:dyDescent="0.2">
      <c r="T115" s="154"/>
      <c r="U115" s="154"/>
      <c r="V115" s="154"/>
      <c r="W115" s="154"/>
    </row>
    <row r="116" spans="20:23" x14ac:dyDescent="0.2">
      <c r="T116" s="154"/>
      <c r="U116" s="154"/>
      <c r="V116" s="154"/>
      <c r="W116" s="154"/>
    </row>
    <row r="117" spans="20:23" x14ac:dyDescent="0.2">
      <c r="T117" s="154"/>
      <c r="U117" s="154"/>
      <c r="V117" s="154"/>
      <c r="W117" s="154"/>
    </row>
    <row r="118" spans="20:23" x14ac:dyDescent="0.2">
      <c r="T118" s="154"/>
      <c r="U118" s="154"/>
      <c r="V118" s="154"/>
      <c r="W118" s="154"/>
    </row>
    <row r="119" spans="20:23" x14ac:dyDescent="0.2">
      <c r="T119" s="154"/>
      <c r="U119" s="154"/>
      <c r="V119" s="154"/>
      <c r="W119" s="154"/>
    </row>
    <row r="120" spans="20:23" x14ac:dyDescent="0.2">
      <c r="T120" s="154"/>
      <c r="U120" s="154"/>
      <c r="V120" s="154"/>
      <c r="W120" s="154"/>
    </row>
    <row r="121" spans="20:23" x14ac:dyDescent="0.2">
      <c r="T121" s="154"/>
      <c r="U121" s="154"/>
      <c r="V121" s="154"/>
      <c r="W121" s="154"/>
    </row>
    <row r="122" spans="20:23" x14ac:dyDescent="0.2">
      <c r="T122" s="154"/>
      <c r="U122" s="154"/>
      <c r="V122" s="154"/>
      <c r="W122" s="154"/>
    </row>
    <row r="123" spans="20:23" x14ac:dyDescent="0.2">
      <c r="T123" s="154"/>
      <c r="U123" s="154"/>
      <c r="V123" s="154"/>
      <c r="W123" s="154"/>
    </row>
    <row r="124" spans="20:23" x14ac:dyDescent="0.2">
      <c r="T124" s="154"/>
      <c r="U124" s="154"/>
      <c r="V124" s="154"/>
      <c r="W124" s="154"/>
    </row>
    <row r="125" spans="20:23" x14ac:dyDescent="0.2">
      <c r="T125" s="154"/>
      <c r="U125" s="154"/>
      <c r="V125" s="154"/>
      <c r="W125" s="154"/>
    </row>
    <row r="126" spans="20:23" x14ac:dyDescent="0.2">
      <c r="T126" s="154"/>
      <c r="U126" s="154"/>
      <c r="V126" s="154"/>
      <c r="W126" s="154"/>
    </row>
    <row r="127" spans="20:23" x14ac:dyDescent="0.2">
      <c r="T127" s="154"/>
      <c r="U127" s="154"/>
      <c r="V127" s="154"/>
      <c r="W127" s="154"/>
    </row>
    <row r="128" spans="20:23" x14ac:dyDescent="0.2">
      <c r="T128" s="154"/>
      <c r="U128" s="154"/>
      <c r="V128" s="154"/>
      <c r="W128" s="154"/>
    </row>
    <row r="129" spans="20:23" x14ac:dyDescent="0.2">
      <c r="T129" s="154"/>
      <c r="U129" s="154"/>
      <c r="V129" s="154"/>
      <c r="W129" s="154"/>
    </row>
    <row r="130" spans="20:23" x14ac:dyDescent="0.2">
      <c r="T130" s="154"/>
      <c r="U130" s="154"/>
      <c r="V130" s="154"/>
      <c r="W130" s="154"/>
    </row>
    <row r="131" spans="20:23" x14ac:dyDescent="0.2">
      <c r="T131" s="154"/>
      <c r="U131" s="154"/>
      <c r="V131" s="154"/>
      <c r="W131" s="154"/>
    </row>
    <row r="132" spans="20:23" x14ac:dyDescent="0.2">
      <c r="T132" s="154"/>
      <c r="U132" s="154"/>
      <c r="V132" s="154"/>
      <c r="W132" s="154"/>
    </row>
    <row r="133" spans="20:23" x14ac:dyDescent="0.2">
      <c r="T133" s="154"/>
      <c r="U133" s="154"/>
      <c r="V133" s="154"/>
      <c r="W133" s="154"/>
    </row>
    <row r="134" spans="20:23" x14ac:dyDescent="0.2">
      <c r="T134" s="154"/>
      <c r="U134" s="154"/>
      <c r="V134" s="154"/>
      <c r="W134" s="154"/>
    </row>
    <row r="135" spans="20:23" x14ac:dyDescent="0.2">
      <c r="T135" s="154"/>
      <c r="U135" s="154"/>
      <c r="V135" s="154"/>
      <c r="W135" s="154"/>
    </row>
    <row r="136" spans="20:23" x14ac:dyDescent="0.2">
      <c r="T136" s="154"/>
      <c r="U136" s="154"/>
      <c r="V136" s="154"/>
      <c r="W136" s="154"/>
    </row>
    <row r="137" spans="20:23" x14ac:dyDescent="0.2">
      <c r="T137" s="154"/>
      <c r="U137" s="154"/>
      <c r="V137" s="154"/>
      <c r="W137" s="154"/>
    </row>
    <row r="138" spans="20:23" x14ac:dyDescent="0.2">
      <c r="T138" s="154"/>
      <c r="U138" s="154"/>
      <c r="V138" s="154"/>
      <c r="W138" s="154"/>
    </row>
    <row r="139" spans="20:23" x14ac:dyDescent="0.2">
      <c r="T139" s="154"/>
      <c r="U139" s="154"/>
      <c r="V139" s="154"/>
      <c r="W139" s="154"/>
    </row>
    <row r="140" spans="20:23" x14ac:dyDescent="0.2">
      <c r="T140" s="154"/>
      <c r="U140" s="154"/>
      <c r="V140" s="154"/>
      <c r="W140" s="154"/>
    </row>
    <row r="141" spans="20:23" x14ac:dyDescent="0.2">
      <c r="T141" s="154"/>
      <c r="U141" s="154"/>
      <c r="V141" s="154"/>
      <c r="W141" s="154"/>
    </row>
    <row r="142" spans="20:23" x14ac:dyDescent="0.2">
      <c r="T142" s="154"/>
      <c r="U142" s="154"/>
      <c r="V142" s="154"/>
      <c r="W142" s="154"/>
    </row>
    <row r="143" spans="20:23" x14ac:dyDescent="0.2">
      <c r="T143" s="154"/>
      <c r="U143" s="154"/>
      <c r="V143" s="154"/>
      <c r="W143" s="154"/>
    </row>
    <row r="144" spans="20:23" x14ac:dyDescent="0.2">
      <c r="T144" s="154"/>
      <c r="U144" s="154"/>
      <c r="V144" s="154"/>
      <c r="W144" s="154"/>
    </row>
    <row r="145" spans="20:23" x14ac:dyDescent="0.2">
      <c r="T145" s="154"/>
      <c r="U145" s="154"/>
      <c r="V145" s="154"/>
      <c r="W145" s="154"/>
    </row>
    <row r="146" spans="20:23" x14ac:dyDescent="0.2">
      <c r="T146" s="154"/>
      <c r="U146" s="154"/>
      <c r="V146" s="154"/>
      <c r="W146" s="154"/>
    </row>
    <row r="147" spans="20:23" x14ac:dyDescent="0.2">
      <c r="T147" s="154"/>
      <c r="U147" s="154"/>
      <c r="V147" s="154"/>
      <c r="W147" s="154"/>
    </row>
    <row r="148" spans="20:23" x14ac:dyDescent="0.2">
      <c r="T148" s="154"/>
      <c r="U148" s="154"/>
      <c r="V148" s="154"/>
      <c r="W148" s="154"/>
    </row>
    <row r="149" spans="20:23" x14ac:dyDescent="0.2">
      <c r="T149" s="154"/>
      <c r="U149" s="154"/>
      <c r="V149" s="154"/>
      <c r="W149" s="154"/>
    </row>
    <row r="150" spans="20:23" x14ac:dyDescent="0.2">
      <c r="T150" s="154"/>
      <c r="U150" s="154"/>
      <c r="V150" s="154"/>
      <c r="W150" s="154"/>
    </row>
    <row r="151" spans="20:23" x14ac:dyDescent="0.2">
      <c r="T151" s="154"/>
      <c r="U151" s="154"/>
      <c r="V151" s="154"/>
      <c r="W151" s="154"/>
    </row>
    <row r="152" spans="20:23" x14ac:dyDescent="0.2">
      <c r="T152" s="154"/>
      <c r="U152" s="154"/>
      <c r="V152" s="154"/>
      <c r="W152" s="154"/>
    </row>
    <row r="153" spans="20:23" x14ac:dyDescent="0.2">
      <c r="T153" s="154"/>
      <c r="U153" s="154"/>
      <c r="V153" s="154"/>
      <c r="W153" s="154"/>
    </row>
    <row r="154" spans="20:23" x14ac:dyDescent="0.2">
      <c r="T154" s="154"/>
      <c r="U154" s="154"/>
      <c r="V154" s="154"/>
      <c r="W154" s="154"/>
    </row>
    <row r="155" spans="20:23" x14ac:dyDescent="0.2">
      <c r="T155" s="154"/>
      <c r="U155" s="154"/>
      <c r="V155" s="154"/>
      <c r="W155" s="154"/>
    </row>
    <row r="156" spans="20:23" x14ac:dyDescent="0.2">
      <c r="T156" s="154"/>
      <c r="U156" s="154"/>
      <c r="V156" s="154"/>
      <c r="W156" s="154"/>
    </row>
    <row r="157" spans="20:23" x14ac:dyDescent="0.2">
      <c r="T157" s="154"/>
      <c r="U157" s="154"/>
      <c r="V157" s="154"/>
      <c r="W157" s="154"/>
    </row>
    <row r="158" spans="20:23" x14ac:dyDescent="0.2">
      <c r="T158" s="154"/>
      <c r="U158" s="154"/>
      <c r="V158" s="154"/>
      <c r="W158" s="154"/>
    </row>
    <row r="159" spans="20:23" x14ac:dyDescent="0.2">
      <c r="T159" s="154"/>
      <c r="U159" s="154"/>
      <c r="V159" s="154"/>
      <c r="W159" s="154"/>
    </row>
    <row r="160" spans="20:23" x14ac:dyDescent="0.2">
      <c r="T160" s="154"/>
      <c r="U160" s="154"/>
      <c r="V160" s="154"/>
      <c r="W160" s="154"/>
    </row>
    <row r="161" spans="20:23" x14ac:dyDescent="0.2">
      <c r="T161" s="154"/>
      <c r="U161" s="154"/>
      <c r="V161" s="154"/>
      <c r="W161" s="154"/>
    </row>
    <row r="162" spans="20:23" x14ac:dyDescent="0.2">
      <c r="T162" s="154"/>
      <c r="U162" s="154"/>
      <c r="V162" s="154"/>
      <c r="W162" s="154"/>
    </row>
    <row r="163" spans="20:23" x14ac:dyDescent="0.2">
      <c r="T163" s="154"/>
      <c r="U163" s="154"/>
      <c r="V163" s="154"/>
      <c r="W163" s="154"/>
    </row>
    <row r="164" spans="20:23" x14ac:dyDescent="0.2">
      <c r="T164" s="154"/>
      <c r="U164" s="154"/>
      <c r="V164" s="154"/>
      <c r="W164" s="154"/>
    </row>
    <row r="165" spans="20:23" x14ac:dyDescent="0.2">
      <c r="T165" s="154"/>
      <c r="U165" s="154"/>
      <c r="V165" s="154"/>
      <c r="W165" s="154"/>
    </row>
    <row r="166" spans="20:23" x14ac:dyDescent="0.2">
      <c r="T166" s="154"/>
      <c r="U166" s="154"/>
      <c r="V166" s="154"/>
      <c r="W166" s="154"/>
    </row>
    <row r="167" spans="20:23" x14ac:dyDescent="0.2">
      <c r="T167" s="154"/>
      <c r="U167" s="154"/>
      <c r="V167" s="154"/>
      <c r="W167" s="154"/>
    </row>
    <row r="168" spans="20:23" x14ac:dyDescent="0.2">
      <c r="T168" s="154"/>
      <c r="U168" s="154"/>
      <c r="V168" s="154"/>
      <c r="W168" s="154"/>
    </row>
    <row r="169" spans="20:23" x14ac:dyDescent="0.2">
      <c r="T169" s="154"/>
      <c r="U169" s="154"/>
      <c r="V169" s="154"/>
      <c r="W169" s="154"/>
    </row>
    <row r="170" spans="20:23" x14ac:dyDescent="0.2">
      <c r="T170" s="154"/>
      <c r="U170" s="154"/>
      <c r="V170" s="154"/>
      <c r="W170" s="154"/>
    </row>
    <row r="171" spans="20:23" x14ac:dyDescent="0.2">
      <c r="T171" s="154"/>
      <c r="U171" s="154"/>
      <c r="V171" s="154"/>
      <c r="W171" s="154"/>
    </row>
    <row r="172" spans="20:23" x14ac:dyDescent="0.2">
      <c r="T172" s="154"/>
      <c r="U172" s="154"/>
      <c r="V172" s="154"/>
      <c r="W172" s="154"/>
    </row>
    <row r="173" spans="20:23" x14ac:dyDescent="0.2">
      <c r="T173" s="154"/>
      <c r="U173" s="154"/>
      <c r="V173" s="154"/>
      <c r="W173" s="154"/>
    </row>
    <row r="174" spans="20:23" x14ac:dyDescent="0.2">
      <c r="T174" s="154"/>
      <c r="U174" s="154"/>
      <c r="V174" s="154"/>
      <c r="W174" s="154"/>
    </row>
    <row r="175" spans="20:23" x14ac:dyDescent="0.2">
      <c r="T175" s="154"/>
      <c r="U175" s="154"/>
      <c r="V175" s="154"/>
      <c r="W175" s="154"/>
    </row>
    <row r="176" spans="20:23" x14ac:dyDescent="0.2">
      <c r="T176" s="154"/>
      <c r="U176" s="154"/>
      <c r="V176" s="154"/>
      <c r="W176" s="154"/>
    </row>
    <row r="177" spans="20:23" x14ac:dyDescent="0.2">
      <c r="T177" s="154"/>
      <c r="U177" s="154"/>
      <c r="V177" s="154"/>
      <c r="W177" s="154"/>
    </row>
    <row r="178" spans="20:23" x14ac:dyDescent="0.2">
      <c r="T178" s="154"/>
      <c r="U178" s="154"/>
      <c r="V178" s="154"/>
      <c r="W178" s="154"/>
    </row>
    <row r="179" spans="20:23" x14ac:dyDescent="0.2">
      <c r="T179" s="154"/>
      <c r="U179" s="154"/>
      <c r="V179" s="154"/>
      <c r="W179" s="154"/>
    </row>
    <row r="180" spans="20:23" x14ac:dyDescent="0.2">
      <c r="T180" s="154"/>
      <c r="U180" s="154"/>
      <c r="V180" s="154"/>
      <c r="W180" s="154"/>
    </row>
    <row r="181" spans="20:23" x14ac:dyDescent="0.2">
      <c r="T181" s="154"/>
      <c r="U181" s="154"/>
      <c r="V181" s="154"/>
      <c r="W181" s="154"/>
    </row>
    <row r="182" spans="20:23" x14ac:dyDescent="0.2">
      <c r="T182" s="154"/>
      <c r="U182" s="154"/>
      <c r="V182" s="154"/>
      <c r="W182" s="154"/>
    </row>
    <row r="183" spans="20:23" x14ac:dyDescent="0.2">
      <c r="T183" s="154"/>
      <c r="U183" s="154"/>
      <c r="V183" s="154"/>
      <c r="W183" s="154"/>
    </row>
    <row r="184" spans="20:23" x14ac:dyDescent="0.2">
      <c r="T184" s="154"/>
      <c r="U184" s="154"/>
      <c r="V184" s="154"/>
      <c r="W184" s="154"/>
    </row>
    <row r="185" spans="20:23" x14ac:dyDescent="0.2">
      <c r="T185" s="154"/>
      <c r="U185" s="154"/>
      <c r="V185" s="154"/>
      <c r="W185" s="154"/>
    </row>
    <row r="186" spans="20:23" x14ac:dyDescent="0.2">
      <c r="T186" s="154"/>
      <c r="U186" s="154"/>
      <c r="V186" s="154"/>
      <c r="W186" s="154"/>
    </row>
    <row r="187" spans="20:23" x14ac:dyDescent="0.2">
      <c r="T187" s="154"/>
      <c r="U187" s="154"/>
      <c r="V187" s="154"/>
      <c r="W187" s="154"/>
    </row>
    <row r="188" spans="20:23" x14ac:dyDescent="0.2">
      <c r="T188" s="154"/>
      <c r="U188" s="154"/>
      <c r="V188" s="154"/>
      <c r="W188" s="154"/>
    </row>
    <row r="189" spans="20:23" x14ac:dyDescent="0.2">
      <c r="T189" s="154"/>
      <c r="U189" s="154"/>
      <c r="V189" s="154"/>
      <c r="W189" s="154"/>
    </row>
    <row r="190" spans="20:23" x14ac:dyDescent="0.2">
      <c r="T190" s="154"/>
      <c r="U190" s="154"/>
      <c r="V190" s="154"/>
      <c r="W190" s="154"/>
    </row>
    <row r="191" spans="20:23" x14ac:dyDescent="0.2">
      <c r="T191" s="154"/>
      <c r="U191" s="154"/>
      <c r="V191" s="154"/>
      <c r="W191" s="154"/>
    </row>
    <row r="192" spans="20:23" x14ac:dyDescent="0.2">
      <c r="T192" s="154"/>
      <c r="U192" s="154"/>
      <c r="V192" s="154"/>
      <c r="W192" s="154"/>
    </row>
    <row r="193" spans="20:23" x14ac:dyDescent="0.2">
      <c r="T193" s="154"/>
      <c r="U193" s="154"/>
      <c r="V193" s="154"/>
      <c r="W193" s="154"/>
    </row>
    <row r="194" spans="20:23" x14ac:dyDescent="0.2">
      <c r="T194" s="154"/>
      <c r="U194" s="154"/>
      <c r="V194" s="154"/>
      <c r="W194" s="154"/>
    </row>
    <row r="195" spans="20:23" x14ac:dyDescent="0.2">
      <c r="T195" s="154"/>
      <c r="U195" s="154"/>
      <c r="V195" s="154"/>
      <c r="W195" s="154"/>
    </row>
    <row r="196" spans="20:23" x14ac:dyDescent="0.2">
      <c r="T196" s="154"/>
      <c r="U196" s="154"/>
      <c r="V196" s="154"/>
      <c r="W196" s="154"/>
    </row>
    <row r="197" spans="20:23" x14ac:dyDescent="0.2">
      <c r="T197" s="154"/>
      <c r="U197" s="154"/>
      <c r="V197" s="154"/>
      <c r="W197" s="154"/>
    </row>
    <row r="198" spans="20:23" x14ac:dyDescent="0.2">
      <c r="T198" s="154"/>
      <c r="U198" s="154"/>
      <c r="V198" s="154"/>
      <c r="W198" s="154"/>
    </row>
    <row r="199" spans="20:23" x14ac:dyDescent="0.2">
      <c r="T199" s="154"/>
      <c r="U199" s="154"/>
      <c r="V199" s="154"/>
      <c r="W199" s="154"/>
    </row>
    <row r="200" spans="20:23" x14ac:dyDescent="0.2">
      <c r="T200" s="154"/>
      <c r="U200" s="154"/>
      <c r="V200" s="154"/>
      <c r="W200" s="154"/>
    </row>
    <row r="201" spans="20:23" x14ac:dyDescent="0.2">
      <c r="T201" s="154"/>
      <c r="U201" s="154"/>
      <c r="V201" s="154"/>
      <c r="W201" s="154"/>
    </row>
    <row r="202" spans="20:23" x14ac:dyDescent="0.2">
      <c r="T202" s="154"/>
      <c r="U202" s="154"/>
      <c r="V202" s="154"/>
      <c r="W202" s="154"/>
    </row>
    <row r="203" spans="20:23" x14ac:dyDescent="0.2">
      <c r="T203" s="154"/>
      <c r="U203" s="154"/>
      <c r="V203" s="154"/>
      <c r="W203" s="154"/>
    </row>
    <row r="204" spans="20:23" x14ac:dyDescent="0.2">
      <c r="T204" s="154"/>
      <c r="U204" s="154"/>
      <c r="V204" s="154"/>
      <c r="W204" s="154"/>
    </row>
    <row r="205" spans="20:23" x14ac:dyDescent="0.2">
      <c r="T205" s="154"/>
      <c r="U205" s="154"/>
      <c r="V205" s="154"/>
      <c r="W205" s="154"/>
    </row>
    <row r="206" spans="20:23" x14ac:dyDescent="0.2">
      <c r="T206" s="154"/>
      <c r="U206" s="154"/>
      <c r="V206" s="154"/>
      <c r="W206" s="154"/>
    </row>
    <row r="207" spans="20:23" x14ac:dyDescent="0.2">
      <c r="T207" s="154"/>
      <c r="U207" s="154"/>
      <c r="V207" s="154"/>
      <c r="W207" s="154"/>
    </row>
    <row r="208" spans="20:23" x14ac:dyDescent="0.2">
      <c r="T208" s="154"/>
      <c r="U208" s="154"/>
      <c r="V208" s="154"/>
      <c r="W208" s="154"/>
    </row>
    <row r="209" spans="20:23" x14ac:dyDescent="0.2">
      <c r="T209" s="154"/>
      <c r="U209" s="154"/>
      <c r="V209" s="154"/>
      <c r="W209" s="154"/>
    </row>
  </sheetData>
  <autoFilter ref="A1:P38" xr:uid="{00000000-0009-0000-0000-000001000000}">
    <sortState xmlns:xlrd2="http://schemas.microsoft.com/office/spreadsheetml/2017/richdata2" ref="A2:P41">
      <sortCondition ref="K14:K41"/>
      <sortCondition ref="A14:A41"/>
    </sortState>
  </autoFilter>
  <phoneticPr fontId="16" type="noConversion"/>
  <conditionalFormatting sqref="E50:R59 E70:R415 E60:K69 M60:R69">
    <cfRule type="expression" dxfId="1202" priority="21">
      <formula>$O50=6</formula>
    </cfRule>
    <cfRule type="expression" dxfId="1201" priority="22">
      <formula>$O50=5</formula>
    </cfRule>
    <cfRule type="expression" dxfId="1200" priority="23">
      <formula>$O50=4</formula>
    </cfRule>
    <cfRule type="expression" dxfId="1199" priority="24">
      <formula>$O50=3</formula>
    </cfRule>
    <cfRule type="expression" dxfId="1198" priority="25">
      <formula>$O50=2</formula>
    </cfRule>
  </conditionalFormatting>
  <conditionalFormatting sqref="D50:D1048576 D1">
    <cfRule type="duplicateValues" dxfId="1197" priority="26"/>
    <cfRule type="duplicateValues" dxfId="1196" priority="27"/>
    <cfRule type="duplicateValues" dxfId="1195" priority="28"/>
  </conditionalFormatting>
  <conditionalFormatting sqref="N2:O12">
    <cfRule type="expression" dxfId="1194" priority="16">
      <formula>$M2=6</formula>
    </cfRule>
    <cfRule type="expression" dxfId="1193" priority="17">
      <formula>$M2=5</formula>
    </cfRule>
    <cfRule type="expression" dxfId="1192" priority="18">
      <formula>$M2=4</formula>
    </cfRule>
    <cfRule type="expression" dxfId="1191" priority="19">
      <formula>$M2=3</formula>
    </cfRule>
    <cfRule type="expression" dxfId="1190" priority="20">
      <formula>$M2=2</formula>
    </cfRule>
  </conditionalFormatting>
  <conditionalFormatting sqref="T2:W209">
    <cfRule type="cellIs" dxfId="1189" priority="1" operator="greaterThan">
      <formula>0</formula>
    </cfRule>
  </conditionalFormatting>
  <conditionalFormatting sqref="D2:D12">
    <cfRule type="duplicateValues" dxfId="1188" priority="154"/>
    <cfRule type="duplicateValues" dxfId="1187" priority="155"/>
    <cfRule type="duplicateValues" dxfId="1186" priority="156"/>
  </conditionalFormatting>
  <conditionalFormatting sqref="D2:D12">
    <cfRule type="duplicateValues" dxfId="1185" priority="157"/>
  </conditionalFormatting>
  <conditionalFormatting sqref="D13:D49">
    <cfRule type="duplicateValues" dxfId="1184" priority="163"/>
    <cfRule type="duplicateValues" dxfId="1183" priority="164"/>
    <cfRule type="duplicateValues" dxfId="1182" priority="165"/>
  </conditionalFormatting>
  <conditionalFormatting sqref="D13:D49">
    <cfRule type="duplicateValues" dxfId="1181" priority="16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6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48.6640625" customWidth="1"/>
    <col min="3" max="3" width="9.6640625" customWidth="1"/>
    <col min="4" max="4" width="19.6640625" customWidth="1"/>
    <col min="5" max="5" width="17.5" style="99" customWidth="1"/>
    <col min="6" max="6" width="15.5" customWidth="1"/>
    <col min="7" max="7" width="19.6640625" customWidth="1"/>
    <col min="8" max="8" width="22.33203125" customWidth="1"/>
    <col min="9" max="12" width="15.6640625" customWidth="1"/>
  </cols>
  <sheetData>
    <row r="1" spans="1:12" ht="32.5" customHeight="1" x14ac:dyDescent="0.2">
      <c r="A1" s="149" t="s">
        <v>130</v>
      </c>
      <c r="B1" s="149" t="s">
        <v>131</v>
      </c>
      <c r="C1" s="149" t="s">
        <v>83</v>
      </c>
      <c r="D1" s="149" t="s">
        <v>81</v>
      </c>
      <c r="E1" s="150" t="s">
        <v>139</v>
      </c>
      <c r="F1" s="149" t="s">
        <v>90</v>
      </c>
      <c r="G1" s="103" t="s">
        <v>133</v>
      </c>
      <c r="I1" s="153" t="s">
        <v>162</v>
      </c>
      <c r="J1" s="153" t="s">
        <v>163</v>
      </c>
      <c r="K1" s="153" t="s">
        <v>164</v>
      </c>
      <c r="L1" s="153" t="s">
        <v>165</v>
      </c>
    </row>
    <row r="2" spans="1:12" ht="25" customHeight="1" x14ac:dyDescent="0.2">
      <c r="A2" s="102" t="str">
        <f>ИД!D2</f>
        <v>У 1</v>
      </c>
      <c r="B2" s="102" t="str">
        <f>ИД!E2</f>
        <v>А-380 «Гузор-Бухоро-Нукус-Бейнеу»   км 565+929 - км 690+658</v>
      </c>
      <c r="C2" s="102" t="str">
        <f>ИД!F2</f>
        <v>III</v>
      </c>
      <c r="D2" s="102" t="str">
        <f>ИД!G2</f>
        <v>асф. бет., цементобетон</v>
      </c>
      <c r="E2" s="102" t="str">
        <f>ИД!I2</f>
        <v>10</v>
      </c>
      <c r="F2" s="148">
        <f>ИД!L2</f>
        <v>122.20000000000002</v>
      </c>
      <c r="G2" s="102" t="str">
        <f>ИД!H2</f>
        <v>Министерство транспорта Республики Каракалпкстан</v>
      </c>
      <c r="H2" s="152" t="str">
        <f>ИД!N2</f>
        <v>федеральная</v>
      </c>
      <c r="I2" s="154">
        <f>ИД!T2</f>
        <v>0</v>
      </c>
      <c r="J2" s="154">
        <f>ИД!U2</f>
        <v>0</v>
      </c>
      <c r="K2" s="154">
        <f>ИД!V2</f>
        <v>0</v>
      </c>
      <c r="L2" s="154">
        <f>ИД!W2</f>
        <v>0</v>
      </c>
    </row>
    <row r="3" spans="1:12" ht="25" customHeight="1" x14ac:dyDescent="0.2">
      <c r="A3" s="102" t="str">
        <f>ИД!D3</f>
        <v>У 5</v>
      </c>
      <c r="B3" s="102" t="str">
        <f>ИД!E3</f>
        <v>4Р-171 Дорога ведущая в город Туркуль</v>
      </c>
      <c r="C3" s="102" t="str">
        <f>ИД!F3</f>
        <v>III</v>
      </c>
      <c r="D3" s="102" t="str">
        <f>ИД!G3</f>
        <v>асф. бет</v>
      </c>
      <c r="E3" s="102" t="str">
        <f>ИД!I3</f>
        <v>10</v>
      </c>
      <c r="F3" s="148">
        <f>ИД!L3</f>
        <v>2.5</v>
      </c>
      <c r="G3" s="102" t="str">
        <f>ИД!H3</f>
        <v>Министерство транспорта Республики Каракалпкстан</v>
      </c>
      <c r="H3" s="152" t="str">
        <f>ИД!N3</f>
        <v>региональная</v>
      </c>
      <c r="I3" s="154">
        <f>ИД!T3</f>
        <v>0</v>
      </c>
      <c r="J3" s="154">
        <f>ИД!U3</f>
        <v>0</v>
      </c>
      <c r="K3" s="154">
        <f>ИД!V3</f>
        <v>0</v>
      </c>
      <c r="L3" s="154">
        <f>ИД!W3</f>
        <v>0</v>
      </c>
    </row>
    <row r="4" spans="1:12" ht="25" customHeight="1" x14ac:dyDescent="0.2">
      <c r="A4" s="102" t="str">
        <f>ИД!D4</f>
        <v>У 6</v>
      </c>
      <c r="B4" s="102" t="str">
        <f>ИД!E4</f>
        <v>4К96</v>
      </c>
      <c r="C4" s="102" t="str">
        <f>ИД!F4</f>
        <v>IV</v>
      </c>
      <c r="D4" s="102" t="str">
        <f>ИД!G4</f>
        <v>асф. бет</v>
      </c>
      <c r="E4" s="102" t="str">
        <f>ИД!I4</f>
        <v>10</v>
      </c>
      <c r="F4" s="148">
        <f>ИД!L4</f>
        <v>7.3</v>
      </c>
      <c r="G4" s="102" t="str">
        <f>ИД!H4</f>
        <v>Главное Управление дорог по Хорезмской области</v>
      </c>
      <c r="H4" s="152" t="str">
        <f>ИД!N4</f>
        <v>региональная</v>
      </c>
      <c r="I4" s="154">
        <f>ИД!T4</f>
        <v>0</v>
      </c>
      <c r="J4" s="154">
        <f>ИД!U4</f>
        <v>0</v>
      </c>
      <c r="K4" s="154">
        <f>ИД!V4</f>
        <v>0</v>
      </c>
      <c r="L4" s="154">
        <f>ИД!W4</f>
        <v>0</v>
      </c>
    </row>
    <row r="5" spans="1:12" ht="25" customHeight="1" x14ac:dyDescent="0.2">
      <c r="A5" s="102" t="str">
        <f>ИД!D5</f>
        <v>У 7.1</v>
      </c>
      <c r="B5" s="102" t="str">
        <f>ИД!E5</f>
        <v>4р161 «Урганч-Чолиш-Беруний-Бустон»
км 13+083 - км 20+809</v>
      </c>
      <c r="C5" s="102" t="str">
        <f>ИД!F5</f>
        <v>II</v>
      </c>
      <c r="D5" s="102" t="str">
        <f>ИД!G5</f>
        <v>асф. бет</v>
      </c>
      <c r="E5" s="102" t="str">
        <f>ИД!I5</f>
        <v>8</v>
      </c>
      <c r="F5" s="148">
        <f>ИД!L5</f>
        <v>7.7</v>
      </c>
      <c r="G5" s="102" t="str">
        <f>ИД!H5</f>
        <v>Главное Управление дорог по Хорезмской области</v>
      </c>
      <c r="H5" s="152" t="str">
        <f>ИД!N5</f>
        <v>региональная</v>
      </c>
      <c r="I5" s="154">
        <f>ИД!T5</f>
        <v>0</v>
      </c>
      <c r="J5" s="154">
        <f>ИД!U5</f>
        <v>0</v>
      </c>
      <c r="K5" s="154">
        <f>ИД!V5</f>
        <v>0</v>
      </c>
      <c r="L5" s="154">
        <f>ИД!W5</f>
        <v>0</v>
      </c>
    </row>
    <row r="6" spans="1:12" ht="25" customHeight="1" x14ac:dyDescent="0.2">
      <c r="A6" s="102" t="str">
        <f>ИД!D6</f>
        <v>У 7.2</v>
      </c>
      <c r="B6" s="102" t="str">
        <f>ИД!E6</f>
        <v>4р161 «Урганч-Чолиш-Беруний-Бустон»
км 22+228 км 43+553</v>
      </c>
      <c r="C6" s="102" t="str">
        <f>ИД!F6</f>
        <v>III, IV</v>
      </c>
      <c r="D6" s="102" t="str">
        <f>ИД!G6</f>
        <v>асф. бет</v>
      </c>
      <c r="E6" s="102" t="str">
        <f>ИД!I6</f>
        <v>10</v>
      </c>
      <c r="F6" s="148">
        <f>ИД!L6</f>
        <v>21.6</v>
      </c>
      <c r="G6" s="102" t="str">
        <f>ИД!H6</f>
        <v>Министерство транспорта Республики Каракалпкстан</v>
      </c>
      <c r="H6" s="152" t="str">
        <f>ИД!N6</f>
        <v>региональная</v>
      </c>
      <c r="I6" s="154">
        <f>ИД!T6</f>
        <v>0</v>
      </c>
      <c r="J6" s="154">
        <f>ИД!U6</f>
        <v>0</v>
      </c>
      <c r="K6" s="154">
        <f>ИД!V6</f>
        <v>0</v>
      </c>
      <c r="L6" s="154">
        <f>ИД!W6</f>
        <v>0</v>
      </c>
    </row>
    <row r="7" spans="1:12" ht="25" customHeight="1" x14ac:dyDescent="0.2">
      <c r="A7" s="102" t="str">
        <f>ИД!D7</f>
        <v>У 8.1</v>
      </c>
      <c r="B7" s="102" t="str">
        <f>ИД!E7</f>
        <v>4р-171А А-380-Беруний шахрига кириш
км 0+000 - км 0+900</v>
      </c>
      <c r="C7" s="102" t="str">
        <f>ИД!F7</f>
        <v>II</v>
      </c>
      <c r="D7" s="102" t="str">
        <f>ИД!G7</f>
        <v>асф. бет</v>
      </c>
      <c r="E7" s="102" t="str">
        <f>ИД!I7</f>
        <v>10</v>
      </c>
      <c r="F7" s="148">
        <f>ИД!L7</f>
        <v>0.9</v>
      </c>
      <c r="G7" s="102" t="str">
        <f>ИД!H7</f>
        <v>Министерство транспорта Республики Каракалпкстан</v>
      </c>
      <c r="H7" s="152" t="str">
        <f>ИД!N7</f>
        <v>региональная</v>
      </c>
      <c r="I7" s="154">
        <f>ИД!T7</f>
        <v>0</v>
      </c>
      <c r="J7" s="154">
        <f>ИД!U7</f>
        <v>0</v>
      </c>
      <c r="K7" s="154">
        <f>ИД!V7</f>
        <v>0</v>
      </c>
      <c r="L7" s="154">
        <f>ИД!W7</f>
        <v>0</v>
      </c>
    </row>
    <row r="8" spans="1:12" ht="25" customHeight="1" x14ac:dyDescent="0.2">
      <c r="A8" s="102" t="str">
        <f>ИД!D8</f>
        <v>У 8.2</v>
      </c>
      <c r="B8" s="102" t="str">
        <f>ИД!E8</f>
        <v>4р-171А А-380-Беруний шахрига кириш
км 7+500 - км 8+000</v>
      </c>
      <c r="C8" s="102" t="str">
        <f>ИД!F8</f>
        <v>II</v>
      </c>
      <c r="D8" s="102" t="str">
        <f>ИД!G8</f>
        <v>асф. бет</v>
      </c>
      <c r="E8" s="102" t="str">
        <f>ИД!I8</f>
        <v>10</v>
      </c>
      <c r="F8" s="148">
        <f>ИД!L8</f>
        <v>0.5</v>
      </c>
      <c r="G8" s="102" t="str">
        <f>ИД!H8</f>
        <v>Министерство транспорта Республики Каракалпкстан</v>
      </c>
      <c r="H8" s="152" t="str">
        <f>ИД!N8</f>
        <v>региональная</v>
      </c>
      <c r="I8" s="154">
        <f>ИД!T8</f>
        <v>0</v>
      </c>
      <c r="J8" s="154">
        <f>ИД!U8</f>
        <v>0</v>
      </c>
      <c r="K8" s="154">
        <f>ИД!V8</f>
        <v>0</v>
      </c>
      <c r="L8" s="154">
        <f>ИД!W8</f>
        <v>0</v>
      </c>
    </row>
    <row r="9" spans="1:12" ht="25" customHeight="1" x14ac:dyDescent="0.2">
      <c r="A9" s="102" t="str">
        <f>ИД!D9</f>
        <v>У 9</v>
      </c>
      <c r="B9" s="102" t="str">
        <f>ИД!E9</f>
        <v>4н-14 А-380 а/й -У.Жуманиёзов ДФХ
км 0+000 - км 1+200</v>
      </c>
      <c r="C9" s="102" t="str">
        <f>ИД!F9</f>
        <v>III</v>
      </c>
      <c r="D9" s="102" t="str">
        <f>ИД!G9</f>
        <v>асф. бет</v>
      </c>
      <c r="E9" s="102" t="str">
        <f>ИД!I9</f>
        <v>10</v>
      </c>
      <c r="F9" s="148">
        <f>ИД!L9</f>
        <v>1.2</v>
      </c>
      <c r="G9" s="102" t="str">
        <f>ИД!H9</f>
        <v>Министерство транспорта Республики Каракалпкстан</v>
      </c>
      <c r="H9" s="152" t="str">
        <f>ИД!N9</f>
        <v>региональная</v>
      </c>
      <c r="I9" s="154">
        <f>ИД!T9</f>
        <v>0</v>
      </c>
      <c r="J9" s="154">
        <f>ИД!U9</f>
        <v>0</v>
      </c>
      <c r="K9" s="154">
        <f>ИД!V9</f>
        <v>0</v>
      </c>
      <c r="L9" s="154">
        <f>ИД!W9</f>
        <v>0</v>
      </c>
    </row>
    <row r="10" spans="1:12" ht="25" customHeight="1" x14ac:dyDescent="0.2">
      <c r="A10" s="102" t="str">
        <f>ИД!D10</f>
        <v>У 10</v>
      </c>
      <c r="B10" s="102" t="str">
        <f>ИД!E10</f>
        <v xml:space="preserve">4р182 А380 а/йули (662км)дан -Кизилкалъа-Бустон-Гулдурсун-Турткул             </v>
      </c>
      <c r="C10" s="102" t="str">
        <f>ИД!F10</f>
        <v>III</v>
      </c>
      <c r="D10" s="102" t="str">
        <f>ИД!G10</f>
        <v>асф. бет</v>
      </c>
      <c r="E10" s="102" t="str">
        <f>ИД!I10</f>
        <v>10</v>
      </c>
      <c r="F10" s="148">
        <f>ИД!L10</f>
        <v>31.8</v>
      </c>
      <c r="G10" s="102" t="str">
        <f>ИД!H10</f>
        <v>Министерство транспорта Республики Каракалпкстан</v>
      </c>
      <c r="H10" s="152" t="str">
        <f>ИД!N10</f>
        <v>региональная</v>
      </c>
      <c r="I10" s="154">
        <f>ИД!T10</f>
        <v>0</v>
      </c>
      <c r="J10" s="154">
        <f>ИД!U10</f>
        <v>0</v>
      </c>
      <c r="K10" s="154">
        <f>ИД!V10</f>
        <v>0</v>
      </c>
      <c r="L10" s="154">
        <f>ИД!W10</f>
        <v>0</v>
      </c>
    </row>
    <row r="11" spans="1:12" ht="25" customHeight="1" x14ac:dyDescent="0.2">
      <c r="A11" s="102" t="str">
        <f>ИД!D11</f>
        <v>У 11</v>
      </c>
      <c r="B11" s="102" t="str">
        <f>ИД!E11</f>
        <v>4Н103 4р 182 а/йули (28км)дан-                   Чайка овули-Гулистон ОФЙга</v>
      </c>
      <c r="C11" s="102" t="str">
        <f>ИД!F11</f>
        <v>IV</v>
      </c>
      <c r="D11" s="102" t="str">
        <f>ИД!G11</f>
        <v>асф. бет</v>
      </c>
      <c r="E11" s="102" t="str">
        <f>ИД!I11</f>
        <v>10</v>
      </c>
      <c r="F11" s="148">
        <f>ИД!L11</f>
        <v>12.8</v>
      </c>
      <c r="G11" s="102" t="str">
        <f>ИД!H11</f>
        <v>Министерство транспорта Республики Каракалпкстан</v>
      </c>
      <c r="H11" s="152" t="str">
        <f>ИД!N11</f>
        <v>региональная</v>
      </c>
      <c r="I11" s="154">
        <f>ИД!T11</f>
        <v>0</v>
      </c>
      <c r="J11" s="154">
        <f>ИД!U11</f>
        <v>0</v>
      </c>
      <c r="K11" s="154">
        <f>ИД!V11</f>
        <v>0</v>
      </c>
      <c r="L11" s="154">
        <f>ИД!W11</f>
        <v>0</v>
      </c>
    </row>
    <row r="12" spans="1:12" ht="25" customHeight="1" x14ac:dyDescent="0.2">
      <c r="A12" s="102" t="str">
        <f>ИД!D12</f>
        <v>У 12</v>
      </c>
      <c r="B12" s="102" t="str">
        <f>ИД!E12</f>
        <v>4н13 4н 103 а/йули (13км)дан Аязкалъа кургонига  а/йули</v>
      </c>
      <c r="C12" s="102" t="str">
        <f>ИД!F12</f>
        <v>IV</v>
      </c>
      <c r="D12" s="102" t="str">
        <f>ИД!G12</f>
        <v>асф. бет</v>
      </c>
      <c r="E12" s="102" t="str">
        <f>ИД!I12</f>
        <v>10</v>
      </c>
      <c r="F12" s="148">
        <f>ИД!L12</f>
        <v>7.9</v>
      </c>
      <c r="G12" s="102" t="str">
        <f>ИД!H12</f>
        <v>Министерство транспорта Республики Каракалпкстан</v>
      </c>
      <c r="H12" s="152" t="str">
        <f>ИД!N12</f>
        <v>региональная</v>
      </c>
      <c r="I12" s="154">
        <f>ИД!T12</f>
        <v>0</v>
      </c>
      <c r="J12" s="154">
        <f>ИД!U12</f>
        <v>0</v>
      </c>
      <c r="K12" s="154">
        <f>ИД!V12</f>
        <v>0</v>
      </c>
      <c r="L12" s="154">
        <f>ИД!W12</f>
        <v>0</v>
      </c>
    </row>
    <row r="13" spans="1:12" ht="25" customHeight="1" x14ac:dyDescent="0.2">
      <c r="A13" s="102" t="str">
        <f>ИД!D13</f>
        <v>У 25</v>
      </c>
      <c r="B13" s="102" t="str">
        <f>ИД!E13</f>
        <v>Северо-Западный подъезд к ст. Мискин</v>
      </c>
      <c r="C13" s="102" t="str">
        <f>ИД!F13</f>
        <v>V</v>
      </c>
      <c r="D13" s="102" t="str">
        <f>ИД!G13</f>
        <v>щебенистый грунт</v>
      </c>
      <c r="E13" s="102" t="str">
        <f>ИД!I13</f>
        <v>10</v>
      </c>
      <c r="F13" s="148">
        <f>ИД!L13</f>
        <v>0.6</v>
      </c>
      <c r="G13" s="102" t="str">
        <f>ИД!H13</f>
        <v>Туркульский район</v>
      </c>
      <c r="H13" s="152" t="str">
        <f>ИД!N13</f>
        <v>местная</v>
      </c>
      <c r="I13" s="154">
        <f>ИД!T13</f>
        <v>0</v>
      </c>
      <c r="J13" s="154">
        <f>ИД!U13</f>
        <v>0</v>
      </c>
      <c r="K13" s="154">
        <f>ИД!V13</f>
        <v>0</v>
      </c>
      <c r="L13" s="154">
        <f>ИД!W13</f>
        <v>0</v>
      </c>
    </row>
    <row r="14" spans="1:12" ht="25" customHeight="1" x14ac:dyDescent="0.2">
      <c r="A14" s="102" t="str">
        <f>ИД!D14</f>
        <v>У 26</v>
      </c>
      <c r="B14" s="102" t="str">
        <f>ИД!E14</f>
        <v xml:space="preserve">Подъезд к ж.д. пути № 20 </v>
      </c>
      <c r="C14" s="102" t="str">
        <f>ИД!F14</f>
        <v>IV</v>
      </c>
      <c r="D14" s="102" t="str">
        <f>ИД!G14</f>
        <v>щебенистый грунт</v>
      </c>
      <c r="E14" s="102" t="str">
        <f>ИД!I14</f>
        <v>10</v>
      </c>
      <c r="F14" s="148">
        <f>ИД!L14</f>
        <v>0.2</v>
      </c>
      <c r="G14" s="102" t="str">
        <f>ИД!H14</f>
        <v>Туркульский район</v>
      </c>
      <c r="H14" s="152" t="str">
        <f>ИД!N14</f>
        <v>местная</v>
      </c>
      <c r="I14" s="154">
        <f>ИД!T14</f>
        <v>0</v>
      </c>
      <c r="J14" s="154">
        <f>ИД!U14</f>
        <v>0</v>
      </c>
      <c r="K14" s="154">
        <f>ИД!V14</f>
        <v>0</v>
      </c>
      <c r="L14" s="154">
        <f>ИД!W14</f>
        <v>0</v>
      </c>
    </row>
    <row r="15" spans="1:12" ht="25" customHeight="1" x14ac:dyDescent="0.2">
      <c r="A15" s="102" t="str">
        <f>ИД!D15</f>
        <v>У 27</v>
      </c>
      <c r="B15" s="102" t="str">
        <f>ИД!E15</f>
        <v>ул. Матнафакова</v>
      </c>
      <c r="C15" s="102" t="str">
        <f>ИД!F15</f>
        <v>IV</v>
      </c>
      <c r="D15" s="102" t="str">
        <f>ИД!G15</f>
        <v>асф. бет.</v>
      </c>
      <c r="E15" s="102" t="str">
        <f>ИД!I15</f>
        <v>6</v>
      </c>
      <c r="F15" s="148">
        <f>ИД!L15</f>
        <v>1.1000000000000001</v>
      </c>
      <c r="G15" s="102" t="str">
        <f>ИД!H15</f>
        <v>Туркульский район</v>
      </c>
      <c r="H15" s="152" t="str">
        <f>ИД!N15</f>
        <v>местная</v>
      </c>
      <c r="I15" s="154">
        <f>ИД!T15</f>
        <v>0</v>
      </c>
      <c r="J15" s="154">
        <f>ИД!U15</f>
        <v>0</v>
      </c>
      <c r="K15" s="154">
        <f>ИД!V15</f>
        <v>0</v>
      </c>
      <c r="L15" s="154">
        <f>ИД!W15</f>
        <v>0</v>
      </c>
    </row>
    <row r="16" spans="1:12" ht="25" customHeight="1" x14ac:dyDescent="0.2">
      <c r="A16" s="102" t="str">
        <f>ИД!D16</f>
        <v>У 28</v>
      </c>
      <c r="B16" s="102" t="str">
        <f>ИД!E16</f>
        <v>Подъезд к месту разгрузки ст. Туркуль</v>
      </c>
      <c r="C16" s="102" t="str">
        <f>ИД!F16</f>
        <v>б.к.</v>
      </c>
      <c r="D16" s="102" t="str">
        <f>ИД!G16</f>
        <v>грунтовое</v>
      </c>
      <c r="E16" s="102" t="str">
        <f>ИД!I16</f>
        <v>-</v>
      </c>
      <c r="F16" s="148">
        <f>ИД!L16</f>
        <v>0.3</v>
      </c>
      <c r="G16" s="102" t="str">
        <f>ИД!H16</f>
        <v>Туркульский район</v>
      </c>
      <c r="H16" s="152" t="str">
        <f>ИД!N16</f>
        <v>местная</v>
      </c>
      <c r="I16" s="154">
        <f>ИД!T16</f>
        <v>0</v>
      </c>
      <c r="J16" s="154">
        <f>ИД!U16</f>
        <v>0</v>
      </c>
      <c r="K16" s="154">
        <f>ИД!V16</f>
        <v>0</v>
      </c>
      <c r="L16" s="154">
        <f>ИД!W16</f>
        <v>0</v>
      </c>
    </row>
    <row r="17" spans="1:12" ht="25" customHeight="1" x14ac:dyDescent="0.2">
      <c r="A17" s="102" t="str">
        <f>ИД!D17</f>
        <v>У 29</v>
      </c>
      <c r="B17" s="102" t="str">
        <f>ИД!E17</f>
        <v>Подъезд к восточному карьеру р. Амударья</v>
      </c>
      <c r="C17" s="102" t="str">
        <f>ИД!F17</f>
        <v>б.к.</v>
      </c>
      <c r="D17" s="102" t="str">
        <f>ИД!G17</f>
        <v>грунтовое</v>
      </c>
      <c r="E17" s="102" t="str">
        <f>ИД!I17</f>
        <v>-</v>
      </c>
      <c r="F17" s="148">
        <f>ИД!L17</f>
        <v>0.6</v>
      </c>
      <c r="G17" s="102" t="str">
        <f>ИД!H17</f>
        <v>Ургенчский район</v>
      </c>
      <c r="H17" s="152" t="str">
        <f>ИД!N17</f>
        <v>местная</v>
      </c>
      <c r="I17" s="154">
        <f>ИД!T17</f>
        <v>0</v>
      </c>
      <c r="J17" s="154">
        <f>ИД!U17</f>
        <v>0</v>
      </c>
      <c r="K17" s="154">
        <f>ИД!V17</f>
        <v>0</v>
      </c>
      <c r="L17" s="154">
        <f>ИД!W17</f>
        <v>0</v>
      </c>
    </row>
    <row r="18" spans="1:12" ht="25" customHeight="1" x14ac:dyDescent="0.2">
      <c r="A18" s="102" t="str">
        <f>ИД!D18</f>
        <v>У 30</v>
      </c>
      <c r="B18" s="102" t="str">
        <f>ИД!E18</f>
        <v>Подъезд к карьеру песка № 1</v>
      </c>
      <c r="C18" s="102" t="str">
        <f>ИД!F18</f>
        <v>IV, б.к.</v>
      </c>
      <c r="D18" s="102" t="str">
        <f>ИД!G18</f>
        <v>асф. Бет 1,0 км, щебенистый грунт 1,3 км</v>
      </c>
      <c r="E18" s="102" t="str">
        <f>ИД!I18</f>
        <v>10 / -</v>
      </c>
      <c r="F18" s="148">
        <f>ИД!L18</f>
        <v>2.2999999999999998</v>
      </c>
      <c r="G18" s="102" t="str">
        <f>ИД!H18</f>
        <v>Ургенчский район</v>
      </c>
      <c r="H18" s="152" t="str">
        <f>ИД!N18</f>
        <v>местная</v>
      </c>
      <c r="I18" s="154">
        <f>ИД!T18</f>
        <v>0</v>
      </c>
      <c r="J18" s="154">
        <f>ИД!U18</f>
        <v>0</v>
      </c>
      <c r="K18" s="154">
        <f>ИД!V18</f>
        <v>0</v>
      </c>
      <c r="L18" s="154">
        <f>ИД!W18</f>
        <v>0</v>
      </c>
    </row>
    <row r="19" spans="1:12" ht="25" customHeight="1" x14ac:dyDescent="0.2">
      <c r="A19" s="102" t="str">
        <f>ИД!D19</f>
        <v>У 31</v>
      </c>
      <c r="B19" s="102" t="str">
        <f>ИД!E19</f>
        <v>Проезд вдоль промзоны г. Беруни</v>
      </c>
      <c r="C19" s="102" t="str">
        <f>ИД!F19</f>
        <v>V</v>
      </c>
      <c r="D19" s="102" t="str">
        <f>ИД!G19</f>
        <v>ПГС</v>
      </c>
      <c r="E19" s="102" t="str">
        <f>ИД!I19</f>
        <v>10</v>
      </c>
      <c r="F19" s="148">
        <f>ИД!L19</f>
        <v>0.4</v>
      </c>
      <c r="G19" s="102" t="str">
        <f>ИД!H19</f>
        <v>Берунийский район</v>
      </c>
      <c r="H19" s="152" t="str">
        <f>ИД!N19</f>
        <v>местная</v>
      </c>
      <c r="I19" s="154">
        <f>ИД!T19</f>
        <v>0</v>
      </c>
      <c r="J19" s="154">
        <f>ИД!U19</f>
        <v>0</v>
      </c>
      <c r="K19" s="154">
        <f>ИД!V19</f>
        <v>0</v>
      </c>
      <c r="L19" s="154">
        <f>ИД!W19</f>
        <v>0</v>
      </c>
    </row>
    <row r="20" spans="1:12" ht="25" customHeight="1" x14ac:dyDescent="0.2">
      <c r="A20" s="102" t="str">
        <f>ИД!D20</f>
        <v>У 32</v>
      </c>
      <c r="B20" s="102" t="str">
        <f>ИД!E20</f>
        <v>ул. Навруз</v>
      </c>
      <c r="C20" s="102" t="str">
        <f>ИД!F20</f>
        <v>III</v>
      </c>
      <c r="D20" s="102" t="str">
        <f>ИД!G20</f>
        <v>асф. бет.</v>
      </c>
      <c r="E20" s="102" t="str">
        <f>ИД!I20</f>
        <v>10</v>
      </c>
      <c r="F20" s="148">
        <f>ИД!L20</f>
        <v>1</v>
      </c>
      <c r="G20" s="102" t="str">
        <f>ИД!H20</f>
        <v>Берунийский район</v>
      </c>
      <c r="H20" s="152" t="str">
        <f>ИД!N20</f>
        <v>местная</v>
      </c>
      <c r="I20" s="154">
        <f>ИД!T20</f>
        <v>0</v>
      </c>
      <c r="J20" s="154">
        <f>ИД!U20</f>
        <v>0</v>
      </c>
      <c r="K20" s="154">
        <f>ИД!V20</f>
        <v>0</v>
      </c>
      <c r="L20" s="154">
        <f>ИД!W20</f>
        <v>0</v>
      </c>
    </row>
    <row r="21" spans="1:12" ht="25" customHeight="1" x14ac:dyDescent="0.2">
      <c r="A21" s="102" t="str">
        <f>ИД!D21</f>
        <v>У 33</v>
      </c>
      <c r="B21" s="102" t="str">
        <f>ИД!E21</f>
        <v>ул. Курувчилар</v>
      </c>
      <c r="C21" s="102" t="str">
        <f>ИД!F21</f>
        <v>III</v>
      </c>
      <c r="D21" s="102" t="str">
        <f>ИД!G21</f>
        <v>асф. бет.</v>
      </c>
      <c r="E21" s="102" t="str">
        <f>ИД!I21</f>
        <v>10</v>
      </c>
      <c r="F21" s="148">
        <f>ИД!L21</f>
        <v>0.4</v>
      </c>
      <c r="G21" s="102" t="str">
        <f>ИД!H21</f>
        <v>Берунийский район</v>
      </c>
      <c r="H21" s="152" t="str">
        <f>ИД!N21</f>
        <v>местная</v>
      </c>
      <c r="I21" s="154">
        <f>ИД!T21</f>
        <v>0</v>
      </c>
      <c r="J21" s="154">
        <f>ИД!U21</f>
        <v>0</v>
      </c>
      <c r="K21" s="154">
        <f>ИД!V21</f>
        <v>0</v>
      </c>
      <c r="L21" s="154">
        <f>ИД!W21</f>
        <v>0</v>
      </c>
    </row>
    <row r="22" spans="1:12" ht="25" customHeight="1" x14ac:dyDescent="0.2">
      <c r="A22" s="102" t="str">
        <f>ИД!D22</f>
        <v>У 34</v>
      </c>
      <c r="B22" s="102" t="str">
        <f>ИД!E22</f>
        <v>Подъезд к каладбищу г. Беруни</v>
      </c>
      <c r="C22" s="102" t="str">
        <f>ИД!F22</f>
        <v>IV</v>
      </c>
      <c r="D22" s="102" t="str">
        <f>ИД!G22</f>
        <v>асф. бет.</v>
      </c>
      <c r="E22" s="102" t="str">
        <f>ИД!I22</f>
        <v>10</v>
      </c>
      <c r="F22" s="148">
        <f>ИД!L22</f>
        <v>1.2</v>
      </c>
      <c r="G22" s="102" t="str">
        <f>ИД!H22</f>
        <v>Берунийский район</v>
      </c>
      <c r="H22" s="152" t="str">
        <f>ИД!N22</f>
        <v>местная</v>
      </c>
      <c r="I22" s="154">
        <f>ИД!T22</f>
        <v>0</v>
      </c>
      <c r="J22" s="154">
        <f>ИД!U22</f>
        <v>0</v>
      </c>
      <c r="K22" s="154">
        <f>ИД!V22</f>
        <v>0</v>
      </c>
      <c r="L22" s="154">
        <f>ИД!W22</f>
        <v>0</v>
      </c>
    </row>
    <row r="23" spans="1:12" ht="25" customHeight="1" x14ac:dyDescent="0.2">
      <c r="A23" s="102" t="str">
        <f>ИД!D23</f>
        <v>У 35</v>
      </c>
      <c r="B23" s="102" t="str">
        <f>ИД!E23</f>
        <v>Подъезд к полигону ТБО г. Беруни</v>
      </c>
      <c r="C23" s="102" t="str">
        <f>ИД!F23</f>
        <v>б.к.</v>
      </c>
      <c r="D23" s="102" t="str">
        <f>ИД!G23</f>
        <v>грунтовое</v>
      </c>
      <c r="E23" s="102" t="str">
        <f>ИД!I23</f>
        <v>-</v>
      </c>
      <c r="F23" s="148">
        <f>ИД!L23</f>
        <v>1.7</v>
      </c>
      <c r="G23" s="102" t="str">
        <f>ИД!H23</f>
        <v>Берунийский район</v>
      </c>
      <c r="H23" s="152" t="str">
        <f>ИД!N23</f>
        <v>местная</v>
      </c>
      <c r="I23" s="154">
        <f>ИД!T23</f>
        <v>0</v>
      </c>
      <c r="J23" s="154">
        <f>ИД!U23</f>
        <v>0</v>
      </c>
      <c r="K23" s="154">
        <f>ИД!V23</f>
        <v>0</v>
      </c>
      <c r="L23" s="154">
        <f>ИД!W23</f>
        <v>0</v>
      </c>
    </row>
    <row r="24" spans="1:12" ht="25" customHeight="1" x14ac:dyDescent="0.2">
      <c r="A24" s="102" t="str">
        <f>ИД!D24</f>
        <v>У 36</v>
      </c>
      <c r="B24" s="102" t="str">
        <f>ИД!E24</f>
        <v>Подъезд к ст. Эликкалла</v>
      </c>
      <c r="C24" s="102" t="str">
        <f>ИД!F24</f>
        <v>IV</v>
      </c>
      <c r="D24" s="102" t="str">
        <f>ИД!G24</f>
        <v>асф. бет.</v>
      </c>
      <c r="E24" s="102" t="str">
        <f>ИД!I24</f>
        <v>10</v>
      </c>
      <c r="F24" s="148">
        <f>ИД!L24</f>
        <v>1.9</v>
      </c>
      <c r="G24" s="102" t="str">
        <f>ИД!H24</f>
        <v>Элликалинский район</v>
      </c>
      <c r="H24" s="152" t="str">
        <f>ИД!N24</f>
        <v>местная</v>
      </c>
      <c r="I24" s="154">
        <f>ИД!T24</f>
        <v>0</v>
      </c>
      <c r="J24" s="154">
        <f>ИД!U24</f>
        <v>0</v>
      </c>
      <c r="K24" s="154">
        <f>ИД!V24</f>
        <v>0</v>
      </c>
      <c r="L24" s="154">
        <f>ИД!W24</f>
        <v>0</v>
      </c>
    </row>
    <row r="25" spans="1:12" ht="25" customHeight="1" x14ac:dyDescent="0.2">
      <c r="A25" s="102" t="str">
        <f>ИД!D25</f>
        <v>У 37</v>
      </c>
      <c r="B25" s="102" t="str">
        <f>ИД!E25</f>
        <v>Подъезд к НРС 17 Элликкала</v>
      </c>
      <c r="C25" s="102" t="str">
        <f>ИД!F25</f>
        <v>V</v>
      </c>
      <c r="D25" s="102" t="str">
        <f>ИД!G25</f>
        <v>ПГС</v>
      </c>
      <c r="E25" s="102" t="str">
        <f>ИД!I25</f>
        <v>6</v>
      </c>
      <c r="F25" s="148">
        <f>ИД!L25</f>
        <v>0.2</v>
      </c>
      <c r="G25" s="102" t="str">
        <f>ИД!H25</f>
        <v>Элликалинский район</v>
      </c>
      <c r="H25" s="152" t="str">
        <f>ИД!N25</f>
        <v>местная</v>
      </c>
      <c r="I25" s="154">
        <f>ИД!T25</f>
        <v>0</v>
      </c>
      <c r="J25" s="154">
        <f>ИД!U25</f>
        <v>0</v>
      </c>
      <c r="K25" s="154">
        <f>ИД!V25</f>
        <v>0</v>
      </c>
      <c r="L25" s="154">
        <f>ИД!W25</f>
        <v>0</v>
      </c>
    </row>
    <row r="26" spans="1:12" ht="25" customHeight="1" x14ac:dyDescent="0.2">
      <c r="A26" s="102" t="str">
        <f>ИД!D26</f>
        <v>У 38</v>
      </c>
      <c r="B26" s="102" t="str">
        <f>ИД!E26</f>
        <v>Подъезд к старому карьеру</v>
      </c>
      <c r="C26" s="102" t="str">
        <f>ИД!F26</f>
        <v>V</v>
      </c>
      <c r="D26" s="102" t="str">
        <f>ИД!G26</f>
        <v>ПГС</v>
      </c>
      <c r="E26" s="102" t="str">
        <f>ИД!I26</f>
        <v>6</v>
      </c>
      <c r="F26" s="148">
        <f>ИД!L26</f>
        <v>5.3</v>
      </c>
      <c r="G26" s="102" t="str">
        <f>ИД!H26</f>
        <v>Берунийский район</v>
      </c>
      <c r="H26" s="152" t="str">
        <f>ИД!N26</f>
        <v>местная</v>
      </c>
      <c r="I26" s="154">
        <f>ИД!T26</f>
        <v>0</v>
      </c>
      <c r="J26" s="154">
        <f>ИД!U26</f>
        <v>0</v>
      </c>
      <c r="K26" s="154">
        <f>ИД!V26</f>
        <v>0</v>
      </c>
      <c r="L26" s="154">
        <f>ИД!W26</f>
        <v>0</v>
      </c>
    </row>
    <row r="27" spans="1:12" ht="25" customHeight="1" x14ac:dyDescent="0.2">
      <c r="A27" s="102" t="str">
        <f>ИД!D27</f>
        <v>У 39</v>
      </c>
      <c r="B27" s="102" t="str">
        <f>ИД!E27</f>
        <v>Подъезд к НРС 18</v>
      </c>
      <c r="C27" s="102" t="str">
        <f>ИД!F27</f>
        <v>V</v>
      </c>
      <c r="D27" s="102" t="str">
        <f>ИД!G27</f>
        <v>ПГС</v>
      </c>
      <c r="E27" s="102" t="str">
        <f>ИД!I27</f>
        <v>6</v>
      </c>
      <c r="F27" s="148">
        <f>ИД!L27</f>
        <v>0.2</v>
      </c>
      <c r="G27" s="102" t="str">
        <f>ИД!H27</f>
        <v>Элликалинский район</v>
      </c>
      <c r="H27" s="152" t="str">
        <f>ИД!N27</f>
        <v>местная</v>
      </c>
      <c r="I27" s="154">
        <f>ИД!T27</f>
        <v>0</v>
      </c>
      <c r="J27" s="154">
        <f>ИД!U27</f>
        <v>0</v>
      </c>
      <c r="K27" s="154">
        <f>ИД!V27</f>
        <v>0</v>
      </c>
      <c r="L27" s="154">
        <f>ИД!W27</f>
        <v>0</v>
      </c>
    </row>
    <row r="28" spans="1:12" ht="25" customHeight="1" x14ac:dyDescent="0.2">
      <c r="A28" s="102" t="str">
        <f>ИД!D28</f>
        <v>У 40</v>
      </c>
      <c r="B28" s="102" t="str">
        <f>ИД!E28</f>
        <v>Подъезд к ж.д. ст. Караузяк</v>
      </c>
      <c r="C28" s="102" t="str">
        <f>ИД!F28</f>
        <v>IV</v>
      </c>
      <c r="D28" s="102" t="str">
        <f>ИД!G28</f>
        <v>ПГС</v>
      </c>
      <c r="E28" s="102" t="str">
        <f>ИД!I28</f>
        <v>6</v>
      </c>
      <c r="F28" s="148">
        <f>ИД!L28</f>
        <v>0.4</v>
      </c>
      <c r="G28" s="102" t="str">
        <f>ИД!H28</f>
        <v>Караузякский район</v>
      </c>
      <c r="H28" s="152" t="str">
        <f>ИД!N28</f>
        <v>местная</v>
      </c>
      <c r="I28" s="154">
        <f>ИД!T28</f>
        <v>0</v>
      </c>
      <c r="J28" s="154">
        <f>ИД!U28</f>
        <v>0</v>
      </c>
      <c r="K28" s="154">
        <f>ИД!V28</f>
        <v>0</v>
      </c>
      <c r="L28" s="154">
        <f>ИД!W28</f>
        <v>0</v>
      </c>
    </row>
    <row r="29" spans="1:12" ht="25" customHeight="1" x14ac:dyDescent="0.2">
      <c r="A29" s="102" t="str">
        <f>ИД!D29</f>
        <v>У 100</v>
      </c>
      <c r="B29" s="102" t="str">
        <f>ИД!E29</f>
        <v>Подъезд к базе ЧП "Сабир Арат"</v>
      </c>
      <c r="C29" s="102" t="str">
        <f>ИД!F29</f>
        <v>IV</v>
      </c>
      <c r="D29" s="102" t="str">
        <f>ИД!G29</f>
        <v>асф. бет.</v>
      </c>
      <c r="E29" s="102" t="str">
        <f>ИД!I29</f>
        <v>10</v>
      </c>
      <c r="F29" s="148">
        <f>ИД!L29</f>
        <v>0.6</v>
      </c>
      <c r="G29" s="102" t="str">
        <f>ИД!H29</f>
        <v>ЧП "Сабир Арат"</v>
      </c>
      <c r="H29" s="152" t="str">
        <f>ИД!N29</f>
        <v>частная</v>
      </c>
      <c r="I29" s="154">
        <f>ИД!T29</f>
        <v>0</v>
      </c>
      <c r="J29" s="154">
        <f>ИД!U29</f>
        <v>0</v>
      </c>
      <c r="K29" s="154">
        <f>ИД!V29</f>
        <v>0</v>
      </c>
      <c r="L29" s="154">
        <f>ИД!W29</f>
        <v>0</v>
      </c>
    </row>
    <row r="30" spans="1:12" ht="25" customHeight="1" x14ac:dyDescent="0.2">
      <c r="A30" s="102" t="str">
        <f>ИД!D30</f>
        <v>У 101</v>
      </c>
      <c r="B30" s="102" t="str">
        <f>ИД!E30</f>
        <v>Подъезд к карьеру ООО "QARAUZAK SHEVEN"</v>
      </c>
      <c r="C30" s="102" t="str">
        <f>ИД!F30</f>
        <v>V</v>
      </c>
      <c r="D30" s="102" t="str">
        <f>ИД!G30</f>
        <v>ПГС</v>
      </c>
      <c r="E30" s="102" t="str">
        <f>ИД!I30</f>
        <v>10</v>
      </c>
      <c r="F30" s="148">
        <f>ИД!L30</f>
        <v>0.3</v>
      </c>
      <c r="G30" s="102" t="str">
        <f>ИД!H30</f>
        <v>ООО "QARAUZAK SHEVEN"</v>
      </c>
      <c r="H30" s="152" t="str">
        <f>ИД!N30</f>
        <v>частная</v>
      </c>
      <c r="I30" s="154">
        <f>ИД!T30</f>
        <v>0</v>
      </c>
      <c r="J30" s="154">
        <f>ИД!U30</f>
        <v>0</v>
      </c>
      <c r="K30" s="154">
        <f>ИД!V30</f>
        <v>0</v>
      </c>
      <c r="L30" s="154">
        <f>ИД!W30</f>
        <v>0</v>
      </c>
    </row>
    <row r="31" spans="1:12" ht="25" customHeight="1" x14ac:dyDescent="0.2">
      <c r="A31" s="102" t="str">
        <f>ИД!D31</f>
        <v>У 102</v>
      </c>
      <c r="B31" s="102" t="str">
        <f>ИД!E31</f>
        <v>Подъезд к карьеру ООО "Road Project Ekspertiza"</v>
      </c>
      <c r="C31" s="102" t="str">
        <f>ИД!F31</f>
        <v>IV</v>
      </c>
      <c r="D31" s="102" t="str">
        <f>ИД!G31</f>
        <v>ЩПС</v>
      </c>
      <c r="E31" s="102" t="str">
        <f>ИД!I31</f>
        <v>10</v>
      </c>
      <c r="F31" s="148">
        <f>ИД!L31</f>
        <v>0.4</v>
      </c>
      <c r="G31" s="102" t="str">
        <f>ИД!H31</f>
        <v>ООО "Road Project Ekspertiza"</v>
      </c>
      <c r="H31" s="152" t="str">
        <f>ИД!N31</f>
        <v>частная</v>
      </c>
      <c r="I31" s="154">
        <f>ИД!T31</f>
        <v>0</v>
      </c>
      <c r="J31" s="154">
        <f>ИД!U31</f>
        <v>0</v>
      </c>
      <c r="K31" s="154">
        <f>ИД!V31</f>
        <v>0</v>
      </c>
      <c r="L31" s="154">
        <f>ИД!W31</f>
        <v>0</v>
      </c>
    </row>
    <row r="32" spans="1:12" ht="25" customHeight="1" x14ac:dyDescent="0.2">
      <c r="A32" s="102" t="str">
        <f>ИД!D32</f>
        <v>У 103</v>
      </c>
      <c r="B32" s="102" t="str">
        <f>ИД!E32</f>
        <v>Подъезд к карьеру "Qizilqala-1"</v>
      </c>
      <c r="C32" s="102" t="str">
        <f>ИД!F32</f>
        <v>IV</v>
      </c>
      <c r="D32" s="102" t="str">
        <f>ИД!G32</f>
        <v>щщебеночное</v>
      </c>
      <c r="E32" s="102" t="str">
        <f>ИД!I32</f>
        <v>10</v>
      </c>
      <c r="F32" s="148">
        <f>ИД!L32</f>
        <v>2.7</v>
      </c>
      <c r="G32" s="102" t="str">
        <f>ИД!H32</f>
        <v>ООО "SHOBBOZ TOSH"</v>
      </c>
      <c r="H32" s="152" t="str">
        <f>ИД!N32</f>
        <v>частная</v>
      </c>
      <c r="I32" s="154">
        <f>ИД!T32</f>
        <v>0</v>
      </c>
      <c r="J32" s="154">
        <f>ИД!U32</f>
        <v>0</v>
      </c>
      <c r="K32" s="154">
        <f>ИД!V32</f>
        <v>0</v>
      </c>
      <c r="L32" s="154">
        <f>ИД!W32</f>
        <v>0</v>
      </c>
    </row>
    <row r="33" spans="1:12" ht="25" customHeight="1" x14ac:dyDescent="0.2">
      <c r="A33" s="102">
        <f>ИД!D33</f>
        <v>0</v>
      </c>
      <c r="B33" s="102">
        <f>ИД!E33</f>
        <v>0</v>
      </c>
      <c r="C33" s="102">
        <f>ИД!F33</f>
        <v>0</v>
      </c>
      <c r="D33" s="102">
        <f>ИД!G33</f>
        <v>0</v>
      </c>
      <c r="E33" s="102">
        <f>ИД!I33</f>
        <v>0</v>
      </c>
      <c r="F33" s="148">
        <f>ИД!L33</f>
        <v>0</v>
      </c>
      <c r="G33" s="102">
        <f>ИД!H33</f>
        <v>0</v>
      </c>
      <c r="H33" s="152">
        <f>ИД!N33</f>
        <v>0</v>
      </c>
      <c r="I33" s="154">
        <f>ИД!T33</f>
        <v>0</v>
      </c>
      <c r="J33" s="154">
        <f>ИД!U33</f>
        <v>0</v>
      </c>
      <c r="K33" s="154">
        <f>ИД!V33</f>
        <v>0</v>
      </c>
      <c r="L33" s="154">
        <f>ИД!W33</f>
        <v>0</v>
      </c>
    </row>
    <row r="34" spans="1:12" ht="25" customHeight="1" x14ac:dyDescent="0.2">
      <c r="A34" s="102">
        <f>ИД!D34</f>
        <v>0</v>
      </c>
      <c r="B34" s="102">
        <f>ИД!E34</f>
        <v>0</v>
      </c>
      <c r="C34" s="102">
        <f>ИД!F34</f>
        <v>0</v>
      </c>
      <c r="D34" s="102">
        <f>ИД!G34</f>
        <v>0</v>
      </c>
      <c r="E34" s="102">
        <f>ИД!I34</f>
        <v>0</v>
      </c>
      <c r="F34" s="148">
        <f>ИД!L34</f>
        <v>0</v>
      </c>
      <c r="G34" s="102">
        <f>ИД!H34</f>
        <v>0</v>
      </c>
      <c r="H34" s="152">
        <f>ИД!N34</f>
        <v>0</v>
      </c>
      <c r="I34" s="154">
        <f>ИД!T34</f>
        <v>0</v>
      </c>
      <c r="J34" s="154">
        <f>ИД!U34</f>
        <v>0</v>
      </c>
      <c r="K34" s="154">
        <f>ИД!V34</f>
        <v>0</v>
      </c>
      <c r="L34" s="154">
        <f>ИД!W34</f>
        <v>0</v>
      </c>
    </row>
    <row r="35" spans="1:12" ht="25" customHeight="1" x14ac:dyDescent="0.2">
      <c r="A35" s="102">
        <f>ИД!D35</f>
        <v>0</v>
      </c>
      <c r="B35" s="102">
        <f>ИД!E35</f>
        <v>0</v>
      </c>
      <c r="C35" s="102">
        <f>ИД!F35</f>
        <v>0</v>
      </c>
      <c r="D35" s="102">
        <f>ИД!G35</f>
        <v>0</v>
      </c>
      <c r="E35" s="102">
        <f>ИД!I35</f>
        <v>0</v>
      </c>
      <c r="F35" s="148">
        <f>ИД!L35</f>
        <v>0</v>
      </c>
      <c r="G35" s="102">
        <f>ИД!H35</f>
        <v>0</v>
      </c>
      <c r="H35" s="152">
        <f>ИД!N35</f>
        <v>0</v>
      </c>
      <c r="I35" s="154">
        <f>ИД!T35</f>
        <v>0</v>
      </c>
      <c r="J35" s="154">
        <f>ИД!U35</f>
        <v>0</v>
      </c>
      <c r="K35" s="154">
        <f>ИД!V35</f>
        <v>0</v>
      </c>
      <c r="L35" s="154">
        <f>ИД!W35</f>
        <v>0</v>
      </c>
    </row>
    <row r="36" spans="1:12" ht="25" customHeight="1" x14ac:dyDescent="0.2">
      <c r="A36" s="102">
        <f>ИД!D36</f>
        <v>0</v>
      </c>
      <c r="B36" s="102">
        <f>ИД!E36</f>
        <v>0</v>
      </c>
      <c r="C36" s="102">
        <f>ИД!F36</f>
        <v>0</v>
      </c>
      <c r="D36" s="102">
        <f>ИД!G36</f>
        <v>0</v>
      </c>
      <c r="E36" s="102">
        <f>ИД!I36</f>
        <v>0</v>
      </c>
      <c r="F36" s="148">
        <f>ИД!L36</f>
        <v>0</v>
      </c>
      <c r="G36" s="102">
        <f>ИД!H36</f>
        <v>0</v>
      </c>
      <c r="H36" s="152">
        <f>ИД!N36</f>
        <v>0</v>
      </c>
      <c r="I36" s="154">
        <f>ИД!T36</f>
        <v>0</v>
      </c>
      <c r="J36" s="154">
        <f>ИД!U36</f>
        <v>0</v>
      </c>
      <c r="K36" s="154">
        <f>ИД!V36</f>
        <v>0</v>
      </c>
      <c r="L36" s="154">
        <f>ИД!W36</f>
        <v>0</v>
      </c>
    </row>
    <row r="37" spans="1:12" ht="25" customHeight="1" x14ac:dyDescent="0.2">
      <c r="A37" s="102">
        <f>ИД!D37</f>
        <v>0</v>
      </c>
      <c r="B37" s="102">
        <f>ИД!E37</f>
        <v>0</v>
      </c>
      <c r="C37" s="102">
        <f>ИД!F37</f>
        <v>0</v>
      </c>
      <c r="D37" s="102">
        <f>ИД!G37</f>
        <v>0</v>
      </c>
      <c r="E37" s="102">
        <f>ИД!I37</f>
        <v>0</v>
      </c>
      <c r="F37" s="148">
        <f>ИД!L37</f>
        <v>0</v>
      </c>
      <c r="G37" s="102">
        <f>ИД!H37</f>
        <v>0</v>
      </c>
      <c r="H37" s="152">
        <f>ИД!N37</f>
        <v>0</v>
      </c>
      <c r="I37" s="154">
        <f>ИД!T37</f>
        <v>0</v>
      </c>
      <c r="J37" s="154">
        <f>ИД!U37</f>
        <v>0</v>
      </c>
      <c r="K37" s="154">
        <f>ИД!V37</f>
        <v>0</v>
      </c>
      <c r="L37" s="154">
        <f>ИД!W37</f>
        <v>0</v>
      </c>
    </row>
    <row r="38" spans="1:12" ht="25" customHeight="1" x14ac:dyDescent="0.2">
      <c r="A38" s="102">
        <f>ИД!D38</f>
        <v>0</v>
      </c>
      <c r="B38" s="102">
        <f>ИД!E38</f>
        <v>0</v>
      </c>
      <c r="C38" s="102">
        <f>ИД!F38</f>
        <v>0</v>
      </c>
      <c r="D38" s="102">
        <f>ИД!G38</f>
        <v>0</v>
      </c>
      <c r="E38" s="102">
        <f>ИД!I38</f>
        <v>0</v>
      </c>
      <c r="F38" s="148">
        <f>ИД!L38</f>
        <v>0</v>
      </c>
      <c r="G38" s="102">
        <f>ИД!H38</f>
        <v>0</v>
      </c>
      <c r="H38" s="152">
        <f>ИД!N38</f>
        <v>0</v>
      </c>
      <c r="I38" s="154">
        <f>ИД!T38</f>
        <v>0</v>
      </c>
      <c r="J38" s="154">
        <f>ИД!U38</f>
        <v>0</v>
      </c>
      <c r="K38" s="154">
        <f>ИД!V38</f>
        <v>0</v>
      </c>
      <c r="L38" s="154">
        <f>ИД!W38</f>
        <v>0</v>
      </c>
    </row>
    <row r="39" spans="1:12" ht="25" customHeight="1" x14ac:dyDescent="0.2">
      <c r="A39" s="102">
        <f>ИД!D39</f>
        <v>0</v>
      </c>
      <c r="B39" s="102">
        <f>ИД!E39</f>
        <v>0</v>
      </c>
      <c r="C39" s="102">
        <f>ИД!F39</f>
        <v>0</v>
      </c>
      <c r="D39" s="102">
        <f>ИД!G39</f>
        <v>0</v>
      </c>
      <c r="E39" s="102">
        <f>ИД!I39</f>
        <v>0</v>
      </c>
      <c r="F39" s="148">
        <f>ИД!L39</f>
        <v>0</v>
      </c>
      <c r="G39" s="102">
        <f>ИД!H39</f>
        <v>0</v>
      </c>
      <c r="H39" s="152">
        <f>ИД!N39</f>
        <v>0</v>
      </c>
      <c r="I39" s="154">
        <f>ИД!T39</f>
        <v>0</v>
      </c>
      <c r="J39" s="154">
        <f>ИД!U39</f>
        <v>0</v>
      </c>
      <c r="K39" s="154">
        <f>ИД!V39</f>
        <v>0</v>
      </c>
      <c r="L39" s="154">
        <f>ИД!W39</f>
        <v>0</v>
      </c>
    </row>
    <row r="40" spans="1:12" ht="25" customHeight="1" x14ac:dyDescent="0.2">
      <c r="A40" s="102">
        <f>ИД!D40</f>
        <v>0</v>
      </c>
      <c r="B40" s="102">
        <f>ИД!E40</f>
        <v>0</v>
      </c>
      <c r="C40" s="102">
        <f>ИД!F40</f>
        <v>0</v>
      </c>
      <c r="D40" s="102">
        <f>ИД!G40</f>
        <v>0</v>
      </c>
      <c r="E40" s="102">
        <f>ИД!I40</f>
        <v>0</v>
      </c>
      <c r="F40" s="148">
        <f>ИД!L40</f>
        <v>0</v>
      </c>
      <c r="G40" s="102">
        <f>ИД!H40</f>
        <v>0</v>
      </c>
      <c r="H40" s="152">
        <f>ИД!N40</f>
        <v>0</v>
      </c>
      <c r="I40" s="154">
        <f>ИД!T40</f>
        <v>0</v>
      </c>
      <c r="J40" s="154">
        <f>ИД!U40</f>
        <v>0</v>
      </c>
      <c r="K40" s="154">
        <f>ИД!V40</f>
        <v>0</v>
      </c>
      <c r="L40" s="154">
        <f>ИД!W40</f>
        <v>0</v>
      </c>
    </row>
    <row r="41" spans="1:12" ht="25" customHeight="1" x14ac:dyDescent="0.2">
      <c r="A41" s="102">
        <f>ИД!D41</f>
        <v>0</v>
      </c>
      <c r="B41" s="102">
        <f>ИД!E41</f>
        <v>0</v>
      </c>
      <c r="C41" s="102">
        <f>ИД!F41</f>
        <v>0</v>
      </c>
      <c r="D41" s="102">
        <f>ИД!G41</f>
        <v>0</v>
      </c>
      <c r="E41" s="102">
        <f>ИД!I41</f>
        <v>0</v>
      </c>
      <c r="F41" s="148">
        <f>ИД!L41</f>
        <v>0</v>
      </c>
      <c r="G41" s="102">
        <f>ИД!H41</f>
        <v>0</v>
      </c>
      <c r="H41" s="152">
        <f>ИД!N41</f>
        <v>0</v>
      </c>
      <c r="I41" s="154">
        <f>ИД!T41</f>
        <v>0</v>
      </c>
      <c r="J41" s="154">
        <f>ИД!U41</f>
        <v>0</v>
      </c>
      <c r="K41" s="154">
        <f>ИД!V41</f>
        <v>0</v>
      </c>
      <c r="L41" s="154">
        <f>ИД!W41</f>
        <v>0</v>
      </c>
    </row>
    <row r="42" spans="1:12" ht="25" customHeight="1" x14ac:dyDescent="0.2">
      <c r="A42" s="102">
        <f>ИД!D42</f>
        <v>0</v>
      </c>
      <c r="B42" s="102">
        <f>ИД!E42</f>
        <v>0</v>
      </c>
      <c r="C42" s="102">
        <f>ИД!F42</f>
        <v>0</v>
      </c>
      <c r="D42" s="102">
        <f>ИД!G42</f>
        <v>0</v>
      </c>
      <c r="E42" s="102">
        <f>ИД!I42</f>
        <v>0</v>
      </c>
      <c r="F42" s="148">
        <f>ИД!L42</f>
        <v>0</v>
      </c>
      <c r="G42" s="102">
        <f>ИД!H42</f>
        <v>0</v>
      </c>
      <c r="H42" s="152">
        <f>ИД!N42</f>
        <v>0</v>
      </c>
      <c r="I42" s="154">
        <f>ИД!T42</f>
        <v>0</v>
      </c>
      <c r="J42" s="154">
        <f>ИД!U42</f>
        <v>0</v>
      </c>
      <c r="K42" s="154">
        <f>ИД!V42</f>
        <v>0</v>
      </c>
      <c r="L42" s="154">
        <f>ИД!W42</f>
        <v>0</v>
      </c>
    </row>
    <row r="43" spans="1:12" ht="25" customHeight="1" x14ac:dyDescent="0.2">
      <c r="A43" s="102">
        <f>ИД!D43</f>
        <v>0</v>
      </c>
      <c r="B43" s="102">
        <f>ИД!E43</f>
        <v>0</v>
      </c>
      <c r="C43" s="102">
        <f>ИД!F43</f>
        <v>0</v>
      </c>
      <c r="D43" s="102">
        <f>ИД!G43</f>
        <v>0</v>
      </c>
      <c r="E43" s="102">
        <f>ИД!I43</f>
        <v>0</v>
      </c>
      <c r="F43" s="148">
        <f>ИД!L43</f>
        <v>0</v>
      </c>
      <c r="G43" s="102">
        <f>ИД!H43</f>
        <v>0</v>
      </c>
      <c r="H43" s="152">
        <f>ИД!N43</f>
        <v>0</v>
      </c>
      <c r="I43" s="154">
        <f>ИД!T43</f>
        <v>0</v>
      </c>
      <c r="J43" s="154">
        <f>ИД!U43</f>
        <v>0</v>
      </c>
      <c r="K43" s="154">
        <f>ИД!V43</f>
        <v>0</v>
      </c>
      <c r="L43" s="154">
        <f>ИД!W43</f>
        <v>0</v>
      </c>
    </row>
    <row r="44" spans="1:12" ht="25" customHeight="1" x14ac:dyDescent="0.2">
      <c r="A44" s="102">
        <f>ИД!D44</f>
        <v>0</v>
      </c>
      <c r="B44" s="102">
        <f>ИД!E44</f>
        <v>0</v>
      </c>
      <c r="C44" s="102">
        <f>ИД!F44</f>
        <v>0</v>
      </c>
      <c r="D44" s="102">
        <f>ИД!G44</f>
        <v>0</v>
      </c>
      <c r="E44" s="102">
        <f>ИД!I44</f>
        <v>0</v>
      </c>
      <c r="F44" s="148">
        <f>ИД!L44</f>
        <v>0</v>
      </c>
      <c r="G44" s="102">
        <f>ИД!H44</f>
        <v>0</v>
      </c>
      <c r="H44" s="152">
        <f>ИД!N44</f>
        <v>0</v>
      </c>
      <c r="I44" s="154">
        <f>ИД!T44</f>
        <v>0</v>
      </c>
      <c r="J44" s="154">
        <f>ИД!U44</f>
        <v>0</v>
      </c>
      <c r="K44" s="154">
        <f>ИД!V44</f>
        <v>0</v>
      </c>
      <c r="L44" s="154">
        <f>ИД!W44</f>
        <v>0</v>
      </c>
    </row>
    <row r="45" spans="1:12" ht="25" customHeight="1" x14ac:dyDescent="0.2">
      <c r="A45" s="102">
        <f>ИД!D45</f>
        <v>0</v>
      </c>
      <c r="B45" s="102">
        <f>ИД!E45</f>
        <v>0</v>
      </c>
      <c r="C45" s="102">
        <f>ИД!F45</f>
        <v>0</v>
      </c>
      <c r="D45" s="102">
        <f>ИД!G45</f>
        <v>0</v>
      </c>
      <c r="E45" s="102">
        <f>ИД!I45</f>
        <v>0</v>
      </c>
      <c r="F45" s="148">
        <f>ИД!L45</f>
        <v>0</v>
      </c>
      <c r="G45" s="102">
        <f>ИД!H45</f>
        <v>0</v>
      </c>
      <c r="H45" s="152">
        <f>ИД!N45</f>
        <v>0</v>
      </c>
      <c r="I45" s="154">
        <f>ИД!T45</f>
        <v>0</v>
      </c>
      <c r="J45" s="154">
        <f>ИД!U45</f>
        <v>0</v>
      </c>
      <c r="K45" s="154">
        <f>ИД!V45</f>
        <v>0</v>
      </c>
      <c r="L45" s="154">
        <f>ИД!W45</f>
        <v>0</v>
      </c>
    </row>
    <row r="46" spans="1:12" ht="25" customHeight="1" x14ac:dyDescent="0.2">
      <c r="A46" s="102">
        <f>ИД!D46</f>
        <v>0</v>
      </c>
      <c r="B46" s="102">
        <f>ИД!E46</f>
        <v>0</v>
      </c>
      <c r="C46" s="102">
        <f>ИД!F46</f>
        <v>0</v>
      </c>
      <c r="D46" s="102">
        <f>ИД!G46</f>
        <v>0</v>
      </c>
      <c r="E46" s="102">
        <f>ИД!I46</f>
        <v>0</v>
      </c>
      <c r="F46" s="148">
        <f>ИД!L46</f>
        <v>0</v>
      </c>
      <c r="G46" s="102">
        <f>ИД!H46</f>
        <v>0</v>
      </c>
      <c r="H46" s="152">
        <f>ИД!N46</f>
        <v>0</v>
      </c>
      <c r="I46" s="154">
        <f>ИД!T46</f>
        <v>0</v>
      </c>
      <c r="J46" s="154">
        <f>ИД!U46</f>
        <v>0</v>
      </c>
      <c r="K46" s="154">
        <f>ИД!V46</f>
        <v>0</v>
      </c>
      <c r="L46" s="154">
        <f>ИД!W46</f>
        <v>0</v>
      </c>
    </row>
    <row r="47" spans="1:12" ht="25" customHeight="1" x14ac:dyDescent="0.2">
      <c r="A47" s="102">
        <f>ИД!D47</f>
        <v>0</v>
      </c>
      <c r="B47" s="102">
        <f>ИД!E47</f>
        <v>0</v>
      </c>
      <c r="C47" s="102">
        <f>ИД!F47</f>
        <v>0</v>
      </c>
      <c r="D47" s="102">
        <f>ИД!G47</f>
        <v>0</v>
      </c>
      <c r="E47" s="102">
        <f>ИД!I47</f>
        <v>0</v>
      </c>
      <c r="F47" s="148">
        <f>ИД!L47</f>
        <v>0</v>
      </c>
      <c r="G47" s="102">
        <f>ИД!H47</f>
        <v>0</v>
      </c>
      <c r="H47" s="152">
        <f>ИД!N47</f>
        <v>0</v>
      </c>
      <c r="I47" s="154">
        <f>ИД!T47</f>
        <v>0</v>
      </c>
      <c r="J47" s="154">
        <f>ИД!U47</f>
        <v>0</v>
      </c>
      <c r="K47" s="154">
        <f>ИД!V47</f>
        <v>0</v>
      </c>
      <c r="L47" s="154">
        <f>ИД!W47</f>
        <v>0</v>
      </c>
    </row>
    <row r="48" spans="1:12" ht="25" customHeight="1" x14ac:dyDescent="0.2">
      <c r="A48" s="102">
        <f>ИД!D48</f>
        <v>0</v>
      </c>
      <c r="B48" s="102">
        <f>ИД!E48</f>
        <v>0</v>
      </c>
      <c r="C48" s="102">
        <f>ИД!F48</f>
        <v>0</v>
      </c>
      <c r="D48" s="102">
        <f>ИД!G48</f>
        <v>0</v>
      </c>
      <c r="E48" s="102">
        <f>ИД!I48</f>
        <v>0</v>
      </c>
      <c r="F48" s="148">
        <f>ИД!L48</f>
        <v>0</v>
      </c>
      <c r="G48" s="102">
        <f>ИД!H48</f>
        <v>0</v>
      </c>
      <c r="H48" s="152">
        <f>ИД!N48</f>
        <v>0</v>
      </c>
      <c r="I48" s="154">
        <f>ИД!T48</f>
        <v>0</v>
      </c>
      <c r="J48" s="154">
        <f>ИД!U48</f>
        <v>0</v>
      </c>
      <c r="K48" s="154">
        <f>ИД!V48</f>
        <v>0</v>
      </c>
      <c r="L48" s="154">
        <f>ИД!W48</f>
        <v>0</v>
      </c>
    </row>
    <row r="49" spans="1:12" ht="25" customHeight="1" x14ac:dyDescent="0.2">
      <c r="A49" s="102">
        <f>ИД!D49</f>
        <v>0</v>
      </c>
      <c r="B49" s="102">
        <f>ИД!E49</f>
        <v>0</v>
      </c>
      <c r="C49" s="102">
        <f>ИД!F49</f>
        <v>0</v>
      </c>
      <c r="D49" s="102">
        <f>ИД!G49</f>
        <v>0</v>
      </c>
      <c r="E49" s="102">
        <f>ИД!I49</f>
        <v>0</v>
      </c>
      <c r="F49" s="148">
        <f>ИД!L49</f>
        <v>0</v>
      </c>
      <c r="G49" s="102">
        <f>ИД!H49</f>
        <v>0</v>
      </c>
      <c r="H49" s="152">
        <f>ИД!N49</f>
        <v>0</v>
      </c>
      <c r="I49" s="154">
        <f>ИД!T49</f>
        <v>0</v>
      </c>
      <c r="J49" s="154">
        <f>ИД!U49</f>
        <v>0</v>
      </c>
      <c r="K49" s="154">
        <f>ИД!V49</f>
        <v>0</v>
      </c>
      <c r="L49" s="154">
        <f>ИД!W49</f>
        <v>0</v>
      </c>
    </row>
    <row r="50" spans="1:12" ht="25" customHeight="1" x14ac:dyDescent="0.2">
      <c r="A50" s="102">
        <f>ИД!D50</f>
        <v>0</v>
      </c>
      <c r="B50" s="102">
        <f>ИД!E50</f>
        <v>0</v>
      </c>
      <c r="C50" s="102">
        <f>ИД!F50</f>
        <v>0</v>
      </c>
      <c r="D50" s="102">
        <f>ИД!G50</f>
        <v>0</v>
      </c>
      <c r="E50" s="102">
        <f>ИД!I50</f>
        <v>0</v>
      </c>
      <c r="F50" s="148">
        <f>ИД!L50</f>
        <v>0</v>
      </c>
      <c r="G50" s="102">
        <f>ИД!H50</f>
        <v>0</v>
      </c>
      <c r="H50" s="152">
        <f>ИД!N50</f>
        <v>0</v>
      </c>
      <c r="I50" s="154">
        <f>ИД!T50</f>
        <v>0</v>
      </c>
      <c r="J50" s="154">
        <f>ИД!U50</f>
        <v>0</v>
      </c>
      <c r="K50" s="154">
        <f>ИД!V50</f>
        <v>0</v>
      </c>
      <c r="L50" s="154">
        <f>ИД!W50</f>
        <v>0</v>
      </c>
    </row>
    <row r="51" spans="1:12" ht="25" customHeight="1" x14ac:dyDescent="0.2">
      <c r="A51" s="102">
        <f>ИД!D51</f>
        <v>0</v>
      </c>
      <c r="B51" s="102">
        <f>ИД!E51</f>
        <v>0</v>
      </c>
      <c r="C51" s="102">
        <f>ИД!F51</f>
        <v>0</v>
      </c>
      <c r="D51" s="102">
        <f>ИД!G51</f>
        <v>0</v>
      </c>
      <c r="E51" s="102">
        <f>ИД!I51</f>
        <v>0</v>
      </c>
      <c r="F51" s="148">
        <f>ИД!L51</f>
        <v>0</v>
      </c>
      <c r="G51" s="102">
        <f>ИД!H51</f>
        <v>0</v>
      </c>
      <c r="H51" s="152">
        <f>ИД!N51</f>
        <v>0</v>
      </c>
      <c r="I51" s="154">
        <f>ИД!T51</f>
        <v>0</v>
      </c>
      <c r="J51" s="154">
        <f>ИД!U51</f>
        <v>0</v>
      </c>
      <c r="K51" s="154">
        <f>ИД!V51</f>
        <v>0</v>
      </c>
      <c r="L51" s="154">
        <f>ИД!W51</f>
        <v>0</v>
      </c>
    </row>
    <row r="52" spans="1:12" ht="25" customHeight="1" x14ac:dyDescent="0.2">
      <c r="A52" s="102">
        <f>ИД!D52</f>
        <v>0</v>
      </c>
      <c r="B52" s="102">
        <f>ИД!E52</f>
        <v>0</v>
      </c>
      <c r="C52" s="102">
        <f>ИД!F52</f>
        <v>0</v>
      </c>
      <c r="D52" s="102">
        <f>ИД!G52</f>
        <v>0</v>
      </c>
      <c r="E52" s="102">
        <f>ИД!I52</f>
        <v>0</v>
      </c>
      <c r="F52" s="148">
        <f>ИД!L52</f>
        <v>0</v>
      </c>
      <c r="G52" s="102">
        <f>ИД!H52</f>
        <v>0</v>
      </c>
      <c r="H52" s="152">
        <f>ИД!N52</f>
        <v>0</v>
      </c>
      <c r="I52" s="154">
        <f>ИД!T52</f>
        <v>0</v>
      </c>
      <c r="J52" s="154">
        <f>ИД!U52</f>
        <v>0</v>
      </c>
      <c r="K52" s="154">
        <f>ИД!V52</f>
        <v>0</v>
      </c>
      <c r="L52" s="154">
        <f>ИД!W52</f>
        <v>0</v>
      </c>
    </row>
    <row r="53" spans="1:12" ht="25" customHeight="1" x14ac:dyDescent="0.2">
      <c r="A53" s="102">
        <f>ИД!D53</f>
        <v>0</v>
      </c>
      <c r="B53" s="102">
        <f>ИД!E53</f>
        <v>0</v>
      </c>
      <c r="C53" s="102">
        <f>ИД!F53</f>
        <v>0</v>
      </c>
      <c r="D53" s="102">
        <f>ИД!G53</f>
        <v>0</v>
      </c>
      <c r="E53" s="102">
        <f>ИД!I53</f>
        <v>0</v>
      </c>
      <c r="F53" s="148">
        <f>ИД!L53</f>
        <v>0</v>
      </c>
      <c r="G53" s="102">
        <f>ИД!H53</f>
        <v>0</v>
      </c>
      <c r="H53" s="152">
        <f>ИД!N53</f>
        <v>0</v>
      </c>
      <c r="I53" s="154">
        <f>ИД!T53</f>
        <v>0</v>
      </c>
      <c r="J53" s="154">
        <f>ИД!U53</f>
        <v>0</v>
      </c>
      <c r="K53" s="154">
        <f>ИД!V53</f>
        <v>0</v>
      </c>
      <c r="L53" s="154">
        <f>ИД!W53</f>
        <v>0</v>
      </c>
    </row>
    <row r="54" spans="1:12" ht="25" customHeight="1" x14ac:dyDescent="0.2">
      <c r="A54" s="102">
        <f>ИД!D54</f>
        <v>0</v>
      </c>
      <c r="B54" s="102">
        <f>ИД!E54</f>
        <v>0</v>
      </c>
      <c r="C54" s="102">
        <f>ИД!F54</f>
        <v>0</v>
      </c>
      <c r="D54" s="102">
        <f>ИД!G54</f>
        <v>0</v>
      </c>
      <c r="E54" s="102">
        <f>ИД!I54</f>
        <v>0</v>
      </c>
      <c r="F54" s="148">
        <f>ИД!L54</f>
        <v>0</v>
      </c>
      <c r="G54" s="102">
        <f>ИД!H54</f>
        <v>0</v>
      </c>
      <c r="H54" s="152">
        <f>ИД!N54</f>
        <v>0</v>
      </c>
      <c r="I54" s="154">
        <f>ИД!T54</f>
        <v>0</v>
      </c>
      <c r="J54" s="154">
        <f>ИД!U54</f>
        <v>0</v>
      </c>
      <c r="K54" s="154">
        <f>ИД!V54</f>
        <v>0</v>
      </c>
      <c r="L54" s="154">
        <f>ИД!W54</f>
        <v>0</v>
      </c>
    </row>
    <row r="55" spans="1:12" ht="25" customHeight="1" x14ac:dyDescent="0.2">
      <c r="A55" s="102">
        <f>ИД!D55</f>
        <v>0</v>
      </c>
      <c r="B55" s="102">
        <f>ИД!E55</f>
        <v>0</v>
      </c>
      <c r="C55" s="102">
        <f>ИД!F55</f>
        <v>0</v>
      </c>
      <c r="D55" s="102">
        <f>ИД!G55</f>
        <v>0</v>
      </c>
      <c r="E55" s="102">
        <f>ИД!I55</f>
        <v>0</v>
      </c>
      <c r="F55" s="148">
        <f>ИД!L55</f>
        <v>0</v>
      </c>
      <c r="G55" s="102">
        <f>ИД!H55</f>
        <v>0</v>
      </c>
      <c r="H55" s="152">
        <f>ИД!N55</f>
        <v>0</v>
      </c>
      <c r="I55" s="154">
        <f>ИД!T55</f>
        <v>0</v>
      </c>
      <c r="J55" s="154">
        <f>ИД!U55</f>
        <v>0</v>
      </c>
      <c r="K55" s="154">
        <f>ИД!V55</f>
        <v>0</v>
      </c>
      <c r="L55" s="154">
        <f>ИД!W55</f>
        <v>0</v>
      </c>
    </row>
    <row r="56" spans="1:12" ht="25" customHeight="1" x14ac:dyDescent="0.2">
      <c r="A56" s="102">
        <f>ИД!D56</f>
        <v>0</v>
      </c>
      <c r="B56" s="102">
        <f>ИД!E56</f>
        <v>0</v>
      </c>
      <c r="C56" s="102">
        <f>ИД!F56</f>
        <v>0</v>
      </c>
      <c r="D56" s="102">
        <f>ИД!G56</f>
        <v>0</v>
      </c>
      <c r="E56" s="102">
        <f>ИД!I56</f>
        <v>0</v>
      </c>
      <c r="F56" s="148">
        <f>ИД!L56</f>
        <v>0</v>
      </c>
      <c r="G56" s="102">
        <f>ИД!H56</f>
        <v>0</v>
      </c>
      <c r="H56" s="152">
        <f>ИД!N56</f>
        <v>0</v>
      </c>
      <c r="I56" s="154">
        <f>ИД!T56</f>
        <v>0</v>
      </c>
      <c r="J56" s="154">
        <f>ИД!U56</f>
        <v>0</v>
      </c>
      <c r="K56" s="154">
        <f>ИД!V56</f>
        <v>0</v>
      </c>
      <c r="L56" s="154">
        <f>ИД!W56</f>
        <v>0</v>
      </c>
    </row>
    <row r="57" spans="1:12" ht="25" customHeight="1" x14ac:dyDescent="0.2">
      <c r="A57" s="102">
        <f>ИД!D57</f>
        <v>0</v>
      </c>
      <c r="B57" s="102">
        <f>ИД!E57</f>
        <v>0</v>
      </c>
      <c r="C57" s="102">
        <f>ИД!F57</f>
        <v>0</v>
      </c>
      <c r="D57" s="102">
        <f>ИД!G57</f>
        <v>0</v>
      </c>
      <c r="E57" s="102">
        <f>ИД!I57</f>
        <v>0</v>
      </c>
      <c r="F57" s="148">
        <f>ИД!L57</f>
        <v>0</v>
      </c>
      <c r="G57" s="102">
        <f>ИД!H57</f>
        <v>0</v>
      </c>
      <c r="H57" s="152">
        <f>ИД!N57</f>
        <v>0</v>
      </c>
      <c r="I57" s="154">
        <f>ИД!T57</f>
        <v>0</v>
      </c>
      <c r="J57" s="154">
        <f>ИД!U57</f>
        <v>0</v>
      </c>
      <c r="K57" s="154">
        <f>ИД!V57</f>
        <v>0</v>
      </c>
      <c r="L57" s="154">
        <f>ИД!W57</f>
        <v>0</v>
      </c>
    </row>
    <row r="58" spans="1:12" ht="25" customHeight="1" x14ac:dyDescent="0.2">
      <c r="A58" s="102">
        <f>ИД!D58</f>
        <v>0</v>
      </c>
      <c r="B58" s="102">
        <f>ИД!E58</f>
        <v>0</v>
      </c>
      <c r="C58" s="102">
        <f>ИД!F58</f>
        <v>0</v>
      </c>
      <c r="D58" s="102">
        <f>ИД!G58</f>
        <v>0</v>
      </c>
      <c r="E58" s="102">
        <f>ИД!I58</f>
        <v>0</v>
      </c>
      <c r="F58" s="148">
        <f>ИД!L58</f>
        <v>0</v>
      </c>
      <c r="G58" s="102">
        <f>ИД!H58</f>
        <v>0</v>
      </c>
      <c r="H58" s="152">
        <f>ИД!N58</f>
        <v>0</v>
      </c>
      <c r="I58" s="154">
        <f>ИД!T58</f>
        <v>0</v>
      </c>
      <c r="J58" s="154">
        <f>ИД!U58</f>
        <v>0</v>
      </c>
      <c r="K58" s="154">
        <f>ИД!V58</f>
        <v>0</v>
      </c>
      <c r="L58" s="154">
        <f>ИД!W58</f>
        <v>0</v>
      </c>
    </row>
    <row r="59" spans="1:12" ht="25" customHeight="1" x14ac:dyDescent="0.2">
      <c r="A59" s="102">
        <f>ИД!D59</f>
        <v>0</v>
      </c>
      <c r="B59" s="102">
        <f>ИД!E59</f>
        <v>0</v>
      </c>
      <c r="C59" s="102">
        <f>ИД!F59</f>
        <v>0</v>
      </c>
      <c r="D59" s="102">
        <f>ИД!G59</f>
        <v>0</v>
      </c>
      <c r="E59" s="102">
        <f>ИД!I59</f>
        <v>0</v>
      </c>
      <c r="F59" s="148">
        <f>ИД!L59</f>
        <v>0</v>
      </c>
      <c r="G59" s="102">
        <f>ИД!H59</f>
        <v>0</v>
      </c>
      <c r="H59" s="152">
        <f>ИД!N59</f>
        <v>0</v>
      </c>
      <c r="I59" s="154">
        <f>ИД!T59</f>
        <v>0</v>
      </c>
      <c r="J59" s="154">
        <f>ИД!U59</f>
        <v>0</v>
      </c>
      <c r="K59" s="154">
        <f>ИД!V59</f>
        <v>0</v>
      </c>
      <c r="L59" s="154">
        <f>ИД!W59</f>
        <v>0</v>
      </c>
    </row>
    <row r="60" spans="1:12" ht="25" customHeight="1" x14ac:dyDescent="0.2">
      <c r="A60" s="102">
        <f>ИД!D60</f>
        <v>0</v>
      </c>
      <c r="B60" s="102">
        <f>ИД!E60</f>
        <v>0</v>
      </c>
      <c r="C60" s="102">
        <f>ИД!F60</f>
        <v>0</v>
      </c>
      <c r="D60" s="102">
        <f>ИД!G60</f>
        <v>0</v>
      </c>
      <c r="E60" s="102">
        <f>ИД!I60</f>
        <v>0</v>
      </c>
      <c r="F60" s="148">
        <f>ИД!L60</f>
        <v>1.1000000000000001</v>
      </c>
      <c r="G60" s="102">
        <f>ИД!H60</f>
        <v>0</v>
      </c>
      <c r="H60" s="152">
        <f>ИД!N60</f>
        <v>0</v>
      </c>
      <c r="I60" s="154">
        <f>ИД!T60</f>
        <v>0</v>
      </c>
      <c r="J60" s="154">
        <f>ИД!U60</f>
        <v>0</v>
      </c>
      <c r="K60" s="154">
        <f>ИД!V60</f>
        <v>0</v>
      </c>
      <c r="L60" s="154">
        <f>ИД!W60</f>
        <v>0</v>
      </c>
    </row>
    <row r="61" spans="1:12" ht="25" customHeight="1" x14ac:dyDescent="0.2">
      <c r="A61" s="102">
        <f>ИД!D61</f>
        <v>0</v>
      </c>
      <c r="B61" s="102">
        <f>ИД!E61</f>
        <v>0</v>
      </c>
      <c r="C61" s="102">
        <f>ИД!F61</f>
        <v>0</v>
      </c>
      <c r="D61" s="102">
        <f>ИД!G61</f>
        <v>0</v>
      </c>
      <c r="E61" s="102">
        <f>ИД!I61</f>
        <v>0</v>
      </c>
      <c r="F61" s="148">
        <f>ИД!L61</f>
        <v>0.9</v>
      </c>
      <c r="G61" s="102">
        <f>ИД!H61</f>
        <v>0</v>
      </c>
      <c r="H61" s="152">
        <f>ИД!N61</f>
        <v>0</v>
      </c>
      <c r="I61" s="154">
        <f>ИД!T61</f>
        <v>0</v>
      </c>
      <c r="J61" s="154">
        <f>ИД!U61</f>
        <v>0</v>
      </c>
      <c r="K61" s="154">
        <f>ИД!V61</f>
        <v>0</v>
      </c>
      <c r="L61" s="154">
        <f>ИД!W61</f>
        <v>0</v>
      </c>
    </row>
    <row r="62" spans="1:12" ht="25" customHeight="1" x14ac:dyDescent="0.2">
      <c r="A62" s="102">
        <f>ИД!D62</f>
        <v>0</v>
      </c>
      <c r="B62" s="102">
        <f>ИД!E62</f>
        <v>0</v>
      </c>
      <c r="C62" s="102">
        <f>ИД!F62</f>
        <v>0</v>
      </c>
      <c r="D62" s="102">
        <f>ИД!G62</f>
        <v>0</v>
      </c>
      <c r="E62" s="102">
        <f>ИД!I62</f>
        <v>0</v>
      </c>
      <c r="F62" s="148">
        <f>ИД!L62</f>
        <v>0.3</v>
      </c>
      <c r="G62" s="102">
        <f>ИД!H62</f>
        <v>0</v>
      </c>
      <c r="H62" s="152">
        <f>ИД!N62</f>
        <v>0</v>
      </c>
      <c r="I62" s="154">
        <f>ИД!T62</f>
        <v>0</v>
      </c>
      <c r="J62" s="154">
        <f>ИД!U62</f>
        <v>0</v>
      </c>
      <c r="K62" s="154">
        <f>ИД!V62</f>
        <v>0</v>
      </c>
      <c r="L62" s="154">
        <f>ИД!W62</f>
        <v>0</v>
      </c>
    </row>
    <row r="63" spans="1:12" ht="25" customHeight="1" x14ac:dyDescent="0.2">
      <c r="A63" s="102">
        <f>ИД!D63</f>
        <v>0</v>
      </c>
      <c r="B63" s="102">
        <f>ИД!E63</f>
        <v>0</v>
      </c>
      <c r="C63" s="102">
        <f>ИД!F63</f>
        <v>0</v>
      </c>
      <c r="D63" s="102">
        <f>ИД!G63</f>
        <v>0</v>
      </c>
      <c r="E63" s="102">
        <f>ИД!I63</f>
        <v>0</v>
      </c>
      <c r="F63" s="148">
        <f>ИД!L63</f>
        <v>0.3</v>
      </c>
      <c r="G63" s="102">
        <f>ИД!H63</f>
        <v>0</v>
      </c>
      <c r="H63" s="152">
        <f>ИД!N63</f>
        <v>0</v>
      </c>
      <c r="I63" s="154">
        <f>ИД!T63</f>
        <v>0</v>
      </c>
      <c r="J63" s="154">
        <f>ИД!U63</f>
        <v>0</v>
      </c>
      <c r="K63" s="154">
        <f>ИД!V63</f>
        <v>0</v>
      </c>
      <c r="L63" s="154">
        <f>ИД!W63</f>
        <v>0</v>
      </c>
    </row>
    <row r="64" spans="1:12" ht="25" customHeight="1" x14ac:dyDescent="0.2">
      <c r="A64" s="102">
        <f>ИД!D64</f>
        <v>0</v>
      </c>
      <c r="B64" s="102">
        <f>ИД!E64</f>
        <v>0</v>
      </c>
      <c r="C64" s="102">
        <f>ИД!F64</f>
        <v>0</v>
      </c>
      <c r="D64" s="102">
        <f>ИД!G64</f>
        <v>0</v>
      </c>
      <c r="E64" s="102">
        <f>ИД!I64</f>
        <v>0</v>
      </c>
      <c r="F64" s="148">
        <f>ИД!L64</f>
        <v>0.6</v>
      </c>
      <c r="G64" s="102">
        <f>ИД!H64</f>
        <v>0</v>
      </c>
      <c r="H64" s="152">
        <f>ИД!N64</f>
        <v>0</v>
      </c>
      <c r="I64" s="154">
        <f>ИД!T64</f>
        <v>0</v>
      </c>
      <c r="J64" s="154">
        <f>ИД!U64</f>
        <v>0</v>
      </c>
      <c r="K64" s="154">
        <f>ИД!V64</f>
        <v>0</v>
      </c>
      <c r="L64" s="154">
        <f>ИД!W64</f>
        <v>0</v>
      </c>
    </row>
    <row r="65" spans="1:12" ht="25" customHeight="1" x14ac:dyDescent="0.2">
      <c r="A65" s="102">
        <f>ИД!D65</f>
        <v>0</v>
      </c>
      <c r="B65" s="102">
        <f>ИД!E65</f>
        <v>0</v>
      </c>
      <c r="C65" s="102">
        <f>ИД!F65</f>
        <v>0</v>
      </c>
      <c r="D65" s="102">
        <f>ИД!G65</f>
        <v>0</v>
      </c>
      <c r="E65" s="102">
        <f>ИД!I65</f>
        <v>0</v>
      </c>
      <c r="F65" s="148">
        <f>ИД!L65</f>
        <v>1.1000000000000001</v>
      </c>
      <c r="G65" s="102">
        <f>ИД!H65</f>
        <v>0</v>
      </c>
      <c r="H65" s="152">
        <f>ИД!N65</f>
        <v>0</v>
      </c>
      <c r="I65" s="154">
        <f>ИД!T65</f>
        <v>0</v>
      </c>
      <c r="J65" s="154">
        <f>ИД!U65</f>
        <v>0</v>
      </c>
      <c r="K65" s="154">
        <f>ИД!V65</f>
        <v>0</v>
      </c>
      <c r="L65" s="154">
        <f>ИД!W65</f>
        <v>0</v>
      </c>
    </row>
    <row r="66" spans="1:12" ht="25" customHeight="1" x14ac:dyDescent="0.2">
      <c r="A66" s="102">
        <f>ИД!D66</f>
        <v>0</v>
      </c>
      <c r="B66" s="102">
        <f>ИД!E66</f>
        <v>0</v>
      </c>
      <c r="C66" s="102">
        <f>ИД!F66</f>
        <v>0</v>
      </c>
      <c r="D66" s="102">
        <f>ИД!G66</f>
        <v>0</v>
      </c>
      <c r="E66" s="102">
        <f>ИД!I66</f>
        <v>0</v>
      </c>
      <c r="F66" s="148">
        <f>ИД!L66</f>
        <v>0.5</v>
      </c>
      <c r="G66" s="102">
        <f>ИД!H66</f>
        <v>0</v>
      </c>
      <c r="H66" s="152">
        <f>ИД!N66</f>
        <v>0</v>
      </c>
      <c r="I66" s="154">
        <f>ИД!T66</f>
        <v>0</v>
      </c>
      <c r="J66" s="154">
        <f>ИД!U66</f>
        <v>0</v>
      </c>
      <c r="K66" s="154">
        <f>ИД!V66</f>
        <v>0</v>
      </c>
      <c r="L66" s="154">
        <f>ИД!W66</f>
        <v>0</v>
      </c>
    </row>
    <row r="67" spans="1:12" ht="25" customHeight="1" x14ac:dyDescent="0.2">
      <c r="A67" s="102">
        <f>ИД!D67</f>
        <v>0</v>
      </c>
      <c r="B67" s="102">
        <f>ИД!E67</f>
        <v>0</v>
      </c>
      <c r="C67" s="102">
        <f>ИД!F67</f>
        <v>0</v>
      </c>
      <c r="D67" s="102">
        <f>ИД!G67</f>
        <v>0</v>
      </c>
      <c r="E67" s="102">
        <f>ИД!I67</f>
        <v>0</v>
      </c>
      <c r="F67" s="148">
        <f>ИД!L67</f>
        <v>4.8</v>
      </c>
      <c r="G67" s="102">
        <f>ИД!H67</f>
        <v>0</v>
      </c>
      <c r="H67" s="152">
        <f>ИД!N67</f>
        <v>0</v>
      </c>
      <c r="I67" s="154">
        <f>ИД!T67</f>
        <v>0</v>
      </c>
      <c r="J67" s="154">
        <f>ИД!U67</f>
        <v>0</v>
      </c>
      <c r="K67" s="154">
        <f>ИД!V67</f>
        <v>0</v>
      </c>
      <c r="L67" s="154">
        <f>ИД!W67</f>
        <v>0</v>
      </c>
    </row>
    <row r="68" spans="1:12" ht="25" customHeight="1" x14ac:dyDescent="0.2">
      <c r="A68" s="102">
        <f>ИД!D68</f>
        <v>0</v>
      </c>
      <c r="B68" s="102">
        <f>ИД!E68</f>
        <v>0</v>
      </c>
      <c r="C68" s="102">
        <f>ИД!F68</f>
        <v>0</v>
      </c>
      <c r="D68" s="102">
        <f>ИД!G68</f>
        <v>0</v>
      </c>
      <c r="E68" s="102">
        <f>ИД!I68</f>
        <v>0</v>
      </c>
      <c r="F68" s="148">
        <f>ИД!L68</f>
        <v>0.25</v>
      </c>
      <c r="G68" s="102">
        <f>ИД!H68</f>
        <v>0</v>
      </c>
      <c r="H68" s="152">
        <f>ИД!N68</f>
        <v>0</v>
      </c>
      <c r="I68" s="154">
        <f>ИД!T68</f>
        <v>0</v>
      </c>
      <c r="J68" s="154">
        <f>ИД!U68</f>
        <v>0</v>
      </c>
      <c r="K68" s="154">
        <f>ИД!V68</f>
        <v>0</v>
      </c>
      <c r="L68" s="154">
        <f>ИД!W68</f>
        <v>0</v>
      </c>
    </row>
    <row r="69" spans="1:12" ht="25" customHeight="1" x14ac:dyDescent="0.2">
      <c r="A69" s="102">
        <f>ИД!D69</f>
        <v>0</v>
      </c>
      <c r="B69" s="102">
        <f>ИД!E69</f>
        <v>0</v>
      </c>
      <c r="C69" s="102">
        <f>ИД!F69</f>
        <v>0</v>
      </c>
      <c r="D69" s="102">
        <f>ИД!G69</f>
        <v>0</v>
      </c>
      <c r="E69" s="102">
        <f>ИД!I69</f>
        <v>0</v>
      </c>
      <c r="F69" s="148">
        <f>ИД!L69</f>
        <v>2</v>
      </c>
      <c r="G69" s="102">
        <f>ИД!H69</f>
        <v>0</v>
      </c>
      <c r="H69" s="152">
        <f>ИД!N69</f>
        <v>0</v>
      </c>
      <c r="I69" s="154">
        <f>ИД!T69</f>
        <v>0</v>
      </c>
      <c r="J69" s="154">
        <f>ИД!U69</f>
        <v>0</v>
      </c>
      <c r="K69" s="154">
        <f>ИД!V69</f>
        <v>0</v>
      </c>
      <c r="L69" s="154">
        <f>ИД!W69</f>
        <v>0</v>
      </c>
    </row>
    <row r="70" spans="1:12" ht="25" customHeight="1" x14ac:dyDescent="0.2">
      <c r="A70" s="102">
        <f>ИД!D70</f>
        <v>0</v>
      </c>
      <c r="B70" s="102">
        <f>ИД!E70</f>
        <v>0</v>
      </c>
      <c r="C70" s="102">
        <f>ИД!F70</f>
        <v>0</v>
      </c>
      <c r="D70" s="102">
        <f>ИД!G70</f>
        <v>0</v>
      </c>
      <c r="E70" s="102">
        <f>ИД!I70</f>
        <v>0</v>
      </c>
      <c r="F70" s="148">
        <f>ИД!L70</f>
        <v>11.85</v>
      </c>
      <c r="G70" s="102">
        <f>ИД!H70</f>
        <v>0</v>
      </c>
      <c r="H70" s="152">
        <f>ИД!N70</f>
        <v>0</v>
      </c>
      <c r="I70" s="154">
        <f>ИД!T70</f>
        <v>0</v>
      </c>
      <c r="J70" s="154">
        <f>ИД!U70</f>
        <v>0</v>
      </c>
      <c r="K70" s="154">
        <f>ИД!V70</f>
        <v>0</v>
      </c>
      <c r="L70" s="154">
        <f>ИД!W70</f>
        <v>0</v>
      </c>
    </row>
    <row r="71" spans="1:12" ht="25" customHeight="1" x14ac:dyDescent="0.2">
      <c r="A71" s="102">
        <f>ИД!D71</f>
        <v>0</v>
      </c>
      <c r="B71" s="102">
        <f>ИД!E71</f>
        <v>0</v>
      </c>
      <c r="C71" s="102">
        <f>ИД!F71</f>
        <v>0</v>
      </c>
      <c r="D71" s="102">
        <f>ИД!G71</f>
        <v>0</v>
      </c>
      <c r="E71" s="102">
        <f>ИД!I71</f>
        <v>0</v>
      </c>
      <c r="F71" s="148">
        <f>ИД!L71</f>
        <v>0</v>
      </c>
      <c r="G71" s="102">
        <f>ИД!H71</f>
        <v>0</v>
      </c>
      <c r="H71" s="152">
        <f>ИД!N71</f>
        <v>0</v>
      </c>
      <c r="I71" s="154">
        <f>ИД!T71</f>
        <v>0</v>
      </c>
      <c r="J71" s="154">
        <f>ИД!U71</f>
        <v>0</v>
      </c>
      <c r="K71" s="154">
        <f>ИД!V71</f>
        <v>0</v>
      </c>
      <c r="L71" s="154">
        <f>ИД!W71</f>
        <v>0</v>
      </c>
    </row>
    <row r="72" spans="1:12" ht="25" customHeight="1" x14ac:dyDescent="0.2">
      <c r="A72" s="102">
        <f>ИД!D72</f>
        <v>0</v>
      </c>
      <c r="B72" s="102">
        <f>ИД!E72</f>
        <v>0</v>
      </c>
      <c r="C72" s="102">
        <f>ИД!F72</f>
        <v>0</v>
      </c>
      <c r="D72" s="102">
        <f>ИД!G72</f>
        <v>0</v>
      </c>
      <c r="E72" s="102">
        <f>ИД!I72</f>
        <v>0</v>
      </c>
      <c r="F72" s="148">
        <f>ИД!L72</f>
        <v>0</v>
      </c>
      <c r="G72" s="102">
        <f>ИД!H72</f>
        <v>0</v>
      </c>
      <c r="H72" s="152">
        <f>ИД!N72</f>
        <v>0</v>
      </c>
      <c r="I72" s="154">
        <f>ИД!T72</f>
        <v>0</v>
      </c>
      <c r="J72" s="154">
        <f>ИД!U72</f>
        <v>0</v>
      </c>
      <c r="K72" s="154">
        <f>ИД!V72</f>
        <v>0</v>
      </c>
      <c r="L72" s="154">
        <f>ИД!W72</f>
        <v>0</v>
      </c>
    </row>
    <row r="73" spans="1:12" ht="25" customHeight="1" x14ac:dyDescent="0.2">
      <c r="A73" s="102">
        <f>ИД!D73</f>
        <v>0</v>
      </c>
      <c r="B73" s="102">
        <f>ИД!E73</f>
        <v>0</v>
      </c>
      <c r="C73" s="102">
        <f>ИД!F73</f>
        <v>0</v>
      </c>
      <c r="D73" s="102">
        <f>ИД!G73</f>
        <v>0</v>
      </c>
      <c r="E73" s="102">
        <f>ИД!I73</f>
        <v>0</v>
      </c>
      <c r="F73" s="148">
        <f>ИД!L73</f>
        <v>0</v>
      </c>
      <c r="G73" s="102">
        <f>ИД!H73</f>
        <v>0</v>
      </c>
      <c r="H73" s="152">
        <f>ИД!N73</f>
        <v>0</v>
      </c>
      <c r="I73" s="154">
        <f>ИД!T73</f>
        <v>0</v>
      </c>
      <c r="J73" s="154">
        <f>ИД!U73</f>
        <v>0</v>
      </c>
      <c r="K73" s="154">
        <f>ИД!V73</f>
        <v>0</v>
      </c>
      <c r="L73" s="154">
        <f>ИД!W73</f>
        <v>0</v>
      </c>
    </row>
    <row r="74" spans="1:12" ht="25" customHeight="1" x14ac:dyDescent="0.2">
      <c r="A74" s="102">
        <f>ИД!D74</f>
        <v>0</v>
      </c>
      <c r="B74" s="102">
        <f>ИД!E74</f>
        <v>0</v>
      </c>
      <c r="C74" s="102">
        <f>ИД!F74</f>
        <v>0</v>
      </c>
      <c r="D74" s="102">
        <f>ИД!G74</f>
        <v>0</v>
      </c>
      <c r="E74" s="102">
        <f>ИД!I74</f>
        <v>0</v>
      </c>
      <c r="F74" s="148">
        <f>ИД!L74</f>
        <v>0</v>
      </c>
      <c r="G74" s="102">
        <f>ИД!H74</f>
        <v>0</v>
      </c>
      <c r="H74" s="152">
        <f>ИД!N74</f>
        <v>0</v>
      </c>
      <c r="I74" s="154">
        <f>ИД!T74</f>
        <v>0</v>
      </c>
      <c r="J74" s="154">
        <f>ИД!U74</f>
        <v>0</v>
      </c>
      <c r="K74" s="154">
        <f>ИД!V74</f>
        <v>0</v>
      </c>
      <c r="L74" s="154">
        <f>ИД!W74</f>
        <v>0</v>
      </c>
    </row>
    <row r="75" spans="1:12" ht="25" customHeight="1" x14ac:dyDescent="0.2">
      <c r="A75" s="102">
        <f>ИД!D75</f>
        <v>0</v>
      </c>
      <c r="B75" s="102">
        <f>ИД!E75</f>
        <v>0</v>
      </c>
      <c r="C75" s="102">
        <f>ИД!F75</f>
        <v>0</v>
      </c>
      <c r="D75" s="102">
        <f>ИД!G75</f>
        <v>0</v>
      </c>
      <c r="E75" s="102">
        <f>ИД!I75</f>
        <v>0</v>
      </c>
      <c r="F75" s="148">
        <f>ИД!L75</f>
        <v>0</v>
      </c>
      <c r="G75" s="102">
        <f>ИД!H75</f>
        <v>0</v>
      </c>
      <c r="H75" s="152">
        <f>ИД!N75</f>
        <v>0</v>
      </c>
      <c r="I75" s="154">
        <f>ИД!T75</f>
        <v>0</v>
      </c>
      <c r="J75" s="154">
        <f>ИД!U75</f>
        <v>0</v>
      </c>
      <c r="K75" s="154">
        <f>ИД!V75</f>
        <v>0</v>
      </c>
      <c r="L75" s="154">
        <f>ИД!W75</f>
        <v>0</v>
      </c>
    </row>
    <row r="76" spans="1:12" ht="25" customHeight="1" x14ac:dyDescent="0.2">
      <c r="A76" s="102">
        <f>ИД!D76</f>
        <v>0</v>
      </c>
      <c r="B76" s="102">
        <f>ИД!E76</f>
        <v>0</v>
      </c>
      <c r="C76" s="102">
        <f>ИД!F76</f>
        <v>0</v>
      </c>
      <c r="D76" s="102">
        <f>ИД!G76</f>
        <v>0</v>
      </c>
      <c r="E76" s="102">
        <f>ИД!I76</f>
        <v>0</v>
      </c>
      <c r="F76" s="148">
        <f>ИД!L76</f>
        <v>0</v>
      </c>
      <c r="G76" s="102">
        <f>ИД!H76</f>
        <v>0</v>
      </c>
      <c r="H76" s="152">
        <f>ИД!N76</f>
        <v>0</v>
      </c>
      <c r="I76" s="154">
        <f>ИД!T76</f>
        <v>0</v>
      </c>
      <c r="J76" s="154">
        <f>ИД!U76</f>
        <v>0</v>
      </c>
      <c r="K76" s="154">
        <f>ИД!V76</f>
        <v>0</v>
      </c>
      <c r="L76" s="154">
        <f>ИД!W76</f>
        <v>0</v>
      </c>
    </row>
    <row r="77" spans="1:12" ht="25" customHeight="1" x14ac:dyDescent="0.2">
      <c r="A77" s="102">
        <f>ИД!D77</f>
        <v>0</v>
      </c>
      <c r="B77" s="102">
        <f>ИД!E77</f>
        <v>0</v>
      </c>
      <c r="C77" s="102">
        <f>ИД!F77</f>
        <v>0</v>
      </c>
      <c r="D77" s="102">
        <f>ИД!G77</f>
        <v>0</v>
      </c>
      <c r="E77" s="102">
        <f>ИД!I77</f>
        <v>0</v>
      </c>
      <c r="F77" s="148">
        <f>ИД!L77</f>
        <v>0</v>
      </c>
      <c r="G77" s="102">
        <f>ИД!H77</f>
        <v>0</v>
      </c>
      <c r="H77" s="152">
        <f>ИД!N77</f>
        <v>0</v>
      </c>
      <c r="I77" s="154">
        <f>ИД!T77</f>
        <v>0</v>
      </c>
      <c r="J77" s="154">
        <f>ИД!U77</f>
        <v>0</v>
      </c>
      <c r="K77" s="154">
        <f>ИД!V77</f>
        <v>0</v>
      </c>
      <c r="L77" s="154">
        <f>ИД!W77</f>
        <v>0</v>
      </c>
    </row>
    <row r="78" spans="1:12" ht="25" customHeight="1" x14ac:dyDescent="0.2">
      <c r="A78" s="102">
        <f>ИД!D78</f>
        <v>0</v>
      </c>
      <c r="B78" s="102">
        <f>ИД!E78</f>
        <v>0</v>
      </c>
      <c r="C78" s="102">
        <f>ИД!F78</f>
        <v>0</v>
      </c>
      <c r="D78" s="102">
        <f>ИД!G78</f>
        <v>0</v>
      </c>
      <c r="E78" s="102">
        <f>ИД!I78</f>
        <v>0</v>
      </c>
      <c r="F78" s="148">
        <f>ИД!L78</f>
        <v>0</v>
      </c>
      <c r="G78" s="102">
        <f>ИД!H78</f>
        <v>0</v>
      </c>
      <c r="H78" s="152">
        <f>ИД!N78</f>
        <v>0</v>
      </c>
      <c r="I78" s="154">
        <f>ИД!T78</f>
        <v>0</v>
      </c>
      <c r="J78" s="154">
        <f>ИД!U78</f>
        <v>0</v>
      </c>
      <c r="K78" s="154">
        <f>ИД!V78</f>
        <v>0</v>
      </c>
      <c r="L78" s="154">
        <f>ИД!W78</f>
        <v>0</v>
      </c>
    </row>
    <row r="79" spans="1:12" ht="25" customHeight="1" x14ac:dyDescent="0.2">
      <c r="A79" s="102">
        <f>ИД!D79</f>
        <v>0</v>
      </c>
      <c r="B79" s="102">
        <f>ИД!E79</f>
        <v>0</v>
      </c>
      <c r="C79" s="102">
        <f>ИД!F79</f>
        <v>0</v>
      </c>
      <c r="D79" s="102">
        <f>ИД!G79</f>
        <v>0</v>
      </c>
      <c r="E79" s="102">
        <f>ИД!I79</f>
        <v>0</v>
      </c>
      <c r="F79" s="148">
        <f>ИД!L79</f>
        <v>0</v>
      </c>
      <c r="G79" s="102">
        <f>ИД!H79</f>
        <v>0</v>
      </c>
      <c r="H79" s="152">
        <f>ИД!N79</f>
        <v>0</v>
      </c>
      <c r="I79" s="154">
        <f>ИД!T79</f>
        <v>0</v>
      </c>
      <c r="J79" s="154">
        <f>ИД!U79</f>
        <v>0</v>
      </c>
      <c r="K79" s="154">
        <f>ИД!V79</f>
        <v>0</v>
      </c>
      <c r="L79" s="154">
        <f>ИД!W79</f>
        <v>0</v>
      </c>
    </row>
    <row r="80" spans="1:12" ht="25" customHeight="1" x14ac:dyDescent="0.2">
      <c r="A80" s="102">
        <f>ИД!D80</f>
        <v>0</v>
      </c>
      <c r="B80" s="102">
        <f>ИД!E80</f>
        <v>0</v>
      </c>
      <c r="C80" s="102">
        <f>ИД!F80</f>
        <v>0</v>
      </c>
      <c r="D80" s="102">
        <f>ИД!G80</f>
        <v>0</v>
      </c>
      <c r="E80" s="102">
        <f>ИД!I80</f>
        <v>0</v>
      </c>
      <c r="F80" s="148">
        <f>ИД!L80</f>
        <v>0</v>
      </c>
      <c r="G80" s="102">
        <f>ИД!H80</f>
        <v>0</v>
      </c>
      <c r="H80" s="152">
        <f>ИД!N80</f>
        <v>0</v>
      </c>
      <c r="I80" s="154">
        <f>ИД!T80</f>
        <v>0</v>
      </c>
      <c r="J80" s="154">
        <f>ИД!U80</f>
        <v>0</v>
      </c>
      <c r="K80" s="154">
        <f>ИД!V80</f>
        <v>0</v>
      </c>
      <c r="L80" s="154">
        <f>ИД!W80</f>
        <v>0</v>
      </c>
    </row>
    <row r="81" spans="1:12" ht="25" customHeight="1" x14ac:dyDescent="0.2">
      <c r="A81" s="102">
        <f>ИД!D81</f>
        <v>0</v>
      </c>
      <c r="B81" s="102">
        <f>ИД!E81</f>
        <v>0</v>
      </c>
      <c r="C81" s="102">
        <f>ИД!F81</f>
        <v>0</v>
      </c>
      <c r="D81" s="102">
        <f>ИД!G81</f>
        <v>0</v>
      </c>
      <c r="E81" s="102">
        <f>ИД!I81</f>
        <v>0</v>
      </c>
      <c r="F81" s="148">
        <f>ИД!L81</f>
        <v>0</v>
      </c>
      <c r="G81" s="102">
        <f>ИД!H81</f>
        <v>0</v>
      </c>
      <c r="H81" s="152">
        <f>ИД!N81</f>
        <v>0</v>
      </c>
      <c r="I81" s="154">
        <f>ИД!T81</f>
        <v>0</v>
      </c>
      <c r="J81" s="154">
        <f>ИД!U81</f>
        <v>0</v>
      </c>
      <c r="K81" s="154">
        <f>ИД!V81</f>
        <v>0</v>
      </c>
      <c r="L81" s="154">
        <f>ИД!W81</f>
        <v>0</v>
      </c>
    </row>
    <row r="82" spans="1:12" ht="25" customHeight="1" x14ac:dyDescent="0.2">
      <c r="A82" s="102">
        <f>ИД!D82</f>
        <v>0</v>
      </c>
      <c r="B82" s="102">
        <f>ИД!E82</f>
        <v>0</v>
      </c>
      <c r="C82" s="102">
        <f>ИД!F82</f>
        <v>0</v>
      </c>
      <c r="D82" s="102">
        <f>ИД!G82</f>
        <v>0</v>
      </c>
      <c r="E82" s="102">
        <f>ИД!I82</f>
        <v>0</v>
      </c>
      <c r="F82" s="148">
        <f>ИД!L82</f>
        <v>0</v>
      </c>
      <c r="G82" s="102">
        <f>ИД!H82</f>
        <v>0</v>
      </c>
      <c r="H82" s="152">
        <f>ИД!N82</f>
        <v>0</v>
      </c>
      <c r="I82" s="154">
        <f>ИД!T82</f>
        <v>0</v>
      </c>
      <c r="J82" s="154">
        <f>ИД!U82</f>
        <v>0</v>
      </c>
      <c r="K82" s="154">
        <f>ИД!V82</f>
        <v>0</v>
      </c>
      <c r="L82" s="154">
        <f>ИД!W82</f>
        <v>0</v>
      </c>
    </row>
    <row r="83" spans="1:12" ht="25" customHeight="1" x14ac:dyDescent="0.2">
      <c r="A83" s="102">
        <f>ИД!D83</f>
        <v>0</v>
      </c>
      <c r="B83" s="102">
        <f>ИД!E83</f>
        <v>0</v>
      </c>
      <c r="C83" s="102">
        <f>ИД!F83</f>
        <v>0</v>
      </c>
      <c r="D83" s="102">
        <f>ИД!G83</f>
        <v>0</v>
      </c>
      <c r="E83" s="102">
        <f>ИД!I83</f>
        <v>0</v>
      </c>
      <c r="F83" s="148">
        <f>ИД!L83</f>
        <v>0</v>
      </c>
      <c r="G83" s="102">
        <f>ИД!H83</f>
        <v>0</v>
      </c>
      <c r="H83" s="152">
        <f>ИД!N83</f>
        <v>0</v>
      </c>
      <c r="I83" s="154">
        <f>ИД!T83</f>
        <v>0</v>
      </c>
      <c r="J83" s="154">
        <f>ИД!U83</f>
        <v>0</v>
      </c>
      <c r="K83" s="154">
        <f>ИД!V83</f>
        <v>0</v>
      </c>
      <c r="L83" s="154">
        <f>ИД!W83</f>
        <v>0</v>
      </c>
    </row>
    <row r="84" spans="1:12" ht="25" customHeight="1" x14ac:dyDescent="0.2">
      <c r="A84" s="102">
        <f>ИД!D84</f>
        <v>0</v>
      </c>
      <c r="B84" s="102">
        <f>ИД!E84</f>
        <v>0</v>
      </c>
      <c r="C84" s="102">
        <f>ИД!F84</f>
        <v>0</v>
      </c>
      <c r="D84" s="102">
        <f>ИД!G84</f>
        <v>0</v>
      </c>
      <c r="E84" s="102">
        <f>ИД!I84</f>
        <v>0</v>
      </c>
      <c r="F84" s="148">
        <f>ИД!L84</f>
        <v>0</v>
      </c>
      <c r="G84" s="102">
        <f>ИД!H84</f>
        <v>0</v>
      </c>
      <c r="H84" s="152">
        <f>ИД!N84</f>
        <v>0</v>
      </c>
      <c r="I84" s="154">
        <f>ИД!T84</f>
        <v>0</v>
      </c>
      <c r="J84" s="154">
        <f>ИД!U84</f>
        <v>0</v>
      </c>
      <c r="K84" s="154">
        <f>ИД!V84</f>
        <v>0</v>
      </c>
      <c r="L84" s="154">
        <f>ИД!W84</f>
        <v>0</v>
      </c>
    </row>
    <row r="85" spans="1:12" ht="25" customHeight="1" x14ac:dyDescent="0.2">
      <c r="A85" s="102">
        <f>ИД!D85</f>
        <v>0</v>
      </c>
      <c r="B85" s="102">
        <f>ИД!E85</f>
        <v>0</v>
      </c>
      <c r="C85" s="102">
        <f>ИД!F85</f>
        <v>0</v>
      </c>
      <c r="D85" s="102">
        <f>ИД!G85</f>
        <v>0</v>
      </c>
      <c r="E85" s="102">
        <f>ИД!I85</f>
        <v>0</v>
      </c>
      <c r="F85" s="148">
        <f>ИД!L85</f>
        <v>0</v>
      </c>
      <c r="G85" s="102">
        <f>ИД!H85</f>
        <v>0</v>
      </c>
      <c r="H85" s="152">
        <f>ИД!N85</f>
        <v>0</v>
      </c>
      <c r="I85" s="154">
        <f>ИД!T85</f>
        <v>0</v>
      </c>
      <c r="J85" s="154">
        <f>ИД!U85</f>
        <v>0</v>
      </c>
      <c r="K85" s="154">
        <f>ИД!V85</f>
        <v>0</v>
      </c>
      <c r="L85" s="154">
        <f>ИД!W85</f>
        <v>0</v>
      </c>
    </row>
    <row r="86" spans="1:12" ht="25" customHeight="1" x14ac:dyDescent="0.2">
      <c r="A86" s="102">
        <f>ИД!D86</f>
        <v>0</v>
      </c>
      <c r="B86" s="102">
        <f>ИД!E86</f>
        <v>0</v>
      </c>
      <c r="C86" s="102">
        <f>ИД!F86</f>
        <v>0</v>
      </c>
      <c r="D86" s="102">
        <f>ИД!G86</f>
        <v>0</v>
      </c>
      <c r="E86" s="102">
        <f>ИД!I86</f>
        <v>0</v>
      </c>
      <c r="F86" s="148">
        <f>ИД!L86</f>
        <v>0</v>
      </c>
      <c r="G86" s="102">
        <f>ИД!H86</f>
        <v>0</v>
      </c>
      <c r="H86" s="152">
        <f>ИД!N86</f>
        <v>0</v>
      </c>
      <c r="I86" s="154">
        <f>ИД!T86</f>
        <v>0</v>
      </c>
      <c r="J86" s="154">
        <f>ИД!U86</f>
        <v>0</v>
      </c>
      <c r="K86" s="154">
        <f>ИД!V86</f>
        <v>0</v>
      </c>
      <c r="L86" s="154">
        <f>ИД!W86</f>
        <v>0</v>
      </c>
    </row>
    <row r="87" spans="1:12" ht="25" customHeight="1" x14ac:dyDescent="0.2">
      <c r="A87" s="102">
        <f>ИД!D87</f>
        <v>0</v>
      </c>
      <c r="B87" s="102">
        <f>ИД!E87</f>
        <v>0</v>
      </c>
      <c r="C87" s="102">
        <f>ИД!F87</f>
        <v>0</v>
      </c>
      <c r="D87" s="102">
        <f>ИД!G87</f>
        <v>0</v>
      </c>
      <c r="E87" s="102">
        <f>ИД!I87</f>
        <v>0</v>
      </c>
      <c r="F87" s="148">
        <f>ИД!L87</f>
        <v>0</v>
      </c>
      <c r="G87" s="102">
        <f>ИД!H87</f>
        <v>0</v>
      </c>
      <c r="H87" s="152">
        <f>ИД!N87</f>
        <v>0</v>
      </c>
      <c r="I87" s="154">
        <f>ИД!T87</f>
        <v>0</v>
      </c>
      <c r="J87" s="154">
        <f>ИД!U87</f>
        <v>0</v>
      </c>
      <c r="K87" s="154">
        <f>ИД!V87</f>
        <v>0</v>
      </c>
      <c r="L87" s="154">
        <f>ИД!W87</f>
        <v>0</v>
      </c>
    </row>
    <row r="88" spans="1:12" ht="25" customHeight="1" x14ac:dyDescent="0.2">
      <c r="A88" s="102">
        <f>ИД!D88</f>
        <v>0</v>
      </c>
      <c r="B88" s="102">
        <f>ИД!E88</f>
        <v>0</v>
      </c>
      <c r="C88" s="102">
        <f>ИД!F88</f>
        <v>0</v>
      </c>
      <c r="D88" s="102">
        <f>ИД!G88</f>
        <v>0</v>
      </c>
      <c r="E88" s="102">
        <f>ИД!I88</f>
        <v>0</v>
      </c>
      <c r="F88" s="148">
        <f>ИД!L88</f>
        <v>0</v>
      </c>
      <c r="G88" s="102">
        <f>ИД!H88</f>
        <v>0</v>
      </c>
      <c r="H88" s="152">
        <f>ИД!N88</f>
        <v>0</v>
      </c>
      <c r="I88" s="154">
        <f>ИД!T88</f>
        <v>0</v>
      </c>
      <c r="J88" s="154">
        <f>ИД!U88</f>
        <v>0</v>
      </c>
      <c r="K88" s="154">
        <f>ИД!V88</f>
        <v>0</v>
      </c>
      <c r="L88" s="154">
        <f>ИД!W88</f>
        <v>0</v>
      </c>
    </row>
    <row r="89" spans="1:12" ht="25" customHeight="1" x14ac:dyDescent="0.2">
      <c r="A89" s="102">
        <f>ИД!D89</f>
        <v>0</v>
      </c>
      <c r="B89" s="102">
        <f>ИД!E89</f>
        <v>0</v>
      </c>
      <c r="C89" s="102">
        <f>ИД!F89</f>
        <v>0</v>
      </c>
      <c r="D89" s="102">
        <f>ИД!G89</f>
        <v>0</v>
      </c>
      <c r="E89" s="102">
        <f>ИД!I89</f>
        <v>0</v>
      </c>
      <c r="F89" s="148">
        <f>ИД!L89</f>
        <v>0</v>
      </c>
      <c r="G89" s="102">
        <f>ИД!H89</f>
        <v>0</v>
      </c>
      <c r="H89" s="152">
        <f>ИД!N89</f>
        <v>0</v>
      </c>
      <c r="I89" s="154">
        <f>ИД!T89</f>
        <v>0</v>
      </c>
      <c r="J89" s="154">
        <f>ИД!U89</f>
        <v>0</v>
      </c>
      <c r="K89" s="154">
        <f>ИД!V89</f>
        <v>0</v>
      </c>
      <c r="L89" s="154">
        <f>ИД!W89</f>
        <v>0</v>
      </c>
    </row>
    <row r="90" spans="1:12" ht="25" customHeight="1" x14ac:dyDescent="0.2">
      <c r="A90" s="102">
        <f>ИД!D90</f>
        <v>0</v>
      </c>
      <c r="B90" s="102">
        <f>ИД!E90</f>
        <v>0</v>
      </c>
      <c r="C90" s="102">
        <f>ИД!F90</f>
        <v>0</v>
      </c>
      <c r="D90" s="102">
        <f>ИД!G90</f>
        <v>0</v>
      </c>
      <c r="E90" s="102">
        <f>ИД!I90</f>
        <v>0</v>
      </c>
      <c r="F90" s="148">
        <f>ИД!L90</f>
        <v>0</v>
      </c>
      <c r="G90" s="102">
        <f>ИД!H90</f>
        <v>0</v>
      </c>
      <c r="H90" s="152">
        <f>ИД!N90</f>
        <v>0</v>
      </c>
      <c r="I90" s="154">
        <f>ИД!T90</f>
        <v>0</v>
      </c>
      <c r="J90" s="154">
        <f>ИД!U90</f>
        <v>0</v>
      </c>
      <c r="K90" s="154">
        <f>ИД!V90</f>
        <v>0</v>
      </c>
      <c r="L90" s="154">
        <f>ИД!W90</f>
        <v>0</v>
      </c>
    </row>
    <row r="91" spans="1:12" ht="25" customHeight="1" x14ac:dyDescent="0.2">
      <c r="A91" s="102">
        <f>ИД!D91</f>
        <v>0</v>
      </c>
      <c r="B91" s="102">
        <f>ИД!E91</f>
        <v>0</v>
      </c>
      <c r="C91" s="102">
        <f>ИД!F91</f>
        <v>0</v>
      </c>
      <c r="D91" s="102">
        <f>ИД!G91</f>
        <v>0</v>
      </c>
      <c r="E91" s="102">
        <f>ИД!I91</f>
        <v>0</v>
      </c>
      <c r="F91" s="148">
        <f>ИД!L91</f>
        <v>0</v>
      </c>
      <c r="G91" s="102">
        <f>ИД!H91</f>
        <v>0</v>
      </c>
      <c r="H91" s="152">
        <f>ИД!N91</f>
        <v>0</v>
      </c>
      <c r="I91" s="154">
        <f>ИД!T91</f>
        <v>0</v>
      </c>
      <c r="J91" s="154">
        <f>ИД!U91</f>
        <v>0</v>
      </c>
      <c r="K91" s="154">
        <f>ИД!V91</f>
        <v>0</v>
      </c>
      <c r="L91" s="154">
        <f>ИД!W91</f>
        <v>0</v>
      </c>
    </row>
    <row r="92" spans="1:12" ht="25" customHeight="1" x14ac:dyDescent="0.2">
      <c r="A92" s="102">
        <f>ИД!D92</f>
        <v>0</v>
      </c>
      <c r="B92" s="102">
        <f>ИД!E92</f>
        <v>0</v>
      </c>
      <c r="C92" s="102">
        <f>ИД!F92</f>
        <v>0</v>
      </c>
      <c r="D92" s="102">
        <f>ИД!G92</f>
        <v>0</v>
      </c>
      <c r="E92" s="102">
        <f>ИД!I92</f>
        <v>0</v>
      </c>
      <c r="F92" s="148">
        <f>ИД!L92</f>
        <v>0</v>
      </c>
      <c r="G92" s="102">
        <f>ИД!H92</f>
        <v>0</v>
      </c>
      <c r="H92" s="152">
        <f>ИД!N92</f>
        <v>0</v>
      </c>
      <c r="I92" s="154">
        <f>ИД!T92</f>
        <v>0</v>
      </c>
      <c r="J92" s="154">
        <f>ИД!U92</f>
        <v>0</v>
      </c>
      <c r="K92" s="154">
        <f>ИД!V92</f>
        <v>0</v>
      </c>
      <c r="L92" s="154">
        <f>ИД!W92</f>
        <v>0</v>
      </c>
    </row>
    <row r="93" spans="1:12" ht="25" customHeight="1" x14ac:dyDescent="0.2">
      <c r="A93" s="102">
        <f>ИД!D93</f>
        <v>0</v>
      </c>
      <c r="B93" s="102">
        <f>ИД!E93</f>
        <v>0</v>
      </c>
      <c r="C93" s="102">
        <f>ИД!F93</f>
        <v>0</v>
      </c>
      <c r="D93" s="102">
        <f>ИД!G93</f>
        <v>0</v>
      </c>
      <c r="E93" s="102">
        <f>ИД!I93</f>
        <v>0</v>
      </c>
      <c r="F93" s="148">
        <f>ИД!L93</f>
        <v>0</v>
      </c>
      <c r="G93" s="102">
        <f>ИД!H93</f>
        <v>0</v>
      </c>
      <c r="H93" s="152">
        <f>ИД!N93</f>
        <v>0</v>
      </c>
      <c r="I93" s="154">
        <f>ИД!T93</f>
        <v>0</v>
      </c>
      <c r="J93" s="154">
        <f>ИД!U93</f>
        <v>0</v>
      </c>
      <c r="K93" s="154">
        <f>ИД!V93</f>
        <v>0</v>
      </c>
      <c r="L93" s="154">
        <f>ИД!W93</f>
        <v>0</v>
      </c>
    </row>
    <row r="94" spans="1:12" ht="25" customHeight="1" x14ac:dyDescent="0.2">
      <c r="A94" s="102">
        <f>ИД!D94</f>
        <v>0</v>
      </c>
      <c r="B94" s="102">
        <f>ИД!E94</f>
        <v>0</v>
      </c>
      <c r="C94" s="102">
        <f>ИД!F94</f>
        <v>0</v>
      </c>
      <c r="D94" s="102">
        <f>ИД!G94</f>
        <v>0</v>
      </c>
      <c r="E94" s="102">
        <f>ИД!I94</f>
        <v>0</v>
      </c>
      <c r="F94" s="148">
        <f>ИД!L94</f>
        <v>0</v>
      </c>
      <c r="G94" s="102">
        <f>ИД!H94</f>
        <v>0</v>
      </c>
      <c r="H94" s="152">
        <f>ИД!N94</f>
        <v>0</v>
      </c>
      <c r="I94" s="154">
        <f>ИД!T94</f>
        <v>0</v>
      </c>
      <c r="J94" s="154">
        <f>ИД!U94</f>
        <v>0</v>
      </c>
      <c r="K94" s="154">
        <f>ИД!V94</f>
        <v>0</v>
      </c>
      <c r="L94" s="154">
        <f>ИД!W94</f>
        <v>0</v>
      </c>
    </row>
    <row r="95" spans="1:12" ht="25" customHeight="1" x14ac:dyDescent="0.2">
      <c r="A95" s="102">
        <f>ИД!D95</f>
        <v>0</v>
      </c>
      <c r="B95" s="102">
        <f>ИД!E95</f>
        <v>0</v>
      </c>
      <c r="C95" s="102">
        <f>ИД!F95</f>
        <v>0</v>
      </c>
      <c r="D95" s="102">
        <f>ИД!G95</f>
        <v>0</v>
      </c>
      <c r="E95" s="102">
        <f>ИД!I95</f>
        <v>0</v>
      </c>
      <c r="F95" s="148">
        <f>ИД!L95</f>
        <v>0</v>
      </c>
      <c r="G95" s="102">
        <f>ИД!H95</f>
        <v>0</v>
      </c>
      <c r="H95" s="152">
        <f>ИД!N95</f>
        <v>0</v>
      </c>
      <c r="I95" s="154">
        <f>ИД!T95</f>
        <v>0</v>
      </c>
      <c r="J95" s="154">
        <f>ИД!U95</f>
        <v>0</v>
      </c>
      <c r="K95" s="154">
        <f>ИД!V95</f>
        <v>0</v>
      </c>
      <c r="L95" s="154">
        <f>ИД!W95</f>
        <v>0</v>
      </c>
    </row>
    <row r="96" spans="1:12" ht="25" customHeight="1" x14ac:dyDescent="0.2">
      <c r="A96" s="102">
        <f>ИД!D96</f>
        <v>0</v>
      </c>
      <c r="B96" s="102">
        <f>ИД!E96</f>
        <v>0</v>
      </c>
      <c r="C96" s="102">
        <f>ИД!F96</f>
        <v>0</v>
      </c>
      <c r="D96" s="102">
        <f>ИД!G96</f>
        <v>0</v>
      </c>
      <c r="E96" s="102">
        <f>ИД!I96</f>
        <v>0</v>
      </c>
      <c r="F96" s="148">
        <f>ИД!L96</f>
        <v>0</v>
      </c>
      <c r="G96" s="102">
        <f>ИД!H96</f>
        <v>0</v>
      </c>
      <c r="H96" s="152">
        <f>ИД!N96</f>
        <v>0</v>
      </c>
      <c r="I96" s="154">
        <f>ИД!T96</f>
        <v>0</v>
      </c>
      <c r="J96" s="154">
        <f>ИД!U96</f>
        <v>0</v>
      </c>
      <c r="K96" s="154">
        <f>ИД!V96</f>
        <v>0</v>
      </c>
      <c r="L96" s="154">
        <f>ИД!W96</f>
        <v>0</v>
      </c>
    </row>
    <row r="97" spans="1:12" ht="25" customHeight="1" x14ac:dyDescent="0.2">
      <c r="A97" s="102">
        <f>ИД!D97</f>
        <v>0</v>
      </c>
      <c r="B97" s="102">
        <f>ИД!E97</f>
        <v>0</v>
      </c>
      <c r="C97" s="102">
        <f>ИД!F97</f>
        <v>0</v>
      </c>
      <c r="D97" s="102">
        <f>ИД!G97</f>
        <v>0</v>
      </c>
      <c r="E97" s="102">
        <f>ИД!I97</f>
        <v>0</v>
      </c>
      <c r="F97" s="148">
        <f>ИД!L97</f>
        <v>0</v>
      </c>
      <c r="G97" s="102">
        <f>ИД!H97</f>
        <v>0</v>
      </c>
      <c r="H97" s="152">
        <f>ИД!N97</f>
        <v>0</v>
      </c>
      <c r="I97" s="154">
        <f>ИД!T97</f>
        <v>0</v>
      </c>
      <c r="J97" s="154">
        <f>ИД!U97</f>
        <v>0</v>
      </c>
      <c r="K97" s="154">
        <f>ИД!V97</f>
        <v>0</v>
      </c>
      <c r="L97" s="154">
        <f>ИД!W97</f>
        <v>0</v>
      </c>
    </row>
    <row r="98" spans="1:12" ht="25" customHeight="1" x14ac:dyDescent="0.2">
      <c r="A98" s="102">
        <f>ИД!D98</f>
        <v>0</v>
      </c>
      <c r="B98" s="102">
        <f>ИД!E98</f>
        <v>0</v>
      </c>
      <c r="C98" s="102">
        <f>ИД!F98</f>
        <v>0</v>
      </c>
      <c r="D98" s="102">
        <f>ИД!G98</f>
        <v>0</v>
      </c>
      <c r="E98" s="102">
        <f>ИД!I98</f>
        <v>0</v>
      </c>
      <c r="F98" s="148">
        <f>ИД!L98</f>
        <v>0</v>
      </c>
      <c r="G98" s="102">
        <f>ИД!H98</f>
        <v>0</v>
      </c>
      <c r="H98" s="152">
        <f>ИД!N98</f>
        <v>0</v>
      </c>
      <c r="I98" s="154">
        <f>ИД!T98</f>
        <v>0</v>
      </c>
      <c r="J98" s="154">
        <f>ИД!U98</f>
        <v>0</v>
      </c>
      <c r="K98" s="154">
        <f>ИД!V98</f>
        <v>0</v>
      </c>
      <c r="L98" s="154">
        <f>ИД!W98</f>
        <v>0</v>
      </c>
    </row>
    <row r="99" spans="1:12" ht="25" customHeight="1" x14ac:dyDescent="0.2">
      <c r="A99" s="102">
        <f>ИД!D99</f>
        <v>0</v>
      </c>
      <c r="B99" s="102">
        <f>ИД!E99</f>
        <v>0</v>
      </c>
      <c r="C99" s="102">
        <f>ИД!F99</f>
        <v>0</v>
      </c>
      <c r="D99" s="102">
        <f>ИД!G99</f>
        <v>0</v>
      </c>
      <c r="E99" s="102">
        <f>ИД!I99</f>
        <v>0</v>
      </c>
      <c r="F99" s="148">
        <f>ИД!L99</f>
        <v>0</v>
      </c>
      <c r="G99" s="102">
        <f>ИД!H99</f>
        <v>0</v>
      </c>
      <c r="H99" s="152">
        <f>ИД!N99</f>
        <v>0</v>
      </c>
      <c r="I99" s="154">
        <f>ИД!T99</f>
        <v>0</v>
      </c>
      <c r="J99" s="154">
        <f>ИД!U99</f>
        <v>0</v>
      </c>
      <c r="K99" s="154">
        <f>ИД!V99</f>
        <v>0</v>
      </c>
      <c r="L99" s="154">
        <f>ИД!W99</f>
        <v>0</v>
      </c>
    </row>
    <row r="100" spans="1:12" ht="25" customHeight="1" x14ac:dyDescent="0.2">
      <c r="A100" s="102">
        <f>ИД!D100</f>
        <v>0</v>
      </c>
      <c r="B100" s="102">
        <f>ИД!E100</f>
        <v>0</v>
      </c>
      <c r="C100" s="102">
        <f>ИД!F100</f>
        <v>0</v>
      </c>
      <c r="D100" s="102">
        <f>ИД!G100</f>
        <v>0</v>
      </c>
      <c r="E100" s="102">
        <f>ИД!I100</f>
        <v>0</v>
      </c>
      <c r="F100" s="148">
        <f>ИД!L100</f>
        <v>0</v>
      </c>
      <c r="G100" s="102">
        <f>ИД!H100</f>
        <v>0</v>
      </c>
      <c r="H100" s="152">
        <f>ИД!N100</f>
        <v>0</v>
      </c>
      <c r="I100" s="154">
        <f>ИД!T100</f>
        <v>0</v>
      </c>
      <c r="J100" s="154">
        <f>ИД!U100</f>
        <v>0</v>
      </c>
      <c r="K100" s="154">
        <f>ИД!V100</f>
        <v>0</v>
      </c>
      <c r="L100" s="154">
        <f>ИД!W100</f>
        <v>0</v>
      </c>
    </row>
    <row r="101" spans="1:12" ht="25" customHeight="1" x14ac:dyDescent="0.2">
      <c r="A101" s="102">
        <f>ИД!D101</f>
        <v>0</v>
      </c>
      <c r="B101" s="102">
        <f>ИД!E101</f>
        <v>0</v>
      </c>
      <c r="C101" s="102">
        <f>ИД!F101</f>
        <v>0</v>
      </c>
      <c r="D101" s="102">
        <f>ИД!G101</f>
        <v>0</v>
      </c>
      <c r="E101" s="102">
        <f>ИД!I101</f>
        <v>0</v>
      </c>
      <c r="F101" s="148">
        <f>ИД!L101</f>
        <v>0</v>
      </c>
      <c r="G101" s="102">
        <f>ИД!H101</f>
        <v>0</v>
      </c>
      <c r="H101" s="152">
        <f>ИД!N101</f>
        <v>0</v>
      </c>
      <c r="I101" s="154">
        <f>ИД!T101</f>
        <v>0</v>
      </c>
      <c r="J101" s="154">
        <f>ИД!U101</f>
        <v>0</v>
      </c>
      <c r="K101" s="154">
        <f>ИД!V101</f>
        <v>0</v>
      </c>
      <c r="L101" s="154">
        <f>ИД!W101</f>
        <v>0</v>
      </c>
    </row>
    <row r="102" spans="1:12" ht="25" customHeight="1" x14ac:dyDescent="0.2">
      <c r="A102" s="102">
        <f>ИД!D102</f>
        <v>0</v>
      </c>
      <c r="B102" s="102">
        <f>ИД!E102</f>
        <v>0</v>
      </c>
      <c r="C102" s="102">
        <f>ИД!F102</f>
        <v>0</v>
      </c>
      <c r="D102" s="102">
        <f>ИД!G102</f>
        <v>0</v>
      </c>
      <c r="E102" s="102">
        <f>ИД!I102</f>
        <v>0</v>
      </c>
      <c r="F102" s="148">
        <f>ИД!L102</f>
        <v>0</v>
      </c>
      <c r="G102" s="102">
        <f>ИД!H102</f>
        <v>0</v>
      </c>
      <c r="H102" s="152">
        <f>ИД!N102</f>
        <v>0</v>
      </c>
      <c r="I102" s="154">
        <f>ИД!T102</f>
        <v>0</v>
      </c>
      <c r="J102" s="154">
        <f>ИД!U102</f>
        <v>0</v>
      </c>
      <c r="K102" s="154">
        <f>ИД!V102</f>
        <v>0</v>
      </c>
      <c r="L102" s="154">
        <f>ИД!W102</f>
        <v>0</v>
      </c>
    </row>
    <row r="103" spans="1:12" ht="25" customHeight="1" x14ac:dyDescent="0.2">
      <c r="A103" s="102">
        <f>ИД!D103</f>
        <v>0</v>
      </c>
      <c r="B103" s="102">
        <f>ИД!E103</f>
        <v>0</v>
      </c>
      <c r="C103" s="102">
        <f>ИД!F103</f>
        <v>0</v>
      </c>
      <c r="D103" s="102">
        <f>ИД!G103</f>
        <v>0</v>
      </c>
      <c r="E103" s="102">
        <f>ИД!I103</f>
        <v>0</v>
      </c>
      <c r="F103" s="148">
        <f>ИД!L103</f>
        <v>0</v>
      </c>
      <c r="G103" s="102">
        <f>ИД!H103</f>
        <v>0</v>
      </c>
      <c r="H103" s="152">
        <f>ИД!N103</f>
        <v>0</v>
      </c>
      <c r="I103" s="154">
        <f>ИД!T103</f>
        <v>0</v>
      </c>
      <c r="J103" s="154">
        <f>ИД!U103</f>
        <v>0</v>
      </c>
      <c r="K103" s="154">
        <f>ИД!V103</f>
        <v>0</v>
      </c>
      <c r="L103" s="154">
        <f>ИД!W103</f>
        <v>0</v>
      </c>
    </row>
    <row r="104" spans="1:12" ht="25" customHeight="1" x14ac:dyDescent="0.2">
      <c r="A104" s="102">
        <f>ИД!D104</f>
        <v>0</v>
      </c>
      <c r="B104" s="102">
        <f>ИД!E104</f>
        <v>0</v>
      </c>
      <c r="C104" s="102">
        <f>ИД!F104</f>
        <v>0</v>
      </c>
      <c r="D104" s="102">
        <f>ИД!G104</f>
        <v>0</v>
      </c>
      <c r="E104" s="102">
        <f>ИД!I104</f>
        <v>0</v>
      </c>
      <c r="F104" s="148">
        <f>ИД!L104</f>
        <v>0</v>
      </c>
      <c r="G104" s="102">
        <f>ИД!H104</f>
        <v>0</v>
      </c>
      <c r="H104" s="152">
        <f>ИД!N104</f>
        <v>0</v>
      </c>
      <c r="I104" s="154">
        <f>ИД!T104</f>
        <v>0</v>
      </c>
      <c r="J104" s="154">
        <f>ИД!U104</f>
        <v>0</v>
      </c>
      <c r="K104" s="154">
        <f>ИД!V104</f>
        <v>0</v>
      </c>
      <c r="L104" s="154">
        <f>ИД!W104</f>
        <v>0</v>
      </c>
    </row>
    <row r="105" spans="1:12" ht="25" customHeight="1" x14ac:dyDescent="0.2">
      <c r="A105" s="102">
        <f>ИД!D105</f>
        <v>0</v>
      </c>
      <c r="B105" s="102">
        <f>ИД!E105</f>
        <v>0</v>
      </c>
      <c r="C105" s="102">
        <f>ИД!F105</f>
        <v>0</v>
      </c>
      <c r="D105" s="102">
        <f>ИД!G105</f>
        <v>0</v>
      </c>
      <c r="E105" s="102">
        <f>ИД!I105</f>
        <v>0</v>
      </c>
      <c r="F105" s="148">
        <f>ИД!L105</f>
        <v>0</v>
      </c>
      <c r="G105" s="102">
        <f>ИД!H105</f>
        <v>0</v>
      </c>
      <c r="H105" s="152">
        <f>ИД!N105</f>
        <v>0</v>
      </c>
      <c r="I105" s="154">
        <f>ИД!T105</f>
        <v>0</v>
      </c>
      <c r="J105" s="154">
        <f>ИД!U105</f>
        <v>0</v>
      </c>
      <c r="K105" s="154">
        <f>ИД!V105</f>
        <v>0</v>
      </c>
      <c r="L105" s="154">
        <f>ИД!W105</f>
        <v>0</v>
      </c>
    </row>
    <row r="106" spans="1:12" ht="25" customHeight="1" x14ac:dyDescent="0.2">
      <c r="A106" s="102">
        <f>ИД!D106</f>
        <v>0</v>
      </c>
      <c r="B106" s="102">
        <f>ИД!E106</f>
        <v>0</v>
      </c>
      <c r="C106" s="102">
        <f>ИД!F106</f>
        <v>0</v>
      </c>
      <c r="D106" s="102">
        <f>ИД!G106</f>
        <v>0</v>
      </c>
      <c r="E106" s="102">
        <f>ИД!I106</f>
        <v>0</v>
      </c>
      <c r="F106" s="148">
        <f>ИД!L106</f>
        <v>0</v>
      </c>
      <c r="G106" s="102">
        <f>ИД!H106</f>
        <v>0</v>
      </c>
      <c r="H106" s="152">
        <f>ИД!N106</f>
        <v>0</v>
      </c>
      <c r="I106" s="154">
        <f>ИД!T106</f>
        <v>0</v>
      </c>
      <c r="J106" s="154">
        <f>ИД!U106</f>
        <v>0</v>
      </c>
      <c r="K106" s="154">
        <f>ИД!V106</f>
        <v>0</v>
      </c>
      <c r="L106" s="154">
        <f>ИД!W106</f>
        <v>0</v>
      </c>
    </row>
    <row r="107" spans="1:12" ht="25" customHeight="1" x14ac:dyDescent="0.2">
      <c r="A107" s="102">
        <f>ИД!D107</f>
        <v>0</v>
      </c>
      <c r="B107" s="102">
        <f>ИД!E107</f>
        <v>0</v>
      </c>
      <c r="C107" s="102">
        <f>ИД!F107</f>
        <v>0</v>
      </c>
      <c r="D107" s="102">
        <f>ИД!G107</f>
        <v>0</v>
      </c>
      <c r="E107" s="102">
        <f>ИД!I107</f>
        <v>0</v>
      </c>
      <c r="F107" s="148">
        <f>ИД!L107</f>
        <v>0</v>
      </c>
      <c r="G107" s="102">
        <f>ИД!H107</f>
        <v>0</v>
      </c>
      <c r="H107" s="152">
        <f>ИД!N107</f>
        <v>0</v>
      </c>
      <c r="I107" s="154">
        <f>ИД!T107</f>
        <v>0</v>
      </c>
      <c r="J107" s="154">
        <f>ИД!U107</f>
        <v>0</v>
      </c>
      <c r="K107" s="154">
        <f>ИД!V107</f>
        <v>0</v>
      </c>
      <c r="L107" s="154">
        <f>ИД!W107</f>
        <v>0</v>
      </c>
    </row>
    <row r="108" spans="1:12" ht="25" customHeight="1" x14ac:dyDescent="0.2">
      <c r="A108" s="102">
        <f>ИД!D108</f>
        <v>0</v>
      </c>
      <c r="B108" s="102">
        <f>ИД!E108</f>
        <v>0</v>
      </c>
      <c r="C108" s="102">
        <f>ИД!F108</f>
        <v>0</v>
      </c>
      <c r="D108" s="102">
        <f>ИД!G108</f>
        <v>0</v>
      </c>
      <c r="E108" s="102">
        <f>ИД!I108</f>
        <v>0</v>
      </c>
      <c r="F108" s="148">
        <f>ИД!L108</f>
        <v>0</v>
      </c>
      <c r="G108" s="102">
        <f>ИД!H108</f>
        <v>0</v>
      </c>
      <c r="H108" s="152">
        <f>ИД!N108</f>
        <v>0</v>
      </c>
      <c r="I108" s="154">
        <f>ИД!T108</f>
        <v>0</v>
      </c>
      <c r="J108" s="154">
        <f>ИД!U108</f>
        <v>0</v>
      </c>
      <c r="K108" s="154">
        <f>ИД!V108</f>
        <v>0</v>
      </c>
      <c r="L108" s="154">
        <f>ИД!W108</f>
        <v>0</v>
      </c>
    </row>
    <row r="109" spans="1:12" ht="25" customHeight="1" x14ac:dyDescent="0.2">
      <c r="A109" s="102">
        <f>ИД!D109</f>
        <v>0</v>
      </c>
      <c r="B109" s="102">
        <f>ИД!E109</f>
        <v>0</v>
      </c>
      <c r="C109" s="102">
        <f>ИД!F109</f>
        <v>0</v>
      </c>
      <c r="D109" s="102">
        <f>ИД!G109</f>
        <v>0</v>
      </c>
      <c r="E109" s="102">
        <f>ИД!I109</f>
        <v>0</v>
      </c>
      <c r="F109" s="148">
        <f>ИД!L109</f>
        <v>0</v>
      </c>
      <c r="G109" s="102">
        <f>ИД!H109</f>
        <v>0</v>
      </c>
      <c r="H109" s="152">
        <f>ИД!N109</f>
        <v>0</v>
      </c>
      <c r="I109" s="154">
        <f>ИД!T109</f>
        <v>0</v>
      </c>
      <c r="J109" s="154">
        <f>ИД!U109</f>
        <v>0</v>
      </c>
      <c r="K109" s="154">
        <f>ИД!V109</f>
        <v>0</v>
      </c>
      <c r="L109" s="154">
        <f>ИД!W109</f>
        <v>0</v>
      </c>
    </row>
    <row r="110" spans="1:12" ht="25" customHeight="1" x14ac:dyDescent="0.2">
      <c r="A110" s="102">
        <f>ИД!D110</f>
        <v>0</v>
      </c>
      <c r="B110" s="102">
        <f>ИД!E110</f>
        <v>0</v>
      </c>
      <c r="C110" s="102">
        <f>ИД!F110</f>
        <v>0</v>
      </c>
      <c r="D110" s="102">
        <f>ИД!G110</f>
        <v>0</v>
      </c>
      <c r="E110" s="102">
        <f>ИД!I110</f>
        <v>0</v>
      </c>
      <c r="F110" s="148">
        <f>ИД!L110</f>
        <v>0</v>
      </c>
      <c r="G110" s="102">
        <f>ИД!H110</f>
        <v>0</v>
      </c>
      <c r="H110" s="152">
        <f>ИД!N110</f>
        <v>0</v>
      </c>
      <c r="I110" s="154">
        <f>ИД!T110</f>
        <v>0</v>
      </c>
      <c r="J110" s="154">
        <f>ИД!U110</f>
        <v>0</v>
      </c>
      <c r="K110" s="154">
        <f>ИД!V110</f>
        <v>0</v>
      </c>
      <c r="L110" s="154">
        <f>ИД!W110</f>
        <v>0</v>
      </c>
    </row>
    <row r="111" spans="1:12" ht="25" customHeight="1" x14ac:dyDescent="0.2">
      <c r="A111" s="102">
        <f>ИД!D111</f>
        <v>0</v>
      </c>
      <c r="B111" s="102">
        <f>ИД!E111</f>
        <v>0</v>
      </c>
      <c r="C111" s="102">
        <f>ИД!F111</f>
        <v>0</v>
      </c>
      <c r="D111" s="102">
        <f>ИД!G111</f>
        <v>0</v>
      </c>
      <c r="E111" s="102">
        <f>ИД!I111</f>
        <v>0</v>
      </c>
      <c r="F111" s="148">
        <f>ИД!L111</f>
        <v>0</v>
      </c>
      <c r="G111" s="102">
        <f>ИД!H111</f>
        <v>0</v>
      </c>
      <c r="H111" s="152">
        <f>ИД!N111</f>
        <v>0</v>
      </c>
      <c r="I111" s="154">
        <f>ИД!T111</f>
        <v>0</v>
      </c>
      <c r="J111" s="154">
        <f>ИД!U111</f>
        <v>0</v>
      </c>
      <c r="K111" s="154">
        <f>ИД!V111</f>
        <v>0</v>
      </c>
      <c r="L111" s="154">
        <f>ИД!W111</f>
        <v>0</v>
      </c>
    </row>
    <row r="112" spans="1:12" ht="25" customHeight="1" x14ac:dyDescent="0.2">
      <c r="A112" s="102">
        <f>ИД!D112</f>
        <v>0</v>
      </c>
      <c r="B112" s="102">
        <f>ИД!E112</f>
        <v>0</v>
      </c>
      <c r="C112" s="102">
        <f>ИД!F112</f>
        <v>0</v>
      </c>
      <c r="D112" s="102">
        <f>ИД!G112</f>
        <v>0</v>
      </c>
      <c r="E112" s="102">
        <f>ИД!I112</f>
        <v>0</v>
      </c>
      <c r="F112" s="148">
        <f>ИД!L112</f>
        <v>0</v>
      </c>
      <c r="G112" s="102">
        <f>ИД!H112</f>
        <v>0</v>
      </c>
      <c r="H112" s="152">
        <f>ИД!N112</f>
        <v>0</v>
      </c>
      <c r="I112" s="154">
        <f>ИД!T112</f>
        <v>0</v>
      </c>
      <c r="J112" s="154">
        <f>ИД!U112</f>
        <v>0</v>
      </c>
      <c r="K112" s="154">
        <f>ИД!V112</f>
        <v>0</v>
      </c>
      <c r="L112" s="154">
        <f>ИД!W112</f>
        <v>0</v>
      </c>
    </row>
    <row r="113" spans="1:12" ht="25" customHeight="1" x14ac:dyDescent="0.2">
      <c r="A113" s="102">
        <f>ИД!D113</f>
        <v>0</v>
      </c>
      <c r="B113" s="102">
        <f>ИД!E113</f>
        <v>0</v>
      </c>
      <c r="C113" s="102">
        <f>ИД!F113</f>
        <v>0</v>
      </c>
      <c r="D113" s="102">
        <f>ИД!G113</f>
        <v>0</v>
      </c>
      <c r="E113" s="102">
        <f>ИД!I113</f>
        <v>0</v>
      </c>
      <c r="F113" s="148">
        <f>ИД!L113</f>
        <v>0</v>
      </c>
      <c r="G113" s="102">
        <f>ИД!H113</f>
        <v>0</v>
      </c>
      <c r="H113" s="152">
        <f>ИД!N113</f>
        <v>0</v>
      </c>
      <c r="I113" s="154">
        <f>ИД!T113</f>
        <v>0</v>
      </c>
      <c r="J113" s="154">
        <f>ИД!U113</f>
        <v>0</v>
      </c>
      <c r="K113" s="154">
        <f>ИД!V113</f>
        <v>0</v>
      </c>
      <c r="L113" s="154">
        <f>ИД!W113</f>
        <v>0</v>
      </c>
    </row>
    <row r="114" spans="1:12" ht="25" customHeight="1" x14ac:dyDescent="0.2">
      <c r="A114" s="102">
        <f>ИД!D114</f>
        <v>0</v>
      </c>
      <c r="B114" s="102">
        <f>ИД!E114</f>
        <v>0</v>
      </c>
      <c r="C114" s="102">
        <f>ИД!F114</f>
        <v>0</v>
      </c>
      <c r="D114" s="102">
        <f>ИД!G114</f>
        <v>0</v>
      </c>
      <c r="E114" s="102">
        <f>ИД!I114</f>
        <v>0</v>
      </c>
      <c r="F114" s="148">
        <f>ИД!L114</f>
        <v>0</v>
      </c>
      <c r="G114" s="102">
        <f>ИД!H114</f>
        <v>0</v>
      </c>
      <c r="H114" s="152">
        <f>ИД!N114</f>
        <v>0</v>
      </c>
      <c r="I114" s="154">
        <f>ИД!T114</f>
        <v>0</v>
      </c>
      <c r="J114" s="154">
        <f>ИД!U114</f>
        <v>0</v>
      </c>
      <c r="K114" s="154">
        <f>ИД!V114</f>
        <v>0</v>
      </c>
      <c r="L114" s="154">
        <f>ИД!W114</f>
        <v>0</v>
      </c>
    </row>
    <row r="115" spans="1:12" ht="25" customHeight="1" x14ac:dyDescent="0.2">
      <c r="A115" s="102">
        <f>ИД!D115</f>
        <v>0</v>
      </c>
      <c r="B115" s="102">
        <f>ИД!E115</f>
        <v>0</v>
      </c>
      <c r="C115" s="102">
        <f>ИД!F115</f>
        <v>0</v>
      </c>
      <c r="D115" s="102">
        <f>ИД!G115</f>
        <v>0</v>
      </c>
      <c r="E115" s="102">
        <f>ИД!I115</f>
        <v>0</v>
      </c>
      <c r="F115" s="148">
        <f>ИД!L115</f>
        <v>0</v>
      </c>
      <c r="G115" s="102">
        <f>ИД!H115</f>
        <v>0</v>
      </c>
      <c r="H115" s="152">
        <f>ИД!N115</f>
        <v>0</v>
      </c>
      <c r="I115" s="154">
        <f>ИД!T115</f>
        <v>0</v>
      </c>
      <c r="J115" s="154">
        <f>ИД!U115</f>
        <v>0</v>
      </c>
      <c r="K115" s="154">
        <f>ИД!V115</f>
        <v>0</v>
      </c>
      <c r="L115" s="154">
        <f>ИД!W115</f>
        <v>0</v>
      </c>
    </row>
    <row r="116" spans="1:12" ht="25" customHeight="1" x14ac:dyDescent="0.2">
      <c r="A116" s="102">
        <f>ИД!D116</f>
        <v>0</v>
      </c>
      <c r="B116" s="102">
        <f>ИД!E116</f>
        <v>0</v>
      </c>
      <c r="C116" s="102">
        <f>ИД!F116</f>
        <v>0</v>
      </c>
      <c r="D116" s="102">
        <f>ИД!G116</f>
        <v>0</v>
      </c>
      <c r="E116" s="102">
        <f>ИД!I116</f>
        <v>0</v>
      </c>
      <c r="F116" s="148">
        <f>ИД!L116</f>
        <v>0</v>
      </c>
      <c r="G116" s="102">
        <f>ИД!H116</f>
        <v>0</v>
      </c>
      <c r="H116" s="152">
        <f>ИД!N116</f>
        <v>0</v>
      </c>
      <c r="I116" s="154">
        <f>ИД!T116</f>
        <v>0</v>
      </c>
      <c r="J116" s="154">
        <f>ИД!U116</f>
        <v>0</v>
      </c>
      <c r="K116" s="154">
        <f>ИД!V116</f>
        <v>0</v>
      </c>
      <c r="L116" s="154">
        <f>ИД!W116</f>
        <v>0</v>
      </c>
    </row>
    <row r="117" spans="1:12" ht="25" customHeight="1" x14ac:dyDescent="0.2">
      <c r="A117" s="102">
        <f>ИД!D117</f>
        <v>0</v>
      </c>
      <c r="B117" s="102">
        <f>ИД!E117</f>
        <v>0</v>
      </c>
      <c r="C117" s="102">
        <f>ИД!F117</f>
        <v>0</v>
      </c>
      <c r="D117" s="102">
        <f>ИД!G117</f>
        <v>0</v>
      </c>
      <c r="E117" s="102">
        <f>ИД!I117</f>
        <v>0</v>
      </c>
      <c r="F117" s="148">
        <f>ИД!L117</f>
        <v>0</v>
      </c>
      <c r="G117" s="102">
        <f>ИД!H117</f>
        <v>0</v>
      </c>
      <c r="H117" s="152">
        <f>ИД!N117</f>
        <v>0</v>
      </c>
      <c r="I117" s="154">
        <f>ИД!T117</f>
        <v>0</v>
      </c>
      <c r="J117" s="154">
        <f>ИД!U117</f>
        <v>0</v>
      </c>
      <c r="K117" s="154">
        <f>ИД!V117</f>
        <v>0</v>
      </c>
      <c r="L117" s="154">
        <f>ИД!W117</f>
        <v>0</v>
      </c>
    </row>
    <row r="118" spans="1:12" ht="25" customHeight="1" x14ac:dyDescent="0.2">
      <c r="A118" s="102">
        <f>ИД!D118</f>
        <v>0</v>
      </c>
      <c r="B118" s="102">
        <f>ИД!E118</f>
        <v>0</v>
      </c>
      <c r="C118" s="102">
        <f>ИД!F118</f>
        <v>0</v>
      </c>
      <c r="D118" s="102">
        <f>ИД!G118</f>
        <v>0</v>
      </c>
      <c r="E118" s="102">
        <f>ИД!I118</f>
        <v>0</v>
      </c>
      <c r="F118" s="148">
        <f>ИД!L118</f>
        <v>0</v>
      </c>
      <c r="G118" s="102">
        <f>ИД!H118</f>
        <v>0</v>
      </c>
      <c r="H118" s="152">
        <f>ИД!N118</f>
        <v>0</v>
      </c>
      <c r="I118" s="154">
        <f>ИД!T118</f>
        <v>0</v>
      </c>
      <c r="J118" s="154">
        <f>ИД!U118</f>
        <v>0</v>
      </c>
      <c r="K118" s="154">
        <f>ИД!V118</f>
        <v>0</v>
      </c>
      <c r="L118" s="154">
        <f>ИД!W118</f>
        <v>0</v>
      </c>
    </row>
    <row r="119" spans="1:12" ht="25" customHeight="1" x14ac:dyDescent="0.2">
      <c r="A119" s="102">
        <f>ИД!D119</f>
        <v>0</v>
      </c>
      <c r="B119" s="102">
        <f>ИД!E119</f>
        <v>0</v>
      </c>
      <c r="C119" s="102">
        <f>ИД!F119</f>
        <v>0</v>
      </c>
      <c r="D119" s="102">
        <f>ИД!G119</f>
        <v>0</v>
      </c>
      <c r="E119" s="102">
        <f>ИД!I119</f>
        <v>0</v>
      </c>
      <c r="F119" s="148">
        <f>ИД!L119</f>
        <v>0</v>
      </c>
      <c r="G119" s="102">
        <f>ИД!H119</f>
        <v>0</v>
      </c>
      <c r="H119" s="152">
        <f>ИД!N119</f>
        <v>0</v>
      </c>
      <c r="I119" s="154">
        <f>ИД!T119</f>
        <v>0</v>
      </c>
      <c r="J119" s="154">
        <f>ИД!U119</f>
        <v>0</v>
      </c>
      <c r="K119" s="154">
        <f>ИД!V119</f>
        <v>0</v>
      </c>
      <c r="L119" s="154">
        <f>ИД!W119</f>
        <v>0</v>
      </c>
    </row>
    <row r="120" spans="1:12" ht="25" customHeight="1" x14ac:dyDescent="0.2">
      <c r="A120" s="102">
        <f>ИД!D120</f>
        <v>0</v>
      </c>
      <c r="B120" s="102">
        <f>ИД!E120</f>
        <v>0</v>
      </c>
      <c r="C120" s="102">
        <f>ИД!F120</f>
        <v>0</v>
      </c>
      <c r="D120" s="102">
        <f>ИД!G120</f>
        <v>0</v>
      </c>
      <c r="E120" s="102">
        <f>ИД!I120</f>
        <v>0</v>
      </c>
      <c r="F120" s="148">
        <f>ИД!L120</f>
        <v>0</v>
      </c>
      <c r="G120" s="102">
        <f>ИД!H120</f>
        <v>0</v>
      </c>
      <c r="H120" s="152">
        <f>ИД!N120</f>
        <v>0</v>
      </c>
      <c r="I120" s="154">
        <f>ИД!T120</f>
        <v>0</v>
      </c>
      <c r="J120" s="154">
        <f>ИД!U120</f>
        <v>0</v>
      </c>
      <c r="K120" s="154">
        <f>ИД!V120</f>
        <v>0</v>
      </c>
      <c r="L120" s="154">
        <f>ИД!W120</f>
        <v>0</v>
      </c>
    </row>
    <row r="121" spans="1:12" ht="25" customHeight="1" x14ac:dyDescent="0.2">
      <c r="A121" s="102">
        <f>ИД!D121</f>
        <v>0</v>
      </c>
      <c r="B121" s="102">
        <f>ИД!E121</f>
        <v>0</v>
      </c>
      <c r="C121" s="102">
        <f>ИД!F121</f>
        <v>0</v>
      </c>
      <c r="D121" s="102">
        <f>ИД!G121</f>
        <v>0</v>
      </c>
      <c r="E121" s="102">
        <f>ИД!I121</f>
        <v>0</v>
      </c>
      <c r="F121" s="148">
        <f>ИД!L121</f>
        <v>0</v>
      </c>
      <c r="G121" s="102">
        <f>ИД!H121</f>
        <v>0</v>
      </c>
      <c r="H121" s="152">
        <f>ИД!N121</f>
        <v>0</v>
      </c>
      <c r="I121" s="154">
        <f>ИД!T121</f>
        <v>0</v>
      </c>
      <c r="J121" s="154">
        <f>ИД!U121</f>
        <v>0</v>
      </c>
      <c r="K121" s="154">
        <f>ИД!V121</f>
        <v>0</v>
      </c>
      <c r="L121" s="154">
        <f>ИД!W121</f>
        <v>0</v>
      </c>
    </row>
    <row r="122" spans="1:12" ht="25" customHeight="1" x14ac:dyDescent="0.2">
      <c r="A122" s="102">
        <f>ИД!D122</f>
        <v>0</v>
      </c>
      <c r="B122" s="102">
        <f>ИД!E122</f>
        <v>0</v>
      </c>
      <c r="C122" s="102">
        <f>ИД!F122</f>
        <v>0</v>
      </c>
      <c r="D122" s="102">
        <f>ИД!G122</f>
        <v>0</v>
      </c>
      <c r="E122" s="102">
        <f>ИД!I122</f>
        <v>0</v>
      </c>
      <c r="F122" s="148">
        <f>ИД!L122</f>
        <v>0</v>
      </c>
      <c r="G122" s="102">
        <f>ИД!H122</f>
        <v>0</v>
      </c>
      <c r="H122" s="152">
        <f>ИД!N122</f>
        <v>0</v>
      </c>
      <c r="I122" s="154">
        <f>ИД!T122</f>
        <v>0</v>
      </c>
      <c r="J122" s="154">
        <f>ИД!U122</f>
        <v>0</v>
      </c>
      <c r="K122" s="154">
        <f>ИД!V122</f>
        <v>0</v>
      </c>
      <c r="L122" s="154">
        <f>ИД!W122</f>
        <v>0</v>
      </c>
    </row>
    <row r="123" spans="1:12" ht="25" customHeight="1" x14ac:dyDescent="0.2">
      <c r="A123" s="102">
        <f>ИД!D123</f>
        <v>0</v>
      </c>
      <c r="B123" s="102">
        <f>ИД!E123</f>
        <v>0</v>
      </c>
      <c r="C123" s="102">
        <f>ИД!F123</f>
        <v>0</v>
      </c>
      <c r="D123" s="102">
        <f>ИД!G123</f>
        <v>0</v>
      </c>
      <c r="E123" s="102">
        <f>ИД!I123</f>
        <v>0</v>
      </c>
      <c r="F123" s="148">
        <f>ИД!L123</f>
        <v>0</v>
      </c>
      <c r="G123" s="102">
        <f>ИД!H123</f>
        <v>0</v>
      </c>
      <c r="H123" s="152">
        <f>ИД!N123</f>
        <v>0</v>
      </c>
      <c r="I123" s="154">
        <f>ИД!T123</f>
        <v>0</v>
      </c>
      <c r="J123" s="154">
        <f>ИД!U123</f>
        <v>0</v>
      </c>
      <c r="K123" s="154">
        <f>ИД!V123</f>
        <v>0</v>
      </c>
      <c r="L123" s="154">
        <f>ИД!W123</f>
        <v>0</v>
      </c>
    </row>
    <row r="124" spans="1:12" ht="25" customHeight="1" x14ac:dyDescent="0.2">
      <c r="A124" s="102">
        <f>ИД!D124</f>
        <v>0</v>
      </c>
      <c r="B124" s="102">
        <f>ИД!E124</f>
        <v>0</v>
      </c>
      <c r="C124" s="102">
        <f>ИД!F124</f>
        <v>0</v>
      </c>
      <c r="D124" s="102">
        <f>ИД!G124</f>
        <v>0</v>
      </c>
      <c r="E124" s="102">
        <f>ИД!I124</f>
        <v>0</v>
      </c>
      <c r="F124" s="148">
        <f>ИД!L124</f>
        <v>0</v>
      </c>
      <c r="G124" s="102">
        <f>ИД!H124</f>
        <v>0</v>
      </c>
      <c r="H124" s="152">
        <f>ИД!N124</f>
        <v>0</v>
      </c>
      <c r="I124" s="154">
        <f>ИД!T124</f>
        <v>0</v>
      </c>
      <c r="J124" s="154">
        <f>ИД!U124</f>
        <v>0</v>
      </c>
      <c r="K124" s="154">
        <f>ИД!V124</f>
        <v>0</v>
      </c>
      <c r="L124" s="154">
        <f>ИД!W124</f>
        <v>0</v>
      </c>
    </row>
    <row r="125" spans="1:12" ht="25" customHeight="1" x14ac:dyDescent="0.2">
      <c r="A125" s="102">
        <f>ИД!D125</f>
        <v>0</v>
      </c>
      <c r="B125" s="102">
        <f>ИД!E125</f>
        <v>0</v>
      </c>
      <c r="C125" s="102">
        <f>ИД!F125</f>
        <v>0</v>
      </c>
      <c r="D125" s="102">
        <f>ИД!G125</f>
        <v>0</v>
      </c>
      <c r="E125" s="102">
        <f>ИД!I125</f>
        <v>0</v>
      </c>
      <c r="F125" s="148">
        <f>ИД!L125</f>
        <v>0</v>
      </c>
      <c r="G125" s="102">
        <f>ИД!H125</f>
        <v>0</v>
      </c>
      <c r="H125" s="152">
        <f>ИД!N125</f>
        <v>0</v>
      </c>
      <c r="I125" s="154">
        <f>ИД!T125</f>
        <v>0</v>
      </c>
      <c r="J125" s="154">
        <f>ИД!U125</f>
        <v>0</v>
      </c>
      <c r="K125" s="154">
        <f>ИД!V125</f>
        <v>0</v>
      </c>
      <c r="L125" s="154">
        <f>ИД!W125</f>
        <v>0</v>
      </c>
    </row>
    <row r="126" spans="1:12" ht="25" customHeight="1" x14ac:dyDescent="0.2">
      <c r="A126" s="102">
        <f>ИД!D126</f>
        <v>0</v>
      </c>
      <c r="B126" s="102">
        <f>ИД!E126</f>
        <v>0</v>
      </c>
      <c r="C126" s="102">
        <f>ИД!F126</f>
        <v>0</v>
      </c>
      <c r="D126" s="102">
        <f>ИД!G126</f>
        <v>0</v>
      </c>
      <c r="E126" s="102">
        <f>ИД!I126</f>
        <v>0</v>
      </c>
      <c r="F126" s="148">
        <f>ИД!L126</f>
        <v>0</v>
      </c>
      <c r="G126" s="102">
        <f>ИД!H126</f>
        <v>0</v>
      </c>
      <c r="H126" s="152">
        <f>ИД!N126</f>
        <v>0</v>
      </c>
      <c r="I126" s="154">
        <f>ИД!T126</f>
        <v>0</v>
      </c>
      <c r="J126" s="154">
        <f>ИД!U126</f>
        <v>0</v>
      </c>
      <c r="K126" s="154">
        <f>ИД!V126</f>
        <v>0</v>
      </c>
      <c r="L126" s="154">
        <f>ИД!W126</f>
        <v>0</v>
      </c>
    </row>
    <row r="127" spans="1:12" ht="25" customHeight="1" x14ac:dyDescent="0.2">
      <c r="A127" s="102">
        <f>ИД!D127</f>
        <v>0</v>
      </c>
      <c r="B127" s="102">
        <f>ИД!E127</f>
        <v>0</v>
      </c>
      <c r="C127" s="102">
        <f>ИД!F127</f>
        <v>0</v>
      </c>
      <c r="D127" s="102">
        <f>ИД!G127</f>
        <v>0</v>
      </c>
      <c r="E127" s="102">
        <f>ИД!I127</f>
        <v>0</v>
      </c>
      <c r="F127" s="148">
        <f>ИД!L127</f>
        <v>0</v>
      </c>
      <c r="G127" s="102">
        <f>ИД!H127</f>
        <v>0</v>
      </c>
      <c r="H127" s="152">
        <f>ИД!N127</f>
        <v>0</v>
      </c>
      <c r="I127" s="154">
        <f>ИД!T127</f>
        <v>0</v>
      </c>
      <c r="J127" s="154">
        <f>ИД!U127</f>
        <v>0</v>
      </c>
      <c r="K127" s="154">
        <f>ИД!V127</f>
        <v>0</v>
      </c>
      <c r="L127" s="154">
        <f>ИД!W127</f>
        <v>0</v>
      </c>
    </row>
    <row r="128" spans="1:12" ht="25" customHeight="1" x14ac:dyDescent="0.2">
      <c r="A128" s="102">
        <f>ИД!D128</f>
        <v>0</v>
      </c>
      <c r="B128" s="102">
        <f>ИД!E128</f>
        <v>0</v>
      </c>
      <c r="C128" s="102">
        <f>ИД!F128</f>
        <v>0</v>
      </c>
      <c r="D128" s="102">
        <f>ИД!G128</f>
        <v>0</v>
      </c>
      <c r="E128" s="102">
        <f>ИД!I128</f>
        <v>0</v>
      </c>
      <c r="F128" s="148">
        <f>ИД!L128</f>
        <v>0</v>
      </c>
      <c r="G128" s="102">
        <f>ИД!H128</f>
        <v>0</v>
      </c>
      <c r="H128" s="152">
        <f>ИД!N128</f>
        <v>0</v>
      </c>
      <c r="I128" s="154">
        <f>ИД!T128</f>
        <v>0</v>
      </c>
      <c r="J128" s="154">
        <f>ИД!U128</f>
        <v>0</v>
      </c>
      <c r="K128" s="154">
        <f>ИД!V128</f>
        <v>0</v>
      </c>
      <c r="L128" s="154">
        <f>ИД!W128</f>
        <v>0</v>
      </c>
    </row>
    <row r="129" spans="1:12" ht="25" customHeight="1" x14ac:dyDescent="0.2">
      <c r="A129" s="102">
        <f>ИД!D129</f>
        <v>0</v>
      </c>
      <c r="B129" s="102">
        <f>ИД!E129</f>
        <v>0</v>
      </c>
      <c r="C129" s="102">
        <f>ИД!F129</f>
        <v>0</v>
      </c>
      <c r="D129" s="102">
        <f>ИД!G129</f>
        <v>0</v>
      </c>
      <c r="E129" s="102">
        <f>ИД!I129</f>
        <v>0</v>
      </c>
      <c r="F129" s="148">
        <f>ИД!L129</f>
        <v>0</v>
      </c>
      <c r="G129" s="102">
        <f>ИД!H129</f>
        <v>0</v>
      </c>
      <c r="H129" s="152">
        <f>ИД!N129</f>
        <v>0</v>
      </c>
      <c r="I129" s="154">
        <f>ИД!T129</f>
        <v>0</v>
      </c>
      <c r="J129" s="154">
        <f>ИД!U129</f>
        <v>0</v>
      </c>
      <c r="K129" s="154">
        <f>ИД!V129</f>
        <v>0</v>
      </c>
      <c r="L129" s="154">
        <f>ИД!W129</f>
        <v>0</v>
      </c>
    </row>
    <row r="130" spans="1:12" ht="25" customHeight="1" x14ac:dyDescent="0.2">
      <c r="A130" s="102">
        <f>ИД!D130</f>
        <v>0</v>
      </c>
      <c r="B130" s="102">
        <f>ИД!E130</f>
        <v>0</v>
      </c>
      <c r="C130" s="102">
        <f>ИД!F130</f>
        <v>0</v>
      </c>
      <c r="D130" s="102">
        <f>ИД!G130</f>
        <v>0</v>
      </c>
      <c r="E130" s="102">
        <f>ИД!I130</f>
        <v>0</v>
      </c>
      <c r="F130" s="148">
        <f>ИД!L130</f>
        <v>0</v>
      </c>
      <c r="G130" s="102">
        <f>ИД!H130</f>
        <v>0</v>
      </c>
      <c r="H130" s="152">
        <f>ИД!N130</f>
        <v>0</v>
      </c>
      <c r="I130" s="154">
        <f>ИД!T130</f>
        <v>0</v>
      </c>
      <c r="J130" s="154">
        <f>ИД!U130</f>
        <v>0</v>
      </c>
      <c r="K130" s="154">
        <f>ИД!V130</f>
        <v>0</v>
      </c>
      <c r="L130" s="154">
        <f>ИД!W130</f>
        <v>0</v>
      </c>
    </row>
    <row r="131" spans="1:12" ht="25" customHeight="1" x14ac:dyDescent="0.2">
      <c r="A131" s="102">
        <f>ИД!D131</f>
        <v>0</v>
      </c>
      <c r="B131" s="102">
        <f>ИД!E131</f>
        <v>0</v>
      </c>
      <c r="C131" s="102">
        <f>ИД!F131</f>
        <v>0</v>
      </c>
      <c r="D131" s="102">
        <f>ИД!G131</f>
        <v>0</v>
      </c>
      <c r="E131" s="102">
        <f>ИД!I131</f>
        <v>0</v>
      </c>
      <c r="F131" s="148">
        <f>ИД!L131</f>
        <v>0</v>
      </c>
      <c r="G131" s="102">
        <f>ИД!H131</f>
        <v>0</v>
      </c>
      <c r="H131" s="152">
        <f>ИД!N131</f>
        <v>0</v>
      </c>
      <c r="I131" s="154">
        <f>ИД!T131</f>
        <v>0</v>
      </c>
      <c r="J131" s="154">
        <f>ИД!U131</f>
        <v>0</v>
      </c>
      <c r="K131" s="154">
        <f>ИД!V131</f>
        <v>0</v>
      </c>
      <c r="L131" s="154">
        <f>ИД!W131</f>
        <v>0</v>
      </c>
    </row>
    <row r="132" spans="1:12" ht="25" customHeight="1" x14ac:dyDescent="0.2">
      <c r="A132" s="102">
        <f>ИД!D132</f>
        <v>0</v>
      </c>
      <c r="B132" s="102">
        <f>ИД!E132</f>
        <v>0</v>
      </c>
      <c r="C132" s="102">
        <f>ИД!F132</f>
        <v>0</v>
      </c>
      <c r="D132" s="102">
        <f>ИД!G132</f>
        <v>0</v>
      </c>
      <c r="E132" s="102">
        <f>ИД!I132</f>
        <v>0</v>
      </c>
      <c r="F132" s="148">
        <f>ИД!L132</f>
        <v>0</v>
      </c>
      <c r="G132" s="102">
        <f>ИД!H132</f>
        <v>0</v>
      </c>
      <c r="H132" s="152">
        <f>ИД!N132</f>
        <v>0</v>
      </c>
      <c r="I132" s="154">
        <f>ИД!T132</f>
        <v>0</v>
      </c>
      <c r="J132" s="154">
        <f>ИД!U132</f>
        <v>0</v>
      </c>
      <c r="K132" s="154">
        <f>ИД!V132</f>
        <v>0</v>
      </c>
      <c r="L132" s="154">
        <f>ИД!W132</f>
        <v>0</v>
      </c>
    </row>
    <row r="133" spans="1:12" ht="25" customHeight="1" x14ac:dyDescent="0.2">
      <c r="A133" s="102">
        <f>ИД!D133</f>
        <v>0</v>
      </c>
      <c r="B133" s="102">
        <f>ИД!E133</f>
        <v>0</v>
      </c>
      <c r="C133" s="102">
        <f>ИД!F133</f>
        <v>0</v>
      </c>
      <c r="D133" s="102">
        <f>ИД!G133</f>
        <v>0</v>
      </c>
      <c r="E133" s="102">
        <f>ИД!I133</f>
        <v>0</v>
      </c>
      <c r="F133" s="148">
        <f>ИД!L133</f>
        <v>0</v>
      </c>
      <c r="G133" s="102">
        <f>ИД!H133</f>
        <v>0</v>
      </c>
      <c r="H133" s="152">
        <f>ИД!N133</f>
        <v>0</v>
      </c>
      <c r="I133" s="154">
        <f>ИД!T133</f>
        <v>0</v>
      </c>
      <c r="J133" s="154">
        <f>ИД!U133</f>
        <v>0</v>
      </c>
      <c r="K133" s="154">
        <f>ИД!V133</f>
        <v>0</v>
      </c>
      <c r="L133" s="154">
        <f>ИД!W133</f>
        <v>0</v>
      </c>
    </row>
    <row r="134" spans="1:12" ht="25" customHeight="1" x14ac:dyDescent="0.2">
      <c r="A134" s="102">
        <f>ИД!D134</f>
        <v>0</v>
      </c>
      <c r="B134" s="102">
        <f>ИД!E134</f>
        <v>0</v>
      </c>
      <c r="C134" s="102">
        <f>ИД!F134</f>
        <v>0</v>
      </c>
      <c r="D134" s="102">
        <f>ИД!G134</f>
        <v>0</v>
      </c>
      <c r="E134" s="102">
        <f>ИД!I134</f>
        <v>0</v>
      </c>
      <c r="F134" s="148">
        <f>ИД!L134</f>
        <v>0</v>
      </c>
      <c r="G134" s="102">
        <f>ИД!H134</f>
        <v>0</v>
      </c>
      <c r="H134" s="152">
        <f>ИД!N134</f>
        <v>0</v>
      </c>
      <c r="I134" s="154">
        <f>ИД!T134</f>
        <v>0</v>
      </c>
      <c r="J134" s="154">
        <f>ИД!U134</f>
        <v>0</v>
      </c>
      <c r="K134" s="154">
        <f>ИД!V134</f>
        <v>0</v>
      </c>
      <c r="L134" s="154">
        <f>ИД!W134</f>
        <v>0</v>
      </c>
    </row>
    <row r="135" spans="1:12" ht="25" customHeight="1" x14ac:dyDescent="0.2">
      <c r="A135" s="102">
        <f>ИД!D135</f>
        <v>0</v>
      </c>
      <c r="B135" s="102">
        <f>ИД!E135</f>
        <v>0</v>
      </c>
      <c r="C135" s="102">
        <f>ИД!F135</f>
        <v>0</v>
      </c>
      <c r="D135" s="102">
        <f>ИД!G135</f>
        <v>0</v>
      </c>
      <c r="E135" s="102">
        <f>ИД!I135</f>
        <v>0</v>
      </c>
      <c r="F135" s="148">
        <f>ИД!L135</f>
        <v>0</v>
      </c>
      <c r="G135" s="102">
        <f>ИД!H135</f>
        <v>0</v>
      </c>
      <c r="H135" s="152">
        <f>ИД!N135</f>
        <v>0</v>
      </c>
      <c r="I135" s="154">
        <f>ИД!T135</f>
        <v>0</v>
      </c>
      <c r="J135" s="154">
        <f>ИД!U135</f>
        <v>0</v>
      </c>
      <c r="K135" s="154">
        <f>ИД!V135</f>
        <v>0</v>
      </c>
      <c r="L135" s="154">
        <f>ИД!W135</f>
        <v>0</v>
      </c>
    </row>
    <row r="136" spans="1:12" ht="25" customHeight="1" x14ac:dyDescent="0.2">
      <c r="A136" s="102">
        <f>ИД!D136</f>
        <v>0</v>
      </c>
      <c r="B136" s="102">
        <f>ИД!E136</f>
        <v>0</v>
      </c>
      <c r="C136" s="102">
        <f>ИД!F136</f>
        <v>0</v>
      </c>
      <c r="D136" s="102">
        <f>ИД!G136</f>
        <v>0</v>
      </c>
      <c r="E136" s="102">
        <f>ИД!I136</f>
        <v>0</v>
      </c>
      <c r="F136" s="148">
        <f>ИД!L136</f>
        <v>0</v>
      </c>
      <c r="G136" s="102">
        <f>ИД!H136</f>
        <v>0</v>
      </c>
      <c r="H136" s="152">
        <f>ИД!N136</f>
        <v>0</v>
      </c>
      <c r="I136" s="154">
        <f>ИД!T136</f>
        <v>0</v>
      </c>
      <c r="J136" s="154">
        <f>ИД!U136</f>
        <v>0</v>
      </c>
      <c r="K136" s="154">
        <f>ИД!V136</f>
        <v>0</v>
      </c>
      <c r="L136" s="154">
        <f>ИД!W136</f>
        <v>0</v>
      </c>
    </row>
    <row r="137" spans="1:12" ht="25" customHeight="1" x14ac:dyDescent="0.2">
      <c r="A137" s="102">
        <f>ИД!D137</f>
        <v>0</v>
      </c>
      <c r="B137" s="102">
        <f>ИД!E137</f>
        <v>0</v>
      </c>
      <c r="C137" s="102">
        <f>ИД!F137</f>
        <v>0</v>
      </c>
      <c r="D137" s="102">
        <f>ИД!G137</f>
        <v>0</v>
      </c>
      <c r="E137" s="102">
        <f>ИД!I137</f>
        <v>0</v>
      </c>
      <c r="F137" s="148">
        <f>ИД!L137</f>
        <v>0</v>
      </c>
      <c r="G137" s="102">
        <f>ИД!H137</f>
        <v>0</v>
      </c>
      <c r="H137" s="152">
        <f>ИД!N137</f>
        <v>0</v>
      </c>
      <c r="I137" s="154">
        <f>ИД!T137</f>
        <v>0</v>
      </c>
      <c r="J137" s="154">
        <f>ИД!U137</f>
        <v>0</v>
      </c>
      <c r="K137" s="154">
        <f>ИД!V137</f>
        <v>0</v>
      </c>
      <c r="L137" s="154">
        <f>ИД!W137</f>
        <v>0</v>
      </c>
    </row>
    <row r="138" spans="1:12" ht="25" customHeight="1" x14ac:dyDescent="0.2">
      <c r="A138" s="102">
        <f>ИД!D138</f>
        <v>0</v>
      </c>
      <c r="B138" s="102">
        <f>ИД!E138</f>
        <v>0</v>
      </c>
      <c r="C138" s="102">
        <f>ИД!F138</f>
        <v>0</v>
      </c>
      <c r="D138" s="102">
        <f>ИД!G138</f>
        <v>0</v>
      </c>
      <c r="E138" s="102">
        <f>ИД!I138</f>
        <v>0</v>
      </c>
      <c r="F138" s="148">
        <f>ИД!L138</f>
        <v>0</v>
      </c>
      <c r="G138" s="102">
        <f>ИД!H138</f>
        <v>0</v>
      </c>
      <c r="H138" s="152">
        <f>ИД!N138</f>
        <v>0</v>
      </c>
      <c r="I138" s="154">
        <f>ИД!T138</f>
        <v>0</v>
      </c>
      <c r="J138" s="154">
        <f>ИД!U138</f>
        <v>0</v>
      </c>
      <c r="K138" s="154">
        <f>ИД!V138</f>
        <v>0</v>
      </c>
      <c r="L138" s="154">
        <f>ИД!W138</f>
        <v>0</v>
      </c>
    </row>
    <row r="139" spans="1:12" ht="25" customHeight="1" x14ac:dyDescent="0.2">
      <c r="A139" s="102">
        <f>ИД!D139</f>
        <v>0</v>
      </c>
      <c r="B139" s="102">
        <f>ИД!E139</f>
        <v>0</v>
      </c>
      <c r="C139" s="102">
        <f>ИД!F139</f>
        <v>0</v>
      </c>
      <c r="D139" s="102">
        <f>ИД!G139</f>
        <v>0</v>
      </c>
      <c r="E139" s="102">
        <f>ИД!I139</f>
        <v>0</v>
      </c>
      <c r="F139" s="148">
        <f>ИД!L139</f>
        <v>0</v>
      </c>
      <c r="G139" s="102">
        <f>ИД!H139</f>
        <v>0</v>
      </c>
      <c r="H139" s="152">
        <f>ИД!N139</f>
        <v>0</v>
      </c>
      <c r="I139" s="154">
        <f>ИД!T139</f>
        <v>0</v>
      </c>
      <c r="J139" s="154">
        <f>ИД!U139</f>
        <v>0</v>
      </c>
      <c r="K139" s="154">
        <f>ИД!V139</f>
        <v>0</v>
      </c>
      <c r="L139" s="154">
        <f>ИД!W139</f>
        <v>0</v>
      </c>
    </row>
    <row r="140" spans="1:12" ht="25" customHeight="1" x14ac:dyDescent="0.2">
      <c r="A140" s="102">
        <f>ИД!D140</f>
        <v>0</v>
      </c>
      <c r="B140" s="102">
        <f>ИД!E140</f>
        <v>0</v>
      </c>
      <c r="C140" s="102">
        <f>ИД!F140</f>
        <v>0</v>
      </c>
      <c r="D140" s="102">
        <f>ИД!G140</f>
        <v>0</v>
      </c>
      <c r="E140" s="102">
        <f>ИД!I140</f>
        <v>0</v>
      </c>
      <c r="F140" s="148">
        <f>ИД!L140</f>
        <v>0</v>
      </c>
      <c r="G140" s="102">
        <f>ИД!H140</f>
        <v>0</v>
      </c>
      <c r="H140" s="152">
        <f>ИД!N140</f>
        <v>0</v>
      </c>
      <c r="I140" s="154">
        <f>ИД!T140</f>
        <v>0</v>
      </c>
      <c r="J140" s="154">
        <f>ИД!U140</f>
        <v>0</v>
      </c>
      <c r="K140" s="154">
        <f>ИД!V140</f>
        <v>0</v>
      </c>
      <c r="L140" s="154">
        <f>ИД!W140</f>
        <v>0</v>
      </c>
    </row>
    <row r="141" spans="1:12" ht="25" customHeight="1" x14ac:dyDescent="0.2">
      <c r="A141" s="102">
        <f>ИД!D141</f>
        <v>0</v>
      </c>
      <c r="B141" s="102">
        <f>ИД!E141</f>
        <v>0</v>
      </c>
      <c r="C141" s="102">
        <f>ИД!F141</f>
        <v>0</v>
      </c>
      <c r="D141" s="102">
        <f>ИД!G141</f>
        <v>0</v>
      </c>
      <c r="E141" s="102">
        <f>ИД!I141</f>
        <v>0</v>
      </c>
      <c r="F141" s="148">
        <f>ИД!L141</f>
        <v>0</v>
      </c>
      <c r="G141" s="102">
        <f>ИД!H141</f>
        <v>0</v>
      </c>
      <c r="H141" s="152">
        <f>ИД!N141</f>
        <v>0</v>
      </c>
      <c r="I141" s="154">
        <f>ИД!T141</f>
        <v>0</v>
      </c>
      <c r="J141" s="154">
        <f>ИД!U141</f>
        <v>0</v>
      </c>
      <c r="K141" s="154">
        <f>ИД!V141</f>
        <v>0</v>
      </c>
      <c r="L141" s="154">
        <f>ИД!W141</f>
        <v>0</v>
      </c>
    </row>
    <row r="142" spans="1:12" ht="25" customHeight="1" x14ac:dyDescent="0.2">
      <c r="A142" s="102">
        <f>ИД!D142</f>
        <v>0</v>
      </c>
      <c r="B142" s="102">
        <f>ИД!E142</f>
        <v>0</v>
      </c>
      <c r="C142" s="102">
        <f>ИД!F142</f>
        <v>0</v>
      </c>
      <c r="D142" s="102">
        <f>ИД!G142</f>
        <v>0</v>
      </c>
      <c r="E142" s="102">
        <f>ИД!I142</f>
        <v>0</v>
      </c>
      <c r="F142" s="148">
        <f>ИД!L142</f>
        <v>0</v>
      </c>
      <c r="G142" s="102">
        <f>ИД!H142</f>
        <v>0</v>
      </c>
      <c r="H142" s="152">
        <f>ИД!N142</f>
        <v>0</v>
      </c>
      <c r="I142" s="154">
        <f>ИД!T142</f>
        <v>0</v>
      </c>
      <c r="J142" s="154">
        <f>ИД!U142</f>
        <v>0</v>
      </c>
      <c r="K142" s="154">
        <f>ИД!V142</f>
        <v>0</v>
      </c>
      <c r="L142" s="154">
        <f>ИД!W142</f>
        <v>0</v>
      </c>
    </row>
    <row r="143" spans="1:12" ht="25" customHeight="1" x14ac:dyDescent="0.2">
      <c r="A143" s="102">
        <f>ИД!D143</f>
        <v>0</v>
      </c>
      <c r="B143" s="102">
        <f>ИД!E143</f>
        <v>0</v>
      </c>
      <c r="C143" s="102">
        <f>ИД!F143</f>
        <v>0</v>
      </c>
      <c r="D143" s="102">
        <f>ИД!G143</f>
        <v>0</v>
      </c>
      <c r="E143" s="102">
        <f>ИД!I143</f>
        <v>0</v>
      </c>
      <c r="F143" s="148">
        <f>ИД!L143</f>
        <v>0</v>
      </c>
      <c r="G143" s="102">
        <f>ИД!H143</f>
        <v>0</v>
      </c>
      <c r="H143" s="152">
        <f>ИД!N143</f>
        <v>0</v>
      </c>
      <c r="I143" s="154">
        <f>ИД!T143</f>
        <v>0</v>
      </c>
      <c r="J143" s="154">
        <f>ИД!U143</f>
        <v>0</v>
      </c>
      <c r="K143" s="154">
        <f>ИД!V143</f>
        <v>0</v>
      </c>
      <c r="L143" s="154">
        <f>ИД!W143</f>
        <v>0</v>
      </c>
    </row>
    <row r="144" spans="1:12" ht="25" customHeight="1" x14ac:dyDescent="0.2">
      <c r="A144" s="102">
        <f>ИД!D144</f>
        <v>0</v>
      </c>
      <c r="B144" s="102">
        <f>ИД!E144</f>
        <v>0</v>
      </c>
      <c r="C144" s="102">
        <f>ИД!F144</f>
        <v>0</v>
      </c>
      <c r="D144" s="102">
        <f>ИД!G144</f>
        <v>0</v>
      </c>
      <c r="E144" s="102">
        <f>ИД!I144</f>
        <v>0</v>
      </c>
      <c r="F144" s="148">
        <f>ИД!L144</f>
        <v>0</v>
      </c>
      <c r="G144" s="102">
        <f>ИД!H144</f>
        <v>0</v>
      </c>
      <c r="H144" s="152">
        <f>ИД!N144</f>
        <v>0</v>
      </c>
      <c r="I144" s="154">
        <f>ИД!T144</f>
        <v>0</v>
      </c>
      <c r="J144" s="154">
        <f>ИД!U144</f>
        <v>0</v>
      </c>
      <c r="K144" s="154">
        <f>ИД!V144</f>
        <v>0</v>
      </c>
      <c r="L144" s="154">
        <f>ИД!W144</f>
        <v>0</v>
      </c>
    </row>
    <row r="145" spans="1:12" ht="25" customHeight="1" x14ac:dyDescent="0.2">
      <c r="A145" s="102">
        <f>ИД!D145</f>
        <v>0</v>
      </c>
      <c r="B145" s="102">
        <f>ИД!E145</f>
        <v>0</v>
      </c>
      <c r="C145" s="102">
        <f>ИД!F145</f>
        <v>0</v>
      </c>
      <c r="D145" s="102">
        <f>ИД!G145</f>
        <v>0</v>
      </c>
      <c r="E145" s="102">
        <f>ИД!I145</f>
        <v>0</v>
      </c>
      <c r="F145" s="148">
        <f>ИД!L145</f>
        <v>0</v>
      </c>
      <c r="G145" s="102">
        <f>ИД!H145</f>
        <v>0</v>
      </c>
      <c r="H145" s="152">
        <f>ИД!N145</f>
        <v>0</v>
      </c>
      <c r="I145" s="154">
        <f>ИД!T145</f>
        <v>0</v>
      </c>
      <c r="J145" s="154">
        <f>ИД!U145</f>
        <v>0</v>
      </c>
      <c r="K145" s="154">
        <f>ИД!V145</f>
        <v>0</v>
      </c>
      <c r="L145" s="154">
        <f>ИД!W145</f>
        <v>0</v>
      </c>
    </row>
    <row r="146" spans="1:12" ht="25" customHeight="1" x14ac:dyDescent="0.2">
      <c r="A146" s="102">
        <f>ИД!D146</f>
        <v>0</v>
      </c>
      <c r="B146" s="102">
        <f>ИД!E146</f>
        <v>0</v>
      </c>
      <c r="C146" s="102">
        <f>ИД!F146</f>
        <v>0</v>
      </c>
      <c r="D146" s="102">
        <f>ИД!G146</f>
        <v>0</v>
      </c>
      <c r="E146" s="102">
        <f>ИД!I146</f>
        <v>0</v>
      </c>
      <c r="F146" s="148">
        <f>ИД!L146</f>
        <v>0</v>
      </c>
      <c r="G146" s="102">
        <f>ИД!H146</f>
        <v>0</v>
      </c>
      <c r="H146" s="152">
        <f>ИД!N146</f>
        <v>0</v>
      </c>
      <c r="I146" s="154">
        <f>ИД!T146</f>
        <v>0</v>
      </c>
      <c r="J146" s="154">
        <f>ИД!U146</f>
        <v>0</v>
      </c>
      <c r="K146" s="154">
        <f>ИД!V146</f>
        <v>0</v>
      </c>
      <c r="L146" s="154">
        <f>ИД!W146</f>
        <v>0</v>
      </c>
    </row>
    <row r="147" spans="1:12" ht="25" customHeight="1" x14ac:dyDescent="0.2">
      <c r="A147" s="102">
        <f>ИД!D147</f>
        <v>0</v>
      </c>
      <c r="B147" s="102">
        <f>ИД!E147</f>
        <v>0</v>
      </c>
      <c r="C147" s="102">
        <f>ИД!F147</f>
        <v>0</v>
      </c>
      <c r="D147" s="102">
        <f>ИД!G147</f>
        <v>0</v>
      </c>
      <c r="E147" s="102">
        <f>ИД!I147</f>
        <v>0</v>
      </c>
      <c r="F147" s="148">
        <f>ИД!L147</f>
        <v>0</v>
      </c>
      <c r="G147" s="102">
        <f>ИД!H147</f>
        <v>0</v>
      </c>
      <c r="H147" s="152">
        <f>ИД!N147</f>
        <v>0</v>
      </c>
      <c r="I147" s="154">
        <f>ИД!T147</f>
        <v>0</v>
      </c>
      <c r="J147" s="154">
        <f>ИД!U147</f>
        <v>0</v>
      </c>
      <c r="K147" s="154">
        <f>ИД!V147</f>
        <v>0</v>
      </c>
      <c r="L147" s="154">
        <f>ИД!W147</f>
        <v>0</v>
      </c>
    </row>
    <row r="148" spans="1:12" ht="25" customHeight="1" x14ac:dyDescent="0.2">
      <c r="A148" s="102">
        <f>ИД!D148</f>
        <v>0</v>
      </c>
      <c r="B148" s="102">
        <f>ИД!E148</f>
        <v>0</v>
      </c>
      <c r="C148" s="102">
        <f>ИД!F148</f>
        <v>0</v>
      </c>
      <c r="D148" s="102">
        <f>ИД!G148</f>
        <v>0</v>
      </c>
      <c r="E148" s="102">
        <f>ИД!I148</f>
        <v>0</v>
      </c>
      <c r="F148" s="148">
        <f>ИД!L148</f>
        <v>0</v>
      </c>
      <c r="G148" s="102">
        <f>ИД!H148</f>
        <v>0</v>
      </c>
      <c r="H148" s="152">
        <f>ИД!N148</f>
        <v>0</v>
      </c>
      <c r="I148" s="154">
        <f>ИД!T148</f>
        <v>0</v>
      </c>
      <c r="J148" s="154">
        <f>ИД!U148</f>
        <v>0</v>
      </c>
      <c r="K148" s="154">
        <f>ИД!V148</f>
        <v>0</v>
      </c>
      <c r="L148" s="154">
        <f>ИД!W148</f>
        <v>0</v>
      </c>
    </row>
    <row r="149" spans="1:12" ht="25" customHeight="1" x14ac:dyDescent="0.2">
      <c r="A149" s="102">
        <f>ИД!D149</f>
        <v>0</v>
      </c>
      <c r="B149" s="102">
        <f>ИД!E149</f>
        <v>0</v>
      </c>
      <c r="C149" s="102">
        <f>ИД!F149</f>
        <v>0</v>
      </c>
      <c r="D149" s="102">
        <f>ИД!G149</f>
        <v>0</v>
      </c>
      <c r="E149" s="102">
        <f>ИД!I149</f>
        <v>0</v>
      </c>
      <c r="F149" s="148">
        <f>ИД!L149</f>
        <v>0</v>
      </c>
      <c r="G149" s="102">
        <f>ИД!H149</f>
        <v>0</v>
      </c>
      <c r="H149" s="152">
        <f>ИД!N149</f>
        <v>0</v>
      </c>
      <c r="I149" s="154">
        <f>ИД!T149</f>
        <v>0</v>
      </c>
      <c r="J149" s="154">
        <f>ИД!U149</f>
        <v>0</v>
      </c>
      <c r="K149" s="154">
        <f>ИД!V149</f>
        <v>0</v>
      </c>
      <c r="L149" s="154">
        <f>ИД!W149</f>
        <v>0</v>
      </c>
    </row>
    <row r="150" spans="1:12" ht="25" customHeight="1" x14ac:dyDescent="0.2">
      <c r="A150" s="102">
        <f>ИД!D150</f>
        <v>0</v>
      </c>
      <c r="B150" s="102">
        <f>ИД!E150</f>
        <v>0</v>
      </c>
      <c r="C150" s="102">
        <f>ИД!F150</f>
        <v>0</v>
      </c>
      <c r="D150" s="102">
        <f>ИД!G150</f>
        <v>0</v>
      </c>
      <c r="E150" s="102">
        <f>ИД!I150</f>
        <v>0</v>
      </c>
      <c r="F150" s="148">
        <f>ИД!L150</f>
        <v>0</v>
      </c>
      <c r="G150" s="102">
        <f>ИД!H150</f>
        <v>0</v>
      </c>
      <c r="H150" s="152">
        <f>ИД!N150</f>
        <v>0</v>
      </c>
      <c r="I150" s="154">
        <f>ИД!T150</f>
        <v>0</v>
      </c>
      <c r="J150" s="154">
        <f>ИД!U150</f>
        <v>0</v>
      </c>
      <c r="K150" s="154">
        <f>ИД!V150</f>
        <v>0</v>
      </c>
      <c r="L150" s="154">
        <f>ИД!W150</f>
        <v>0</v>
      </c>
    </row>
    <row r="151" spans="1:12" ht="25" customHeight="1" x14ac:dyDescent="0.2">
      <c r="A151" s="102">
        <f>ИД!D151</f>
        <v>0</v>
      </c>
      <c r="B151" s="102">
        <f>ИД!E151</f>
        <v>0</v>
      </c>
      <c r="C151" s="102">
        <f>ИД!F151</f>
        <v>0</v>
      </c>
      <c r="D151" s="102">
        <f>ИД!G151</f>
        <v>0</v>
      </c>
      <c r="E151" s="102">
        <f>ИД!I151</f>
        <v>0</v>
      </c>
      <c r="F151" s="148">
        <f>ИД!L151</f>
        <v>0</v>
      </c>
      <c r="G151" s="102">
        <f>ИД!H151</f>
        <v>0</v>
      </c>
      <c r="H151" s="152">
        <f>ИД!N151</f>
        <v>0</v>
      </c>
      <c r="I151" s="154">
        <f>ИД!T151</f>
        <v>0</v>
      </c>
      <c r="J151" s="154">
        <f>ИД!U151</f>
        <v>0</v>
      </c>
      <c r="K151" s="154">
        <f>ИД!V151</f>
        <v>0</v>
      </c>
      <c r="L151" s="154">
        <f>ИД!W151</f>
        <v>0</v>
      </c>
    </row>
    <row r="152" spans="1:12" ht="25" customHeight="1" x14ac:dyDescent="0.2">
      <c r="A152" s="102">
        <f>ИД!D152</f>
        <v>0</v>
      </c>
      <c r="B152" s="102">
        <f>ИД!E152</f>
        <v>0</v>
      </c>
      <c r="C152" s="102">
        <f>ИД!F152</f>
        <v>0</v>
      </c>
      <c r="D152" s="102">
        <f>ИД!G152</f>
        <v>0</v>
      </c>
      <c r="E152" s="102">
        <f>ИД!I152</f>
        <v>0</v>
      </c>
      <c r="F152" s="148">
        <f>ИД!L152</f>
        <v>0</v>
      </c>
      <c r="G152" s="102">
        <f>ИД!H152</f>
        <v>0</v>
      </c>
      <c r="H152" s="152">
        <f>ИД!N152</f>
        <v>0</v>
      </c>
      <c r="I152" s="154">
        <f>ИД!T152</f>
        <v>0</v>
      </c>
      <c r="J152" s="154">
        <f>ИД!U152</f>
        <v>0</v>
      </c>
      <c r="K152" s="154">
        <f>ИД!V152</f>
        <v>0</v>
      </c>
      <c r="L152" s="154">
        <f>ИД!W152</f>
        <v>0</v>
      </c>
    </row>
    <row r="153" spans="1:12" ht="25" customHeight="1" x14ac:dyDescent="0.2">
      <c r="A153" s="102">
        <f>ИД!D153</f>
        <v>0</v>
      </c>
      <c r="B153" s="102">
        <f>ИД!E153</f>
        <v>0</v>
      </c>
      <c r="C153" s="102">
        <f>ИД!F153</f>
        <v>0</v>
      </c>
      <c r="D153" s="102">
        <f>ИД!G153</f>
        <v>0</v>
      </c>
      <c r="E153" s="102">
        <f>ИД!I153</f>
        <v>0</v>
      </c>
      <c r="F153" s="148">
        <f>ИД!L153</f>
        <v>0</v>
      </c>
      <c r="G153" s="102">
        <f>ИД!H153</f>
        <v>0</v>
      </c>
      <c r="H153" s="152">
        <f>ИД!N153</f>
        <v>0</v>
      </c>
      <c r="I153" s="154">
        <f>ИД!T153</f>
        <v>0</v>
      </c>
      <c r="J153" s="154">
        <f>ИД!U153</f>
        <v>0</v>
      </c>
      <c r="K153" s="154">
        <f>ИД!V153</f>
        <v>0</v>
      </c>
      <c r="L153" s="154">
        <f>ИД!W153</f>
        <v>0</v>
      </c>
    </row>
    <row r="154" spans="1:12" ht="25" customHeight="1" x14ac:dyDescent="0.2">
      <c r="A154" s="102">
        <f>ИД!D154</f>
        <v>0</v>
      </c>
      <c r="B154" s="102">
        <f>ИД!E154</f>
        <v>0</v>
      </c>
      <c r="C154" s="102">
        <f>ИД!F154</f>
        <v>0</v>
      </c>
      <c r="D154" s="102">
        <f>ИД!G154</f>
        <v>0</v>
      </c>
      <c r="E154" s="102">
        <f>ИД!I154</f>
        <v>0</v>
      </c>
      <c r="F154" s="148">
        <f>ИД!L154</f>
        <v>0</v>
      </c>
      <c r="G154" s="102">
        <f>ИД!H154</f>
        <v>0</v>
      </c>
      <c r="H154" s="152">
        <f>ИД!N154</f>
        <v>0</v>
      </c>
      <c r="I154" s="154">
        <f>ИД!T154</f>
        <v>0</v>
      </c>
      <c r="J154" s="154">
        <f>ИД!U154</f>
        <v>0</v>
      </c>
      <c r="K154" s="154">
        <f>ИД!V154</f>
        <v>0</v>
      </c>
      <c r="L154" s="154">
        <f>ИД!W154</f>
        <v>0</v>
      </c>
    </row>
    <row r="155" spans="1:12" ht="25" customHeight="1" x14ac:dyDescent="0.2">
      <c r="A155" s="102">
        <f>ИД!D155</f>
        <v>0</v>
      </c>
      <c r="B155" s="102">
        <f>ИД!E155</f>
        <v>0</v>
      </c>
      <c r="C155" s="102">
        <f>ИД!F155</f>
        <v>0</v>
      </c>
      <c r="D155" s="102">
        <f>ИД!G155</f>
        <v>0</v>
      </c>
      <c r="E155" s="102">
        <f>ИД!I155</f>
        <v>0</v>
      </c>
      <c r="F155" s="148">
        <f>ИД!L155</f>
        <v>0</v>
      </c>
      <c r="G155" s="102">
        <f>ИД!H155</f>
        <v>0</v>
      </c>
      <c r="H155" s="152">
        <f>ИД!N155</f>
        <v>0</v>
      </c>
      <c r="I155" s="154">
        <f>ИД!T155</f>
        <v>0</v>
      </c>
      <c r="J155" s="154">
        <f>ИД!U155</f>
        <v>0</v>
      </c>
      <c r="K155" s="154">
        <f>ИД!V155</f>
        <v>0</v>
      </c>
      <c r="L155" s="154">
        <f>ИД!W155</f>
        <v>0</v>
      </c>
    </row>
    <row r="156" spans="1:12" ht="25" customHeight="1" x14ac:dyDescent="0.2">
      <c r="A156" s="102">
        <f>ИД!D156</f>
        <v>0</v>
      </c>
      <c r="B156" s="102">
        <f>ИД!E156</f>
        <v>0</v>
      </c>
      <c r="C156" s="102">
        <f>ИД!F156</f>
        <v>0</v>
      </c>
      <c r="D156" s="102">
        <f>ИД!G156</f>
        <v>0</v>
      </c>
      <c r="E156" s="102">
        <f>ИД!I156</f>
        <v>0</v>
      </c>
      <c r="F156" s="148">
        <f>ИД!L156</f>
        <v>0</v>
      </c>
      <c r="G156" s="102">
        <f>ИД!H156</f>
        <v>0</v>
      </c>
      <c r="H156" s="152">
        <f>ИД!N156</f>
        <v>0</v>
      </c>
      <c r="I156" s="154">
        <f>ИД!T156</f>
        <v>0</v>
      </c>
      <c r="J156" s="154">
        <f>ИД!U156</f>
        <v>0</v>
      </c>
      <c r="K156" s="154">
        <f>ИД!V156</f>
        <v>0</v>
      </c>
      <c r="L156" s="154">
        <f>ИД!W156</f>
        <v>0</v>
      </c>
    </row>
    <row r="157" spans="1:12" ht="25" customHeight="1" x14ac:dyDescent="0.2">
      <c r="A157" s="102">
        <f>ИД!D157</f>
        <v>0</v>
      </c>
      <c r="B157" s="102">
        <f>ИД!E157</f>
        <v>0</v>
      </c>
      <c r="C157" s="102">
        <f>ИД!F157</f>
        <v>0</v>
      </c>
      <c r="D157" s="102">
        <f>ИД!G157</f>
        <v>0</v>
      </c>
      <c r="E157" s="102">
        <f>ИД!I157</f>
        <v>0</v>
      </c>
      <c r="F157" s="148">
        <f>ИД!L157</f>
        <v>0</v>
      </c>
      <c r="G157" s="102">
        <f>ИД!H157</f>
        <v>0</v>
      </c>
      <c r="H157" s="152">
        <f>ИД!N157</f>
        <v>0</v>
      </c>
      <c r="I157" s="154">
        <f>ИД!T157</f>
        <v>0</v>
      </c>
      <c r="J157" s="154">
        <f>ИД!U157</f>
        <v>0</v>
      </c>
      <c r="K157" s="154">
        <f>ИД!V157</f>
        <v>0</v>
      </c>
      <c r="L157" s="154">
        <f>ИД!W157</f>
        <v>0</v>
      </c>
    </row>
    <row r="158" spans="1:12" ht="25" customHeight="1" x14ac:dyDescent="0.2">
      <c r="A158" s="102">
        <f>ИД!D158</f>
        <v>0</v>
      </c>
      <c r="B158" s="102">
        <f>ИД!E158</f>
        <v>0</v>
      </c>
      <c r="C158" s="102">
        <f>ИД!F158</f>
        <v>0</v>
      </c>
      <c r="D158" s="102">
        <f>ИД!G158</f>
        <v>0</v>
      </c>
      <c r="E158" s="102">
        <f>ИД!I158</f>
        <v>0</v>
      </c>
      <c r="F158" s="148">
        <f>ИД!L158</f>
        <v>0</v>
      </c>
      <c r="G158" s="102">
        <f>ИД!H158</f>
        <v>0</v>
      </c>
      <c r="H158" s="152">
        <f>ИД!N158</f>
        <v>0</v>
      </c>
      <c r="I158" s="154">
        <f>ИД!T158</f>
        <v>0</v>
      </c>
      <c r="J158" s="154">
        <f>ИД!U158</f>
        <v>0</v>
      </c>
      <c r="K158" s="154">
        <f>ИД!V158</f>
        <v>0</v>
      </c>
      <c r="L158" s="154">
        <f>ИД!W158</f>
        <v>0</v>
      </c>
    </row>
    <row r="159" spans="1:12" ht="25" customHeight="1" x14ac:dyDescent="0.2">
      <c r="A159" s="102">
        <f>ИД!D159</f>
        <v>0</v>
      </c>
      <c r="B159" s="102">
        <f>ИД!E159</f>
        <v>0</v>
      </c>
      <c r="C159" s="102">
        <f>ИД!F159</f>
        <v>0</v>
      </c>
      <c r="D159" s="102">
        <f>ИД!G159</f>
        <v>0</v>
      </c>
      <c r="E159" s="102">
        <f>ИД!I159</f>
        <v>0</v>
      </c>
      <c r="F159" s="148">
        <f>ИД!L159</f>
        <v>0</v>
      </c>
      <c r="G159" s="102">
        <f>ИД!H159</f>
        <v>0</v>
      </c>
      <c r="H159" s="152">
        <f>ИД!N159</f>
        <v>0</v>
      </c>
      <c r="I159" s="154">
        <f>ИД!T159</f>
        <v>0</v>
      </c>
      <c r="J159" s="154">
        <f>ИД!U159</f>
        <v>0</v>
      </c>
      <c r="K159" s="154">
        <f>ИД!V159</f>
        <v>0</v>
      </c>
      <c r="L159" s="154">
        <f>ИД!W159</f>
        <v>0</v>
      </c>
    </row>
    <row r="160" spans="1:12" ht="25" customHeight="1" x14ac:dyDescent="0.2">
      <c r="A160" s="102">
        <f>ИД!D160</f>
        <v>0</v>
      </c>
      <c r="B160" s="102">
        <f>ИД!E160</f>
        <v>0</v>
      </c>
      <c r="C160" s="102">
        <f>ИД!F160</f>
        <v>0</v>
      </c>
      <c r="D160" s="102">
        <f>ИД!G160</f>
        <v>0</v>
      </c>
      <c r="E160" s="102">
        <f>ИД!I160</f>
        <v>0</v>
      </c>
      <c r="F160" s="148">
        <f>ИД!L160</f>
        <v>0</v>
      </c>
      <c r="G160" s="102">
        <f>ИД!H160</f>
        <v>0</v>
      </c>
      <c r="H160" s="152">
        <f>ИД!N160</f>
        <v>0</v>
      </c>
      <c r="I160" s="154">
        <f>ИД!T160</f>
        <v>0</v>
      </c>
      <c r="J160" s="154">
        <f>ИД!U160</f>
        <v>0</v>
      </c>
      <c r="K160" s="154">
        <f>ИД!V160</f>
        <v>0</v>
      </c>
      <c r="L160" s="154">
        <f>ИД!W160</f>
        <v>0</v>
      </c>
    </row>
    <row r="161" spans="1:12" ht="25" customHeight="1" x14ac:dyDescent="0.2">
      <c r="A161" s="102">
        <f>ИД!D161</f>
        <v>0</v>
      </c>
      <c r="B161" s="102">
        <f>ИД!E161</f>
        <v>0</v>
      </c>
      <c r="C161" s="102">
        <f>ИД!F161</f>
        <v>0</v>
      </c>
      <c r="D161" s="102">
        <f>ИД!G161</f>
        <v>0</v>
      </c>
      <c r="E161" s="102">
        <f>ИД!I161</f>
        <v>0</v>
      </c>
      <c r="F161" s="148">
        <f>ИД!L161</f>
        <v>0</v>
      </c>
      <c r="G161" s="102">
        <f>ИД!H161</f>
        <v>0</v>
      </c>
      <c r="H161" s="152">
        <f>ИД!N161</f>
        <v>0</v>
      </c>
      <c r="I161" s="154">
        <f>ИД!T161</f>
        <v>0</v>
      </c>
      <c r="J161" s="154">
        <f>ИД!U161</f>
        <v>0</v>
      </c>
      <c r="K161" s="154">
        <f>ИД!V161</f>
        <v>0</v>
      </c>
      <c r="L161" s="154">
        <f>ИД!W161</f>
        <v>0</v>
      </c>
    </row>
    <row r="162" spans="1:12" ht="25" customHeight="1" x14ac:dyDescent="0.2">
      <c r="A162" s="102">
        <f>ИД!D162</f>
        <v>0</v>
      </c>
      <c r="B162" s="102">
        <f>ИД!E162</f>
        <v>0</v>
      </c>
      <c r="C162" s="102">
        <f>ИД!F162</f>
        <v>0</v>
      </c>
      <c r="D162" s="102">
        <f>ИД!G162</f>
        <v>0</v>
      </c>
      <c r="E162" s="102">
        <f>ИД!I162</f>
        <v>0</v>
      </c>
      <c r="F162" s="148">
        <f>ИД!L162</f>
        <v>0</v>
      </c>
      <c r="G162" s="102">
        <f>ИД!H162</f>
        <v>0</v>
      </c>
      <c r="H162" s="152">
        <f>ИД!N162</f>
        <v>0</v>
      </c>
      <c r="I162" s="154">
        <f>ИД!T162</f>
        <v>0</v>
      </c>
      <c r="J162" s="154">
        <f>ИД!U162</f>
        <v>0</v>
      </c>
      <c r="K162" s="154">
        <f>ИД!V162</f>
        <v>0</v>
      </c>
      <c r="L162" s="154">
        <f>ИД!W162</f>
        <v>0</v>
      </c>
    </row>
    <row r="163" spans="1:12" ht="25" customHeight="1" x14ac:dyDescent="0.2">
      <c r="A163" s="102">
        <f>ИД!D163</f>
        <v>0</v>
      </c>
      <c r="B163" s="102">
        <f>ИД!E163</f>
        <v>0</v>
      </c>
      <c r="C163" s="102">
        <f>ИД!F163</f>
        <v>0</v>
      </c>
      <c r="D163" s="102">
        <f>ИД!G163</f>
        <v>0</v>
      </c>
      <c r="E163" s="102">
        <f>ИД!I163</f>
        <v>0</v>
      </c>
      <c r="F163" s="148">
        <f>ИД!L163</f>
        <v>0</v>
      </c>
      <c r="G163" s="102">
        <f>ИД!H163</f>
        <v>0</v>
      </c>
      <c r="H163" s="152">
        <f>ИД!N163</f>
        <v>0</v>
      </c>
      <c r="I163" s="154">
        <f>ИД!T163</f>
        <v>0</v>
      </c>
      <c r="J163" s="154">
        <f>ИД!U163</f>
        <v>0</v>
      </c>
      <c r="K163" s="154">
        <f>ИД!V163</f>
        <v>0</v>
      </c>
      <c r="L163" s="154">
        <f>ИД!W163</f>
        <v>0</v>
      </c>
    </row>
    <row r="164" spans="1:12" ht="25" customHeight="1" x14ac:dyDescent="0.2">
      <c r="A164" s="102">
        <f>ИД!D164</f>
        <v>0</v>
      </c>
      <c r="B164" s="102">
        <f>ИД!E164</f>
        <v>0</v>
      </c>
      <c r="C164" s="102">
        <f>ИД!F164</f>
        <v>0</v>
      </c>
      <c r="D164" s="102">
        <f>ИД!G164</f>
        <v>0</v>
      </c>
      <c r="E164" s="102">
        <f>ИД!I164</f>
        <v>0</v>
      </c>
      <c r="F164" s="148">
        <f>ИД!L164</f>
        <v>0</v>
      </c>
      <c r="G164" s="102">
        <f>ИД!H164</f>
        <v>0</v>
      </c>
      <c r="H164" s="152">
        <f>ИД!N164</f>
        <v>0</v>
      </c>
      <c r="I164" s="154">
        <f>ИД!T164</f>
        <v>0</v>
      </c>
      <c r="J164" s="154">
        <f>ИД!U164</f>
        <v>0</v>
      </c>
      <c r="K164" s="154">
        <f>ИД!V164</f>
        <v>0</v>
      </c>
      <c r="L164" s="154">
        <f>ИД!W164</f>
        <v>0</v>
      </c>
    </row>
    <row r="165" spans="1:12" ht="25" customHeight="1" x14ac:dyDescent="0.2">
      <c r="A165" s="102">
        <f>ИД!D165</f>
        <v>0</v>
      </c>
      <c r="B165" s="102">
        <f>ИД!E165</f>
        <v>0</v>
      </c>
      <c r="C165" s="102">
        <f>ИД!F165</f>
        <v>0</v>
      </c>
      <c r="D165" s="102">
        <f>ИД!G165</f>
        <v>0</v>
      </c>
      <c r="E165" s="102">
        <f>ИД!I165</f>
        <v>0</v>
      </c>
      <c r="F165" s="148">
        <f>ИД!L165</f>
        <v>0</v>
      </c>
      <c r="G165" s="102">
        <f>ИД!H165</f>
        <v>0</v>
      </c>
      <c r="H165" s="152">
        <f>ИД!N165</f>
        <v>0</v>
      </c>
      <c r="I165" s="154">
        <f>ИД!T165</f>
        <v>0</v>
      </c>
      <c r="J165" s="154">
        <f>ИД!U165</f>
        <v>0</v>
      </c>
      <c r="K165" s="154">
        <f>ИД!V165</f>
        <v>0</v>
      </c>
      <c r="L165" s="154">
        <f>ИД!W165</f>
        <v>0</v>
      </c>
    </row>
    <row r="166" spans="1:12" ht="25" customHeight="1" x14ac:dyDescent="0.2">
      <c r="A166" s="102">
        <f>ИД!D166</f>
        <v>0</v>
      </c>
      <c r="B166" s="102">
        <f>ИД!E166</f>
        <v>0</v>
      </c>
      <c r="C166" s="102">
        <f>ИД!F166</f>
        <v>0</v>
      </c>
      <c r="D166" s="102">
        <f>ИД!G166</f>
        <v>0</v>
      </c>
      <c r="E166" s="102">
        <f>ИД!I166</f>
        <v>0</v>
      </c>
      <c r="F166" s="148">
        <f>ИД!L166</f>
        <v>0</v>
      </c>
      <c r="G166" s="102">
        <f>ИД!H166</f>
        <v>0</v>
      </c>
      <c r="H166" s="152">
        <f>ИД!N166</f>
        <v>0</v>
      </c>
      <c r="I166" s="154">
        <f>ИД!T166</f>
        <v>0</v>
      </c>
      <c r="J166" s="154">
        <f>ИД!U166</f>
        <v>0</v>
      </c>
      <c r="K166" s="154">
        <f>ИД!V166</f>
        <v>0</v>
      </c>
      <c r="L166" s="154">
        <f>ИД!W166</f>
        <v>0</v>
      </c>
    </row>
    <row r="167" spans="1:12" ht="25" customHeight="1" x14ac:dyDescent="0.2">
      <c r="A167" s="102">
        <f>ИД!D167</f>
        <v>0</v>
      </c>
      <c r="B167" s="102">
        <f>ИД!E167</f>
        <v>0</v>
      </c>
      <c r="C167" s="102">
        <f>ИД!F167</f>
        <v>0</v>
      </c>
      <c r="D167" s="102">
        <f>ИД!G167</f>
        <v>0</v>
      </c>
      <c r="E167" s="102">
        <f>ИД!I167</f>
        <v>0</v>
      </c>
      <c r="F167" s="148">
        <f>ИД!L167</f>
        <v>0</v>
      </c>
      <c r="G167" s="102">
        <f>ИД!H167</f>
        <v>0</v>
      </c>
      <c r="H167" s="152">
        <f>ИД!N167</f>
        <v>0</v>
      </c>
      <c r="I167" s="154">
        <f>ИД!T167</f>
        <v>0</v>
      </c>
      <c r="J167" s="154">
        <f>ИД!U167</f>
        <v>0</v>
      </c>
      <c r="K167" s="154">
        <f>ИД!V167</f>
        <v>0</v>
      </c>
      <c r="L167" s="154">
        <f>ИД!W167</f>
        <v>0</v>
      </c>
    </row>
    <row r="168" spans="1:12" ht="25" customHeight="1" x14ac:dyDescent="0.2">
      <c r="A168" s="102">
        <f>ИД!D168</f>
        <v>0</v>
      </c>
      <c r="B168" s="102">
        <f>ИД!E168</f>
        <v>0</v>
      </c>
      <c r="C168" s="102">
        <f>ИД!F168</f>
        <v>0</v>
      </c>
      <c r="D168" s="102">
        <f>ИД!G168</f>
        <v>0</v>
      </c>
      <c r="E168" s="102">
        <f>ИД!I168</f>
        <v>0</v>
      </c>
      <c r="F168" s="148">
        <f>ИД!L168</f>
        <v>0</v>
      </c>
      <c r="G168" s="102">
        <f>ИД!H168</f>
        <v>0</v>
      </c>
      <c r="H168" s="152">
        <f>ИД!N168</f>
        <v>0</v>
      </c>
      <c r="I168" s="154">
        <f>ИД!T168</f>
        <v>0</v>
      </c>
      <c r="J168" s="154">
        <f>ИД!U168</f>
        <v>0</v>
      </c>
      <c r="K168" s="154">
        <f>ИД!V168</f>
        <v>0</v>
      </c>
      <c r="L168" s="154">
        <f>ИД!W168</f>
        <v>0</v>
      </c>
    </row>
    <row r="169" spans="1:12" ht="25" customHeight="1" x14ac:dyDescent="0.2">
      <c r="A169" s="102">
        <f>ИД!D169</f>
        <v>0</v>
      </c>
      <c r="B169" s="102">
        <f>ИД!E169</f>
        <v>0</v>
      </c>
      <c r="C169" s="102">
        <f>ИД!F169</f>
        <v>0</v>
      </c>
      <c r="D169" s="102">
        <f>ИД!G169</f>
        <v>0</v>
      </c>
      <c r="E169" s="102">
        <f>ИД!I169</f>
        <v>0</v>
      </c>
      <c r="F169" s="148">
        <f>ИД!L169</f>
        <v>0</v>
      </c>
      <c r="G169" s="102">
        <f>ИД!H169</f>
        <v>0</v>
      </c>
      <c r="H169" s="152">
        <f>ИД!N169</f>
        <v>0</v>
      </c>
      <c r="I169" s="154">
        <f>ИД!T169</f>
        <v>0</v>
      </c>
      <c r="J169" s="154">
        <f>ИД!U169</f>
        <v>0</v>
      </c>
      <c r="K169" s="154">
        <f>ИД!V169</f>
        <v>0</v>
      </c>
      <c r="L169" s="154">
        <f>ИД!W169</f>
        <v>0</v>
      </c>
    </row>
    <row r="170" spans="1:12" ht="25" customHeight="1" x14ac:dyDescent="0.2">
      <c r="A170" s="102">
        <f>ИД!D170</f>
        <v>0</v>
      </c>
      <c r="B170" s="102">
        <f>ИД!E170</f>
        <v>0</v>
      </c>
      <c r="C170" s="102">
        <f>ИД!F170</f>
        <v>0</v>
      </c>
      <c r="D170" s="102">
        <f>ИД!G170</f>
        <v>0</v>
      </c>
      <c r="E170" s="102">
        <f>ИД!I170</f>
        <v>0</v>
      </c>
      <c r="F170" s="148">
        <f>ИД!L170</f>
        <v>0</v>
      </c>
      <c r="G170" s="102">
        <f>ИД!H170</f>
        <v>0</v>
      </c>
      <c r="H170" s="152">
        <f>ИД!N170</f>
        <v>0</v>
      </c>
      <c r="I170" s="154">
        <f>ИД!T170</f>
        <v>0</v>
      </c>
      <c r="J170" s="154">
        <f>ИД!U170</f>
        <v>0</v>
      </c>
      <c r="K170" s="154">
        <f>ИД!V170</f>
        <v>0</v>
      </c>
      <c r="L170" s="154">
        <f>ИД!W170</f>
        <v>0</v>
      </c>
    </row>
    <row r="171" spans="1:12" ht="25" customHeight="1" x14ac:dyDescent="0.2">
      <c r="A171" s="102">
        <f>ИД!D171</f>
        <v>0</v>
      </c>
      <c r="B171" s="102">
        <f>ИД!E171</f>
        <v>0</v>
      </c>
      <c r="C171" s="102">
        <f>ИД!F171</f>
        <v>0</v>
      </c>
      <c r="D171" s="102">
        <f>ИД!G171</f>
        <v>0</v>
      </c>
      <c r="E171" s="102">
        <f>ИД!I171</f>
        <v>0</v>
      </c>
      <c r="F171" s="148">
        <f>ИД!L171</f>
        <v>0</v>
      </c>
      <c r="G171" s="102">
        <f>ИД!H171</f>
        <v>0</v>
      </c>
      <c r="H171" s="152">
        <f>ИД!N171</f>
        <v>0</v>
      </c>
      <c r="I171" s="154">
        <f>ИД!T171</f>
        <v>0</v>
      </c>
      <c r="J171" s="154">
        <f>ИД!U171</f>
        <v>0</v>
      </c>
      <c r="K171" s="154">
        <f>ИД!V171</f>
        <v>0</v>
      </c>
      <c r="L171" s="154">
        <f>ИД!W171</f>
        <v>0</v>
      </c>
    </row>
    <row r="172" spans="1:12" ht="25" customHeight="1" x14ac:dyDescent="0.2">
      <c r="A172" s="102">
        <f>ИД!D172</f>
        <v>0</v>
      </c>
      <c r="B172" s="102">
        <f>ИД!E172</f>
        <v>0</v>
      </c>
      <c r="C172" s="102">
        <f>ИД!F172</f>
        <v>0</v>
      </c>
      <c r="D172" s="102">
        <f>ИД!G172</f>
        <v>0</v>
      </c>
      <c r="E172" s="102">
        <f>ИД!I172</f>
        <v>0</v>
      </c>
      <c r="F172" s="148">
        <f>ИД!L172</f>
        <v>0</v>
      </c>
      <c r="G172" s="102">
        <f>ИД!H172</f>
        <v>0</v>
      </c>
      <c r="H172" s="152">
        <f>ИД!N172</f>
        <v>0</v>
      </c>
      <c r="I172" s="154">
        <f>ИД!T172</f>
        <v>0</v>
      </c>
      <c r="J172" s="154">
        <f>ИД!U172</f>
        <v>0</v>
      </c>
      <c r="K172" s="154">
        <f>ИД!V172</f>
        <v>0</v>
      </c>
      <c r="L172" s="154">
        <f>ИД!W172</f>
        <v>0</v>
      </c>
    </row>
    <row r="173" spans="1:12" ht="25" customHeight="1" x14ac:dyDescent="0.2">
      <c r="A173" s="102">
        <f>ИД!D173</f>
        <v>0</v>
      </c>
      <c r="B173" s="102">
        <f>ИД!E173</f>
        <v>0</v>
      </c>
      <c r="C173" s="102">
        <f>ИД!F173</f>
        <v>0</v>
      </c>
      <c r="D173" s="102">
        <f>ИД!G173</f>
        <v>0</v>
      </c>
      <c r="E173" s="102">
        <f>ИД!I173</f>
        <v>0</v>
      </c>
      <c r="F173" s="148">
        <f>ИД!L173</f>
        <v>0</v>
      </c>
      <c r="G173" s="102">
        <f>ИД!H173</f>
        <v>0</v>
      </c>
      <c r="H173" s="152">
        <f>ИД!N173</f>
        <v>0</v>
      </c>
      <c r="I173" s="154">
        <f>ИД!T173</f>
        <v>0</v>
      </c>
      <c r="J173" s="154">
        <f>ИД!U173</f>
        <v>0</v>
      </c>
      <c r="K173" s="154">
        <f>ИД!V173</f>
        <v>0</v>
      </c>
      <c r="L173" s="154">
        <f>ИД!W173</f>
        <v>0</v>
      </c>
    </row>
    <row r="174" spans="1:12" ht="25" customHeight="1" x14ac:dyDescent="0.2">
      <c r="A174" s="102">
        <f>ИД!D174</f>
        <v>0</v>
      </c>
      <c r="B174" s="102">
        <f>ИД!E174</f>
        <v>0</v>
      </c>
      <c r="C174" s="102">
        <f>ИД!F174</f>
        <v>0</v>
      </c>
      <c r="D174" s="102">
        <f>ИД!G174</f>
        <v>0</v>
      </c>
      <c r="E174" s="102">
        <f>ИД!I174</f>
        <v>0</v>
      </c>
      <c r="F174" s="148">
        <f>ИД!L174</f>
        <v>0</v>
      </c>
      <c r="G174" s="102">
        <f>ИД!H174</f>
        <v>0</v>
      </c>
      <c r="H174" s="152">
        <f>ИД!N174</f>
        <v>0</v>
      </c>
      <c r="I174" s="154">
        <f>ИД!T174</f>
        <v>0</v>
      </c>
      <c r="J174" s="154">
        <f>ИД!U174</f>
        <v>0</v>
      </c>
      <c r="K174" s="154">
        <f>ИД!V174</f>
        <v>0</v>
      </c>
      <c r="L174" s="154">
        <f>ИД!W174</f>
        <v>0</v>
      </c>
    </row>
    <row r="175" spans="1:12" ht="25" customHeight="1" x14ac:dyDescent="0.2">
      <c r="A175" s="102">
        <f>ИД!D175</f>
        <v>0</v>
      </c>
      <c r="B175" s="102">
        <f>ИД!E175</f>
        <v>0</v>
      </c>
      <c r="C175" s="102">
        <f>ИД!F175</f>
        <v>0</v>
      </c>
      <c r="D175" s="102">
        <f>ИД!G175</f>
        <v>0</v>
      </c>
      <c r="E175" s="102">
        <f>ИД!I175</f>
        <v>0</v>
      </c>
      <c r="F175" s="148">
        <f>ИД!L175</f>
        <v>0</v>
      </c>
      <c r="G175" s="102">
        <f>ИД!H175</f>
        <v>0</v>
      </c>
      <c r="H175" s="152">
        <f>ИД!N175</f>
        <v>0</v>
      </c>
      <c r="I175" s="154">
        <f>ИД!T175</f>
        <v>0</v>
      </c>
      <c r="J175" s="154">
        <f>ИД!U175</f>
        <v>0</v>
      </c>
      <c r="K175" s="154">
        <f>ИД!V175</f>
        <v>0</v>
      </c>
      <c r="L175" s="154">
        <f>ИД!W175</f>
        <v>0</v>
      </c>
    </row>
    <row r="176" spans="1:12" ht="25" customHeight="1" x14ac:dyDescent="0.2">
      <c r="A176" s="102">
        <f>ИД!D176</f>
        <v>0</v>
      </c>
      <c r="B176" s="102">
        <f>ИД!E176</f>
        <v>0</v>
      </c>
      <c r="C176" s="102">
        <f>ИД!F176</f>
        <v>0</v>
      </c>
      <c r="D176" s="102">
        <f>ИД!G176</f>
        <v>0</v>
      </c>
      <c r="E176" s="102">
        <f>ИД!I176</f>
        <v>0</v>
      </c>
      <c r="F176" s="148">
        <f>ИД!L176</f>
        <v>0</v>
      </c>
      <c r="G176" s="102">
        <f>ИД!H176</f>
        <v>0</v>
      </c>
      <c r="H176" s="152">
        <f>ИД!N176</f>
        <v>0</v>
      </c>
      <c r="I176" s="154">
        <f>ИД!T176</f>
        <v>0</v>
      </c>
      <c r="J176" s="154">
        <f>ИД!U176</f>
        <v>0</v>
      </c>
      <c r="K176" s="154">
        <f>ИД!V176</f>
        <v>0</v>
      </c>
      <c r="L176" s="154">
        <f>ИД!W176</f>
        <v>0</v>
      </c>
    </row>
    <row r="177" spans="1:12" ht="25" customHeight="1" x14ac:dyDescent="0.2">
      <c r="A177" s="102">
        <f>ИД!D177</f>
        <v>0</v>
      </c>
      <c r="B177" s="102">
        <f>ИД!E177</f>
        <v>0</v>
      </c>
      <c r="C177" s="102">
        <f>ИД!F177</f>
        <v>0</v>
      </c>
      <c r="D177" s="102">
        <f>ИД!G177</f>
        <v>0</v>
      </c>
      <c r="E177" s="102">
        <f>ИД!I177</f>
        <v>0</v>
      </c>
      <c r="F177" s="148">
        <f>ИД!L177</f>
        <v>0</v>
      </c>
      <c r="G177" s="102">
        <f>ИД!H177</f>
        <v>0</v>
      </c>
      <c r="H177" s="152">
        <f>ИД!N177</f>
        <v>0</v>
      </c>
      <c r="I177" s="154">
        <f>ИД!T177</f>
        <v>0</v>
      </c>
      <c r="J177" s="154">
        <f>ИД!U177</f>
        <v>0</v>
      </c>
      <c r="K177" s="154">
        <f>ИД!V177</f>
        <v>0</v>
      </c>
      <c r="L177" s="154">
        <f>ИД!W177</f>
        <v>0</v>
      </c>
    </row>
    <row r="178" spans="1:12" ht="25" customHeight="1" x14ac:dyDescent="0.2">
      <c r="A178" s="102">
        <f>ИД!D178</f>
        <v>0</v>
      </c>
      <c r="B178" s="102">
        <f>ИД!E178</f>
        <v>0</v>
      </c>
      <c r="C178" s="102">
        <f>ИД!F178</f>
        <v>0</v>
      </c>
      <c r="D178" s="102">
        <f>ИД!G178</f>
        <v>0</v>
      </c>
      <c r="E178" s="102">
        <f>ИД!I178</f>
        <v>0</v>
      </c>
      <c r="F178" s="148">
        <f>ИД!L178</f>
        <v>0</v>
      </c>
      <c r="G178" s="102">
        <f>ИД!H178</f>
        <v>0</v>
      </c>
      <c r="H178" s="152">
        <f>ИД!N178</f>
        <v>0</v>
      </c>
      <c r="I178" s="154">
        <f>ИД!T178</f>
        <v>0</v>
      </c>
      <c r="J178" s="154">
        <f>ИД!U178</f>
        <v>0</v>
      </c>
      <c r="K178" s="154">
        <f>ИД!V178</f>
        <v>0</v>
      </c>
      <c r="L178" s="154">
        <f>ИД!W178</f>
        <v>0</v>
      </c>
    </row>
    <row r="179" spans="1:12" ht="25" customHeight="1" x14ac:dyDescent="0.2">
      <c r="A179" s="102">
        <f>ИД!D179</f>
        <v>0</v>
      </c>
      <c r="B179" s="102">
        <f>ИД!E179</f>
        <v>0</v>
      </c>
      <c r="C179" s="102">
        <f>ИД!F179</f>
        <v>0</v>
      </c>
      <c r="D179" s="102">
        <f>ИД!G179</f>
        <v>0</v>
      </c>
      <c r="E179" s="102">
        <f>ИД!I179</f>
        <v>0</v>
      </c>
      <c r="F179" s="148">
        <f>ИД!L179</f>
        <v>0</v>
      </c>
      <c r="G179" s="102">
        <f>ИД!H179</f>
        <v>0</v>
      </c>
      <c r="H179" s="152">
        <f>ИД!N179</f>
        <v>0</v>
      </c>
      <c r="I179" s="154">
        <f>ИД!T179</f>
        <v>0</v>
      </c>
      <c r="J179" s="154">
        <f>ИД!U179</f>
        <v>0</v>
      </c>
      <c r="K179" s="154">
        <f>ИД!V179</f>
        <v>0</v>
      </c>
      <c r="L179" s="154">
        <f>ИД!W179</f>
        <v>0</v>
      </c>
    </row>
    <row r="180" spans="1:12" ht="25" customHeight="1" x14ac:dyDescent="0.2">
      <c r="A180" s="102">
        <f>ИД!D180</f>
        <v>0</v>
      </c>
      <c r="B180" s="102">
        <f>ИД!E180</f>
        <v>0</v>
      </c>
      <c r="C180" s="102">
        <f>ИД!F180</f>
        <v>0</v>
      </c>
      <c r="D180" s="102">
        <f>ИД!G180</f>
        <v>0</v>
      </c>
      <c r="E180" s="102">
        <f>ИД!I180</f>
        <v>0</v>
      </c>
      <c r="F180" s="148">
        <f>ИД!L180</f>
        <v>0</v>
      </c>
      <c r="G180" s="102">
        <f>ИД!H180</f>
        <v>0</v>
      </c>
      <c r="H180" s="152">
        <f>ИД!N180</f>
        <v>0</v>
      </c>
      <c r="I180" s="154">
        <f>ИД!T180</f>
        <v>0</v>
      </c>
      <c r="J180" s="154">
        <f>ИД!U180</f>
        <v>0</v>
      </c>
      <c r="K180" s="154">
        <f>ИД!V180</f>
        <v>0</v>
      </c>
      <c r="L180" s="154">
        <f>ИД!W180</f>
        <v>0</v>
      </c>
    </row>
    <row r="181" spans="1:12" ht="25" customHeight="1" x14ac:dyDescent="0.2">
      <c r="A181" s="102">
        <f>ИД!D181</f>
        <v>0</v>
      </c>
      <c r="B181" s="102">
        <f>ИД!E181</f>
        <v>0</v>
      </c>
      <c r="C181" s="102">
        <f>ИД!F181</f>
        <v>0</v>
      </c>
      <c r="D181" s="102">
        <f>ИД!G181</f>
        <v>0</v>
      </c>
      <c r="E181" s="102">
        <f>ИД!I181</f>
        <v>0</v>
      </c>
      <c r="F181" s="148">
        <f>ИД!L181</f>
        <v>0</v>
      </c>
      <c r="G181" s="102">
        <f>ИД!H181</f>
        <v>0</v>
      </c>
      <c r="H181" s="152">
        <f>ИД!N181</f>
        <v>0</v>
      </c>
      <c r="I181" s="154">
        <f>ИД!T181</f>
        <v>0</v>
      </c>
      <c r="J181" s="154">
        <f>ИД!U181</f>
        <v>0</v>
      </c>
      <c r="K181" s="154">
        <f>ИД!V181</f>
        <v>0</v>
      </c>
      <c r="L181" s="154">
        <f>ИД!W181</f>
        <v>0</v>
      </c>
    </row>
    <row r="182" spans="1:12" ht="25" customHeight="1" x14ac:dyDescent="0.2">
      <c r="A182" s="102">
        <f>ИД!D182</f>
        <v>0</v>
      </c>
      <c r="B182" s="102">
        <f>ИД!E182</f>
        <v>0</v>
      </c>
      <c r="C182" s="102">
        <f>ИД!F182</f>
        <v>0</v>
      </c>
      <c r="D182" s="102">
        <f>ИД!G182</f>
        <v>0</v>
      </c>
      <c r="E182" s="102">
        <f>ИД!I182</f>
        <v>0</v>
      </c>
      <c r="F182" s="148">
        <f>ИД!L182</f>
        <v>0</v>
      </c>
      <c r="G182" s="102">
        <f>ИД!H182</f>
        <v>0</v>
      </c>
      <c r="H182" s="152">
        <f>ИД!N182</f>
        <v>0</v>
      </c>
      <c r="I182" s="154">
        <f>ИД!T182</f>
        <v>0</v>
      </c>
      <c r="J182" s="154">
        <f>ИД!U182</f>
        <v>0</v>
      </c>
      <c r="K182" s="154">
        <f>ИД!V182</f>
        <v>0</v>
      </c>
      <c r="L182" s="154">
        <f>ИД!W182</f>
        <v>0</v>
      </c>
    </row>
    <row r="183" spans="1:12" ht="25" customHeight="1" x14ac:dyDescent="0.2">
      <c r="A183" s="102">
        <f>ИД!D183</f>
        <v>0</v>
      </c>
      <c r="B183" s="102">
        <f>ИД!E183</f>
        <v>0</v>
      </c>
      <c r="C183" s="102">
        <f>ИД!F183</f>
        <v>0</v>
      </c>
      <c r="D183" s="102">
        <f>ИД!G183</f>
        <v>0</v>
      </c>
      <c r="E183" s="102">
        <f>ИД!I183</f>
        <v>0</v>
      </c>
      <c r="F183" s="148">
        <f>ИД!L183</f>
        <v>0</v>
      </c>
      <c r="G183" s="102">
        <f>ИД!H183</f>
        <v>0</v>
      </c>
      <c r="H183" s="152">
        <f>ИД!N183</f>
        <v>0</v>
      </c>
      <c r="I183" s="154">
        <f>ИД!T183</f>
        <v>0</v>
      </c>
      <c r="J183" s="154">
        <f>ИД!U183</f>
        <v>0</v>
      </c>
      <c r="K183" s="154">
        <f>ИД!V183</f>
        <v>0</v>
      </c>
      <c r="L183" s="154">
        <f>ИД!W183</f>
        <v>0</v>
      </c>
    </row>
    <row r="184" spans="1:12" ht="25" customHeight="1" x14ac:dyDescent="0.2">
      <c r="A184" s="102">
        <f>ИД!D184</f>
        <v>0</v>
      </c>
      <c r="B184" s="102">
        <f>ИД!E184</f>
        <v>0</v>
      </c>
      <c r="C184" s="102">
        <f>ИД!F184</f>
        <v>0</v>
      </c>
      <c r="D184" s="102">
        <f>ИД!G184</f>
        <v>0</v>
      </c>
      <c r="E184" s="102">
        <f>ИД!I184</f>
        <v>0</v>
      </c>
      <c r="F184" s="148">
        <f>ИД!L184</f>
        <v>0</v>
      </c>
      <c r="G184" s="102">
        <f>ИД!H184</f>
        <v>0</v>
      </c>
      <c r="H184" s="152">
        <f>ИД!N184</f>
        <v>0</v>
      </c>
      <c r="I184" s="154">
        <f>ИД!T184</f>
        <v>0</v>
      </c>
      <c r="J184" s="154">
        <f>ИД!U184</f>
        <v>0</v>
      </c>
      <c r="K184" s="154">
        <f>ИД!V184</f>
        <v>0</v>
      </c>
      <c r="L184" s="154">
        <f>ИД!W184</f>
        <v>0</v>
      </c>
    </row>
    <row r="185" spans="1:12" ht="25" customHeight="1" x14ac:dyDescent="0.2">
      <c r="A185" s="102">
        <f>ИД!D185</f>
        <v>0</v>
      </c>
      <c r="B185" s="102">
        <f>ИД!E185</f>
        <v>0</v>
      </c>
      <c r="C185" s="102">
        <f>ИД!F185</f>
        <v>0</v>
      </c>
      <c r="D185" s="102">
        <f>ИД!G185</f>
        <v>0</v>
      </c>
      <c r="E185" s="102">
        <f>ИД!I185</f>
        <v>0</v>
      </c>
      <c r="F185" s="148">
        <f>ИД!L185</f>
        <v>0</v>
      </c>
      <c r="G185" s="102">
        <f>ИД!H185</f>
        <v>0</v>
      </c>
      <c r="H185" s="152">
        <f>ИД!N185</f>
        <v>0</v>
      </c>
      <c r="I185" s="154">
        <f>ИД!T185</f>
        <v>0</v>
      </c>
      <c r="J185" s="154">
        <f>ИД!U185</f>
        <v>0</v>
      </c>
      <c r="K185" s="154">
        <f>ИД!V185</f>
        <v>0</v>
      </c>
      <c r="L185" s="154">
        <f>ИД!W185</f>
        <v>0</v>
      </c>
    </row>
    <row r="186" spans="1:12" ht="25" customHeight="1" x14ac:dyDescent="0.2">
      <c r="A186" s="102">
        <f>ИД!D186</f>
        <v>0</v>
      </c>
      <c r="B186" s="102">
        <f>ИД!E186</f>
        <v>0</v>
      </c>
      <c r="C186" s="102">
        <f>ИД!F186</f>
        <v>0</v>
      </c>
      <c r="D186" s="102">
        <f>ИД!G186</f>
        <v>0</v>
      </c>
      <c r="E186" s="102">
        <f>ИД!I186</f>
        <v>0</v>
      </c>
      <c r="F186" s="148">
        <f>ИД!L186</f>
        <v>0</v>
      </c>
      <c r="G186" s="102">
        <f>ИД!H186</f>
        <v>0</v>
      </c>
      <c r="H186" s="152">
        <f>ИД!N186</f>
        <v>0</v>
      </c>
      <c r="I186" s="154">
        <f>ИД!T186</f>
        <v>0</v>
      </c>
      <c r="J186" s="154">
        <f>ИД!U186</f>
        <v>0</v>
      </c>
      <c r="K186" s="154">
        <f>ИД!V186</f>
        <v>0</v>
      </c>
      <c r="L186" s="154">
        <f>ИД!W186</f>
        <v>0</v>
      </c>
    </row>
    <row r="187" spans="1:12" ht="25" customHeight="1" x14ac:dyDescent="0.2">
      <c r="A187" s="102">
        <f>ИД!D187</f>
        <v>0</v>
      </c>
      <c r="B187" s="102">
        <f>ИД!E187</f>
        <v>0</v>
      </c>
      <c r="C187" s="102">
        <f>ИД!F187</f>
        <v>0</v>
      </c>
      <c r="D187" s="102">
        <f>ИД!G187</f>
        <v>0</v>
      </c>
      <c r="E187" s="102">
        <f>ИД!I187</f>
        <v>0</v>
      </c>
      <c r="F187" s="148">
        <f>ИД!L187</f>
        <v>0</v>
      </c>
      <c r="G187" s="102">
        <f>ИД!H187</f>
        <v>0</v>
      </c>
      <c r="H187" s="152">
        <f>ИД!N187</f>
        <v>0</v>
      </c>
      <c r="I187" s="154">
        <f>ИД!T187</f>
        <v>0</v>
      </c>
      <c r="J187" s="154">
        <f>ИД!U187</f>
        <v>0</v>
      </c>
      <c r="K187" s="154">
        <f>ИД!V187</f>
        <v>0</v>
      </c>
      <c r="L187" s="154">
        <f>ИД!W187</f>
        <v>0</v>
      </c>
    </row>
    <row r="188" spans="1:12" ht="25" customHeight="1" x14ac:dyDescent="0.2">
      <c r="A188" s="102">
        <f>ИД!D191</f>
        <v>0</v>
      </c>
      <c r="B188" s="102">
        <f>ИД!E191</f>
        <v>0</v>
      </c>
      <c r="C188" s="102">
        <f>ИД!F191</f>
        <v>0</v>
      </c>
      <c r="D188" s="102">
        <f>ИД!G191</f>
        <v>0</v>
      </c>
      <c r="E188" s="102">
        <f>ИД!I191</f>
        <v>0</v>
      </c>
      <c r="F188" s="148">
        <f>ИД!L191</f>
        <v>0</v>
      </c>
      <c r="G188" s="102">
        <f>ИД!H191</f>
        <v>0</v>
      </c>
      <c r="H188" s="152">
        <f>ИД!N191</f>
        <v>0</v>
      </c>
      <c r="I188" s="154">
        <f>ИД!T191</f>
        <v>0</v>
      </c>
      <c r="J188" s="154">
        <f>ИД!U191</f>
        <v>0</v>
      </c>
      <c r="K188" s="154">
        <f>ИД!V191</f>
        <v>0</v>
      </c>
      <c r="L188" s="154">
        <f>ИД!W191</f>
        <v>0</v>
      </c>
    </row>
    <row r="189" spans="1:12" ht="25" customHeight="1" x14ac:dyDescent="0.2">
      <c r="A189" s="102">
        <f>ИД!D192</f>
        <v>0</v>
      </c>
      <c r="B189" s="102">
        <f>ИД!E192</f>
        <v>0</v>
      </c>
      <c r="C189" s="102">
        <f>ИД!F192</f>
        <v>0</v>
      </c>
      <c r="D189" s="102">
        <f>ИД!G192</f>
        <v>0</v>
      </c>
      <c r="E189" s="102">
        <f>ИД!I192</f>
        <v>0</v>
      </c>
      <c r="F189" s="148">
        <f>ИД!L192</f>
        <v>0</v>
      </c>
      <c r="G189" s="102">
        <f>ИД!H192</f>
        <v>0</v>
      </c>
      <c r="H189" s="152">
        <f>ИД!N192</f>
        <v>0</v>
      </c>
      <c r="I189" s="154">
        <f>ИД!T192</f>
        <v>0</v>
      </c>
      <c r="J189" s="154">
        <f>ИД!U192</f>
        <v>0</v>
      </c>
      <c r="K189" s="154">
        <f>ИД!V192</f>
        <v>0</v>
      </c>
      <c r="L189" s="154">
        <f>ИД!W192</f>
        <v>0</v>
      </c>
    </row>
    <row r="190" spans="1:12" ht="25" customHeight="1" x14ac:dyDescent="0.2">
      <c r="A190" s="102">
        <f>ИД!D193</f>
        <v>0</v>
      </c>
      <c r="B190" s="102">
        <f>ИД!E193</f>
        <v>0</v>
      </c>
      <c r="C190" s="102">
        <f>ИД!F193</f>
        <v>0</v>
      </c>
      <c r="D190" s="102">
        <f>ИД!G193</f>
        <v>0</v>
      </c>
      <c r="E190" s="102">
        <f>ИД!I193</f>
        <v>0</v>
      </c>
      <c r="F190" s="148">
        <f>ИД!L193</f>
        <v>0</v>
      </c>
      <c r="G190" s="102">
        <f>ИД!H193</f>
        <v>0</v>
      </c>
      <c r="H190" s="152">
        <f>ИД!N193</f>
        <v>0</v>
      </c>
      <c r="I190" s="154">
        <f>ИД!T193</f>
        <v>0</v>
      </c>
      <c r="J190" s="154">
        <f>ИД!U193</f>
        <v>0</v>
      </c>
      <c r="K190" s="154">
        <f>ИД!V193</f>
        <v>0</v>
      </c>
      <c r="L190" s="154">
        <f>ИД!W193</f>
        <v>0</v>
      </c>
    </row>
    <row r="191" spans="1:12" ht="25" customHeight="1" x14ac:dyDescent="0.2">
      <c r="A191" s="102">
        <f>ИД!D194</f>
        <v>0</v>
      </c>
      <c r="B191" s="102">
        <f>ИД!E194</f>
        <v>0</v>
      </c>
      <c r="C191" s="102">
        <f>ИД!F194</f>
        <v>0</v>
      </c>
      <c r="D191" s="102">
        <f>ИД!G194</f>
        <v>0</v>
      </c>
      <c r="E191" s="102">
        <f>ИД!I194</f>
        <v>0</v>
      </c>
      <c r="F191" s="148">
        <f>ИД!L194</f>
        <v>0</v>
      </c>
      <c r="G191" s="102">
        <f>ИД!H194</f>
        <v>0</v>
      </c>
      <c r="H191" s="152">
        <f>ИД!N194</f>
        <v>0</v>
      </c>
      <c r="I191" s="154">
        <f>ИД!T194</f>
        <v>0</v>
      </c>
      <c r="J191" s="154">
        <f>ИД!U194</f>
        <v>0</v>
      </c>
      <c r="K191" s="154">
        <f>ИД!V194</f>
        <v>0</v>
      </c>
      <c r="L191" s="154">
        <f>ИД!W194</f>
        <v>0</v>
      </c>
    </row>
    <row r="192" spans="1:12" ht="25" customHeight="1" x14ac:dyDescent="0.2">
      <c r="A192" s="102">
        <f>ИД!D195</f>
        <v>0</v>
      </c>
      <c r="B192" s="102">
        <f>ИД!E195</f>
        <v>0</v>
      </c>
      <c r="C192" s="102">
        <f>ИД!F195</f>
        <v>0</v>
      </c>
      <c r="D192" s="102">
        <f>ИД!G195</f>
        <v>0</v>
      </c>
      <c r="E192" s="102">
        <f>ИД!I195</f>
        <v>0</v>
      </c>
      <c r="F192" s="148">
        <f>ИД!L195</f>
        <v>0</v>
      </c>
      <c r="G192" s="102">
        <f>ИД!H195</f>
        <v>0</v>
      </c>
      <c r="H192" s="152">
        <f>ИД!N195</f>
        <v>0</v>
      </c>
      <c r="I192" s="154">
        <f>ИД!T195</f>
        <v>0</v>
      </c>
      <c r="J192" s="154">
        <f>ИД!U195</f>
        <v>0</v>
      </c>
      <c r="K192" s="154">
        <f>ИД!V195</f>
        <v>0</v>
      </c>
      <c r="L192" s="154">
        <f>ИД!W195</f>
        <v>0</v>
      </c>
    </row>
    <row r="193" spans="1:12" ht="25" customHeight="1" x14ac:dyDescent="0.2">
      <c r="A193" s="102">
        <f>ИД!D196</f>
        <v>0</v>
      </c>
      <c r="B193" s="102">
        <f>ИД!E196</f>
        <v>0</v>
      </c>
      <c r="C193" s="102">
        <f>ИД!F196</f>
        <v>0</v>
      </c>
      <c r="D193" s="102">
        <f>ИД!G196</f>
        <v>0</v>
      </c>
      <c r="E193" s="102">
        <f>ИД!I196</f>
        <v>0</v>
      </c>
      <c r="F193" s="148">
        <f>ИД!L196</f>
        <v>0</v>
      </c>
      <c r="G193" s="102">
        <f>ИД!H196</f>
        <v>0</v>
      </c>
      <c r="H193" s="152">
        <f>ИД!N196</f>
        <v>0</v>
      </c>
      <c r="I193" s="154">
        <f>ИД!T196</f>
        <v>0</v>
      </c>
      <c r="J193" s="154">
        <f>ИД!U196</f>
        <v>0</v>
      </c>
      <c r="K193" s="154">
        <f>ИД!V196</f>
        <v>0</v>
      </c>
      <c r="L193" s="154">
        <f>ИД!W196</f>
        <v>0</v>
      </c>
    </row>
    <row r="194" spans="1:12" ht="25" customHeight="1" x14ac:dyDescent="0.2">
      <c r="A194" s="102">
        <f>ИД!D197</f>
        <v>0</v>
      </c>
      <c r="B194" s="102">
        <f>ИД!E197</f>
        <v>0</v>
      </c>
      <c r="C194" s="102">
        <f>ИД!F197</f>
        <v>0</v>
      </c>
      <c r="D194" s="102">
        <f>ИД!G197</f>
        <v>0</v>
      </c>
      <c r="E194" s="102">
        <f>ИД!I197</f>
        <v>0</v>
      </c>
      <c r="F194" s="148">
        <f>ИД!L197</f>
        <v>0</v>
      </c>
      <c r="G194" s="102">
        <f>ИД!H197</f>
        <v>0</v>
      </c>
      <c r="H194" s="152">
        <f>ИД!N197</f>
        <v>0</v>
      </c>
      <c r="I194" s="154">
        <f>ИД!T197</f>
        <v>0</v>
      </c>
      <c r="J194" s="154">
        <f>ИД!U197</f>
        <v>0</v>
      </c>
      <c r="K194" s="154">
        <f>ИД!V197</f>
        <v>0</v>
      </c>
      <c r="L194" s="154">
        <f>ИД!W197</f>
        <v>0</v>
      </c>
    </row>
    <row r="195" spans="1:12" ht="25" customHeight="1" x14ac:dyDescent="0.2">
      <c r="A195" s="102">
        <f>ИД!D198</f>
        <v>0</v>
      </c>
      <c r="B195" s="102">
        <f>ИД!E198</f>
        <v>0</v>
      </c>
      <c r="C195" s="102">
        <f>ИД!F198</f>
        <v>0</v>
      </c>
      <c r="D195" s="102">
        <f>ИД!G198</f>
        <v>0</v>
      </c>
      <c r="E195" s="102">
        <f>ИД!I198</f>
        <v>0</v>
      </c>
      <c r="F195" s="148">
        <f>ИД!L198</f>
        <v>0</v>
      </c>
      <c r="G195" s="102">
        <f>ИД!H198</f>
        <v>0</v>
      </c>
      <c r="H195" s="152">
        <f>ИД!N198</f>
        <v>0</v>
      </c>
      <c r="I195" s="154">
        <f>ИД!T198</f>
        <v>0</v>
      </c>
      <c r="J195" s="154">
        <f>ИД!U198</f>
        <v>0</v>
      </c>
      <c r="K195" s="154">
        <f>ИД!V198</f>
        <v>0</v>
      </c>
      <c r="L195" s="154">
        <f>ИД!W198</f>
        <v>0</v>
      </c>
    </row>
    <row r="196" spans="1:12" ht="25" customHeight="1" x14ac:dyDescent="0.2">
      <c r="A196" s="102">
        <f>ИД!D199</f>
        <v>0</v>
      </c>
      <c r="B196" s="102">
        <f>ИД!E199</f>
        <v>0</v>
      </c>
      <c r="C196" s="102">
        <f>ИД!F199</f>
        <v>0</v>
      </c>
      <c r="D196" s="102">
        <f>ИД!G199</f>
        <v>0</v>
      </c>
      <c r="E196" s="102">
        <f>ИД!I199</f>
        <v>0</v>
      </c>
      <c r="F196" s="148">
        <f>ИД!L199</f>
        <v>0</v>
      </c>
      <c r="G196" s="102">
        <f>ИД!H199</f>
        <v>0</v>
      </c>
      <c r="H196" s="152">
        <f>ИД!N199</f>
        <v>0</v>
      </c>
      <c r="I196" s="154">
        <f>ИД!T199</f>
        <v>0</v>
      </c>
      <c r="J196" s="154">
        <f>ИД!U199</f>
        <v>0</v>
      </c>
      <c r="K196" s="154">
        <f>ИД!V199</f>
        <v>0</v>
      </c>
      <c r="L196" s="154">
        <f>ИД!W199</f>
        <v>0</v>
      </c>
    </row>
    <row r="197" spans="1:12" ht="25" customHeight="1" x14ac:dyDescent="0.2">
      <c r="A197" s="102">
        <f>ИД!D200</f>
        <v>0</v>
      </c>
      <c r="B197" s="102">
        <f>ИД!E200</f>
        <v>0</v>
      </c>
      <c r="C197" s="102">
        <f>ИД!F200</f>
        <v>0</v>
      </c>
      <c r="D197" s="102">
        <f>ИД!G200</f>
        <v>0</v>
      </c>
      <c r="E197" s="102">
        <f>ИД!I200</f>
        <v>0</v>
      </c>
      <c r="F197" s="148">
        <f>ИД!L200</f>
        <v>0</v>
      </c>
      <c r="G197" s="102">
        <f>ИД!H200</f>
        <v>0</v>
      </c>
      <c r="H197" s="152">
        <f>ИД!N200</f>
        <v>0</v>
      </c>
      <c r="I197" s="154">
        <f>ИД!T200</f>
        <v>0</v>
      </c>
      <c r="J197" s="154">
        <f>ИД!U200</f>
        <v>0</v>
      </c>
      <c r="K197" s="154">
        <f>ИД!V200</f>
        <v>0</v>
      </c>
      <c r="L197" s="154">
        <f>ИД!W200</f>
        <v>0</v>
      </c>
    </row>
    <row r="198" spans="1:12" ht="25" customHeight="1" x14ac:dyDescent="0.2">
      <c r="A198" s="102">
        <f>ИД!D201</f>
        <v>0</v>
      </c>
      <c r="B198" s="102">
        <f>ИД!E201</f>
        <v>0</v>
      </c>
      <c r="C198" s="102">
        <f>ИД!F201</f>
        <v>0</v>
      </c>
      <c r="D198" s="102">
        <f>ИД!G201</f>
        <v>0</v>
      </c>
      <c r="E198" s="102">
        <f>ИД!I201</f>
        <v>0</v>
      </c>
      <c r="F198" s="148">
        <f>ИД!L201</f>
        <v>0</v>
      </c>
      <c r="G198" s="102">
        <f>ИД!H201</f>
        <v>0</v>
      </c>
      <c r="H198" s="152">
        <f>ИД!N201</f>
        <v>0</v>
      </c>
      <c r="I198" s="154">
        <f>ИД!T201</f>
        <v>0</v>
      </c>
      <c r="J198" s="154">
        <f>ИД!U201</f>
        <v>0</v>
      </c>
      <c r="K198" s="154">
        <f>ИД!V201</f>
        <v>0</v>
      </c>
      <c r="L198" s="154">
        <f>ИД!W201</f>
        <v>0</v>
      </c>
    </row>
    <row r="199" spans="1:12" ht="25" customHeight="1" x14ac:dyDescent="0.2">
      <c r="A199" s="102">
        <f>ИД!D202</f>
        <v>0</v>
      </c>
      <c r="B199" s="102">
        <f>ИД!E202</f>
        <v>0</v>
      </c>
      <c r="C199" s="102">
        <f>ИД!F202</f>
        <v>0</v>
      </c>
      <c r="D199" s="102">
        <f>ИД!G202</f>
        <v>0</v>
      </c>
      <c r="E199" s="102">
        <f>ИД!I202</f>
        <v>0</v>
      </c>
      <c r="F199" s="148">
        <f>ИД!L202</f>
        <v>0</v>
      </c>
      <c r="G199" s="102">
        <f>ИД!H202</f>
        <v>0</v>
      </c>
      <c r="H199" s="152">
        <f>ИД!N202</f>
        <v>0</v>
      </c>
      <c r="I199" s="154">
        <f>ИД!T202</f>
        <v>0</v>
      </c>
      <c r="J199" s="154">
        <f>ИД!U202</f>
        <v>0</v>
      </c>
      <c r="K199" s="154">
        <f>ИД!V202</f>
        <v>0</v>
      </c>
      <c r="L199" s="154">
        <f>ИД!W202</f>
        <v>0</v>
      </c>
    </row>
    <row r="200" spans="1:12" ht="25" customHeight="1" x14ac:dyDescent="0.2">
      <c r="A200" s="102">
        <f>ИД!D203</f>
        <v>0</v>
      </c>
      <c r="B200" s="102">
        <f>ИД!E203</f>
        <v>0</v>
      </c>
      <c r="C200" s="102">
        <f>ИД!F203</f>
        <v>0</v>
      </c>
      <c r="D200" s="102">
        <f>ИД!G203</f>
        <v>0</v>
      </c>
      <c r="E200" s="102">
        <f>ИД!I203</f>
        <v>0</v>
      </c>
      <c r="F200" s="148">
        <f>ИД!L203</f>
        <v>0</v>
      </c>
      <c r="G200" s="102">
        <f>ИД!H203</f>
        <v>0</v>
      </c>
      <c r="H200" s="152">
        <f>ИД!N203</f>
        <v>0</v>
      </c>
      <c r="I200" s="154">
        <f>ИД!T203</f>
        <v>0</v>
      </c>
      <c r="J200" s="154">
        <f>ИД!U203</f>
        <v>0</v>
      </c>
      <c r="K200" s="154">
        <f>ИД!V203</f>
        <v>0</v>
      </c>
      <c r="L200" s="154">
        <f>ИД!W203</f>
        <v>0</v>
      </c>
    </row>
    <row r="201" spans="1:12" ht="25" customHeight="1" x14ac:dyDescent="0.2">
      <c r="A201" s="102">
        <f>ИД!D204</f>
        <v>0</v>
      </c>
      <c r="B201" s="102">
        <f>ИД!E204</f>
        <v>0</v>
      </c>
      <c r="C201" s="102">
        <f>ИД!F204</f>
        <v>0</v>
      </c>
      <c r="D201" s="102">
        <f>ИД!G204</f>
        <v>0</v>
      </c>
      <c r="E201" s="102">
        <f>ИД!I204</f>
        <v>0</v>
      </c>
      <c r="F201" s="148">
        <f>ИД!L204</f>
        <v>0</v>
      </c>
      <c r="G201" s="102">
        <f>ИД!H204</f>
        <v>0</v>
      </c>
      <c r="H201" s="152">
        <f>ИД!N204</f>
        <v>0</v>
      </c>
      <c r="I201" s="154">
        <f>ИД!T204</f>
        <v>0</v>
      </c>
      <c r="J201" s="154">
        <f>ИД!U204</f>
        <v>0</v>
      </c>
      <c r="K201" s="154">
        <f>ИД!V204</f>
        <v>0</v>
      </c>
      <c r="L201" s="154">
        <f>ИД!W204</f>
        <v>0</v>
      </c>
    </row>
    <row r="202" spans="1:12" ht="25" customHeight="1" x14ac:dyDescent="0.2">
      <c r="A202" s="102">
        <f>ИД!D205</f>
        <v>0</v>
      </c>
      <c r="B202" s="102">
        <f>ИД!E205</f>
        <v>0</v>
      </c>
      <c r="C202" s="102">
        <f>ИД!F205</f>
        <v>0</v>
      </c>
      <c r="D202" s="102">
        <f>ИД!G205</f>
        <v>0</v>
      </c>
      <c r="E202" s="102">
        <f>ИД!I205</f>
        <v>0</v>
      </c>
      <c r="F202" s="148">
        <f>ИД!L205</f>
        <v>0</v>
      </c>
      <c r="G202" s="102">
        <f>ИД!H205</f>
        <v>0</v>
      </c>
      <c r="H202" s="152">
        <f>ИД!N205</f>
        <v>0</v>
      </c>
      <c r="I202" s="154">
        <f>ИД!T205</f>
        <v>0</v>
      </c>
      <c r="J202" s="154">
        <f>ИД!U205</f>
        <v>0</v>
      </c>
      <c r="K202" s="154">
        <f>ИД!V205</f>
        <v>0</v>
      </c>
      <c r="L202" s="154">
        <f>ИД!W205</f>
        <v>0</v>
      </c>
    </row>
    <row r="203" spans="1:12" ht="25" customHeight="1" x14ac:dyDescent="0.2">
      <c r="A203" s="102">
        <f>ИД!D206</f>
        <v>0</v>
      </c>
      <c r="B203" s="102">
        <f>ИД!E206</f>
        <v>0</v>
      </c>
      <c r="C203" s="102">
        <f>ИД!F206</f>
        <v>0</v>
      </c>
      <c r="D203" s="102">
        <f>ИД!G206</f>
        <v>0</v>
      </c>
      <c r="E203" s="102">
        <f>ИД!I206</f>
        <v>0</v>
      </c>
      <c r="F203" s="148">
        <f>ИД!L206</f>
        <v>0</v>
      </c>
      <c r="G203" s="102">
        <f>ИД!H206</f>
        <v>0</v>
      </c>
      <c r="H203" s="152">
        <f>ИД!N206</f>
        <v>0</v>
      </c>
      <c r="I203" s="154">
        <f>ИД!T206</f>
        <v>0</v>
      </c>
      <c r="J203" s="154">
        <f>ИД!U206</f>
        <v>0</v>
      </c>
      <c r="K203" s="154">
        <f>ИД!V206</f>
        <v>0</v>
      </c>
      <c r="L203" s="154">
        <f>ИД!W206</f>
        <v>0</v>
      </c>
    </row>
    <row r="204" spans="1:12" ht="25" customHeight="1" x14ac:dyDescent="0.2">
      <c r="A204" s="102">
        <f>ИД!D207</f>
        <v>0</v>
      </c>
      <c r="B204" s="102">
        <f>ИД!E207</f>
        <v>0</v>
      </c>
      <c r="C204" s="102">
        <f>ИД!F207</f>
        <v>0</v>
      </c>
      <c r="D204" s="102">
        <f>ИД!G207</f>
        <v>0</v>
      </c>
      <c r="E204" s="102">
        <f>ИД!I207</f>
        <v>0</v>
      </c>
      <c r="F204" s="148">
        <f>ИД!L207</f>
        <v>0</v>
      </c>
      <c r="G204" s="102">
        <f>ИД!H207</f>
        <v>0</v>
      </c>
      <c r="H204" s="152">
        <f>ИД!N207</f>
        <v>0</v>
      </c>
      <c r="I204" s="154">
        <f>ИД!T207</f>
        <v>0</v>
      </c>
      <c r="J204" s="154">
        <f>ИД!U207</f>
        <v>0</v>
      </c>
      <c r="K204" s="154">
        <f>ИД!V207</f>
        <v>0</v>
      </c>
      <c r="L204" s="154">
        <f>ИД!W207</f>
        <v>0</v>
      </c>
    </row>
    <row r="205" spans="1:12" ht="25" customHeight="1" x14ac:dyDescent="0.2">
      <c r="A205" s="102">
        <f>ИД!D208</f>
        <v>0</v>
      </c>
      <c r="B205" s="102">
        <f>ИД!E208</f>
        <v>0</v>
      </c>
      <c r="C205" s="102">
        <f>ИД!F208</f>
        <v>0</v>
      </c>
      <c r="D205" s="102">
        <f>ИД!G208</f>
        <v>0</v>
      </c>
      <c r="E205" s="102">
        <f>ИД!I208</f>
        <v>0</v>
      </c>
      <c r="F205" s="148">
        <f>ИД!L208</f>
        <v>0</v>
      </c>
      <c r="G205" s="102">
        <f>ИД!H208</f>
        <v>0</v>
      </c>
      <c r="H205" s="152">
        <f>ИД!N208</f>
        <v>0</v>
      </c>
      <c r="I205" s="154">
        <f>ИД!T208</f>
        <v>0</v>
      </c>
      <c r="J205" s="154">
        <f>ИД!U208</f>
        <v>0</v>
      </c>
      <c r="K205" s="154">
        <f>ИД!V208</f>
        <v>0</v>
      </c>
      <c r="L205" s="154">
        <f>ИД!W208</f>
        <v>0</v>
      </c>
    </row>
    <row r="206" spans="1:12" ht="25" customHeight="1" x14ac:dyDescent="0.2">
      <c r="A206" s="102">
        <f>ИД!D209</f>
        <v>0</v>
      </c>
      <c r="B206" s="102">
        <f>ИД!E209</f>
        <v>0</v>
      </c>
      <c r="C206" s="102">
        <f>ИД!F209</f>
        <v>0</v>
      </c>
      <c r="D206" s="102">
        <f>ИД!G209</f>
        <v>0</v>
      </c>
      <c r="E206" s="102">
        <f>ИД!I209</f>
        <v>0</v>
      </c>
      <c r="F206" s="148">
        <f>ИД!L209</f>
        <v>0</v>
      </c>
      <c r="G206" s="102">
        <f>ИД!H209</f>
        <v>0</v>
      </c>
      <c r="H206" s="152">
        <f>ИД!N209</f>
        <v>0</v>
      </c>
      <c r="I206" s="154">
        <f>ИД!T209</f>
        <v>0</v>
      </c>
      <c r="J206" s="154">
        <f>ИД!U209</f>
        <v>0</v>
      </c>
      <c r="K206" s="154">
        <f>ИД!V209</f>
        <v>0</v>
      </c>
      <c r="L206" s="154">
        <f>ИД!W209</f>
        <v>0</v>
      </c>
    </row>
  </sheetData>
  <autoFilter ref="A1:G206" xr:uid="{00000000-0009-0000-0000-000002000000}"/>
  <conditionalFormatting sqref="I2:L206">
    <cfRule type="cellIs" dxfId="118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3">
    <tabColor theme="9" tint="-0.249977111117893"/>
  </sheetPr>
  <dimension ref="A1:BF15"/>
  <sheetViews>
    <sheetView topLeftCell="H1" zoomScale="70" zoomScaleNormal="70" workbookViewId="0">
      <selection activeCell="B13" sqref="B13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9.1640625" style="28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customWidth="1" outlineLevel="1"/>
    <col min="15" max="15" width="35.5" style="28" customWidth="1" outlineLevel="1"/>
    <col min="16" max="21" width="14.33203125" style="28" customWidth="1" outlineLevel="1"/>
    <col min="22" max="22" width="9.83203125" style="28" customWidth="1" outlineLevel="1"/>
    <col min="23" max="37" width="14.33203125" style="28" customWidth="1" outlineLevel="1"/>
    <col min="38" max="38" width="14.33203125" style="28" customWidth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19.1640625" style="28" customWidth="1"/>
    <col min="49" max="49" width="7.5" style="28" customWidth="1"/>
    <col min="50" max="50" width="9.1640625" style="28"/>
    <col min="51" max="51" width="27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270</v>
      </c>
      <c r="C1" s="48" t="str">
        <f>VLOOKUP(B1,ИД!D2:R140,2,FALSE)</f>
        <v>А-380 «Гузор-Бухоро-Нукус-Бейнеу»   км 565+929 - км 690+658</v>
      </c>
      <c r="D1" s="50"/>
      <c r="E1" s="49"/>
      <c r="O1" s="28" t="str">
        <f>TRIM(RIGHT(SUBSTITUTE(E3,",",REPT(" ",5)),5))</f>
        <v>III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федеральной</v>
      </c>
      <c r="C2" s="232" t="s">
        <v>82</v>
      </c>
      <c r="D2" s="232"/>
      <c r="E2" s="39" t="s">
        <v>161</v>
      </c>
      <c r="F2" s="37"/>
      <c r="G2" s="235" t="s">
        <v>85</v>
      </c>
      <c r="H2" s="235"/>
      <c r="I2" s="235"/>
      <c r="J2" s="235"/>
      <c r="K2" s="236">
        <f>ROUND(SUM(Таблица4383232[Б*l])/(SUM(Таблица4383232[Прот])-$E$4),1)</f>
        <v>4.2</v>
      </c>
      <c r="L2" s="236"/>
      <c r="N2" s="38">
        <f>VLOOKUP(B1,ИД!D2:R140,12,FALSE)</f>
        <v>1</v>
      </c>
      <c r="O2" s="28" t="str">
        <f>LOWER(LEFT(C1,1))&amp;RIGHT(C1,LEN(C1)-1)</f>
        <v>а-380 «Гузор-Бухоро-Нукус-Бейнеу»   км 565+929 - км 690+658</v>
      </c>
      <c r="AM2" s="231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4,2, средневзвешенного коэффициента прочности – 0,92. 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N2" s="231"/>
      <c r="AO2" s="231"/>
    </row>
    <row r="3" spans="1:58" ht="46.25" customHeight="1" x14ac:dyDescent="0.3">
      <c r="B3" s="100" t="s">
        <v>136</v>
      </c>
      <c r="C3" s="237" t="s">
        <v>83</v>
      </c>
      <c r="D3" s="237"/>
      <c r="E3" s="151" t="str">
        <f>VLOOKUP(B1,ИД!D2:R140,3,FALSE)</f>
        <v>III</v>
      </c>
      <c r="G3" s="233" t="s">
        <v>90</v>
      </c>
      <c r="H3" s="233"/>
      <c r="I3" s="233"/>
      <c r="J3" s="233"/>
      <c r="K3" s="238">
        <f>SUM(Таблица4383232[Прот])</f>
        <v>25.272999999999996</v>
      </c>
      <c r="L3" s="238"/>
      <c r="N3" s="38">
        <f>VLOOKUP(O1,Лист1!A63:C68,2,FALSE)</f>
        <v>0.83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M3" s="231"/>
      <c r="AN3" s="231"/>
      <c r="AO3" s="231"/>
      <c r="AU3" s="72" t="s">
        <v>135</v>
      </c>
    </row>
    <row r="4" spans="1:58" ht="26" x14ac:dyDescent="0.3">
      <c r="B4" s="100">
        <f>VLOOKUP(B1,ИД!D2:R140,9,FALSE)</f>
        <v>122.20000000000002</v>
      </c>
      <c r="C4" s="232" t="s">
        <v>86</v>
      </c>
      <c r="D4" s="232"/>
      <c r="E4" s="39">
        <v>0</v>
      </c>
      <c r="G4" s="233" t="s">
        <v>120</v>
      </c>
      <c r="H4" s="233"/>
      <c r="I4" s="233"/>
      <c r="J4" s="233"/>
      <c r="K4" s="234">
        <f>ROUND(0.5+K2/10,2)</f>
        <v>0.92</v>
      </c>
      <c r="L4" s="234"/>
      <c r="N4" s="38">
        <f>VLOOKUP(O1,Лист1!A63:C68,3,FALSE)</f>
        <v>220</v>
      </c>
      <c r="AM4" s="231"/>
      <c r="AN4" s="231"/>
      <c r="AO4" s="231"/>
    </row>
    <row r="5" spans="1:58" ht="35.25" customHeight="1" thickBot="1" x14ac:dyDescent="0.35">
      <c r="B5" s="100" t="str">
        <f>VLOOKUP(B1,ИД!D2:R140,4,FALSE)</f>
        <v>асф. бет., цементобетон</v>
      </c>
      <c r="C5" s="232" t="s">
        <v>95</v>
      </c>
      <c r="D5" s="232"/>
      <c r="E5" s="39">
        <v>565.92899999999997</v>
      </c>
      <c r="G5" s="239" t="s">
        <v>88</v>
      </c>
      <c r="H5" s="239"/>
      <c r="I5" s="239"/>
      <c r="J5" s="239"/>
      <c r="K5" s="240">
        <f>VLOOKUP(B1,ИД!D2:R140,10,FALSE)</f>
        <v>0</v>
      </c>
      <c r="L5" s="240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1 представляет собой участок федеральной автомобильной дороги «А-380 «Гузор-Бухоро-Нукус-Бейнеу»   км 565+929 - км 690+658», который начинается от автомобильной дороги "Подъезд к ст. Мискин" и следует до автомобильной дороги "Подъезд к ст. Караузяк".</v>
      </c>
      <c r="AM5" s="66"/>
      <c r="AN5" s="66"/>
      <c r="AO5" s="66"/>
    </row>
    <row r="6" spans="1:58" ht="26" x14ac:dyDescent="0.3">
      <c r="B6" s="100" t="str">
        <f>VLOOKUP(B1,ИД!D2:R140,8,FALSE)</f>
        <v>7,0-15,0</v>
      </c>
      <c r="C6" s="69" t="s">
        <v>128</v>
      </c>
      <c r="D6" s="222" t="str">
        <f>VLOOKUP(B1,ИД!D2:R140,14,FALSE)</f>
        <v>автомобильной дороги "Подъезд к ст. Мискин"</v>
      </c>
      <c r="E6" s="223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1 представляет собой участок  А-380 «Гузор-Бухоро-Нукус-Бейнеу»   км 565+929 - км 690+658, который начинается от автомобильной дороги "Подъезд к ст. Мискин" и следует до автомобильной дороги "Подъезд к ст. Караузяк".</v>
      </c>
      <c r="AM6" s="224" t="str">
        <f>VLOOKUP(B3,N5:O7,2,FALSE)</f>
        <v>Маршрут № У 1 представляет собой участок федеральной автомобильной дороги «А-380 «Гузор-Бухоро-Нукус-Бейнеу»   км 565+929 - км 690+658», который начинается от автомобильной дороги "Подъезд к ст. Мискин" и следует до автомобильной дороги "Подъезд к ст. Караузяк".</v>
      </c>
      <c r="AN6" s="225"/>
      <c r="AO6" s="226"/>
    </row>
    <row r="7" spans="1:58" ht="27" thickBot="1" x14ac:dyDescent="0.35">
      <c r="B7" s="100" t="str">
        <f>VLOOKUP(B1,ИД!D2:R140,11,FALSE)</f>
        <v>федеральная</v>
      </c>
      <c r="C7" s="69" t="s">
        <v>129</v>
      </c>
      <c r="D7" s="230" t="str">
        <f>VLOOKUP(B1,ИД!D2:R140,15,FALSE)</f>
        <v>автомобильной дороги "Подъезд к ст. Караузяк"</v>
      </c>
      <c r="E7" s="230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1 представляет собой а-380 «Гузор-Бухоро-Нукус-Бейнеу»   км 565+929 - км 690+658 от автомобильной дороги "Подъезд к ст. Мискин".</v>
      </c>
      <c r="AM7" s="227"/>
      <c r="AN7" s="228"/>
      <c r="AO7" s="229"/>
    </row>
    <row r="10" spans="1:58" x14ac:dyDescent="0.2">
      <c r="D10" s="28">
        <f>565929-690658</f>
        <v>-124729</v>
      </c>
      <c r="E10" s="28">
        <f>D10+123100</f>
        <v>-1629</v>
      </c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565.92899999999997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36.75" customHeight="1" x14ac:dyDescent="0.2">
      <c r="A12" s="55">
        <v>0</v>
      </c>
      <c r="B12" s="55">
        <v>18.073</v>
      </c>
      <c r="C12" s="36">
        <f>B12-A12</f>
        <v>18.073</v>
      </c>
      <c r="D12" s="56">
        <v>15</v>
      </c>
      <c r="E12" s="57" t="s">
        <v>273</v>
      </c>
      <c r="F12" s="57" t="s">
        <v>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IFERROR(VLOOKUP(Таблица4383232[[#This Row],[Деф 1]],Лист1!$A$4:$F$60,2,FALSE),"")</f>
        <v xml:space="preserve">без дефектов; </v>
      </c>
      <c r="O12" s="30" t="str">
        <f>IFERROR(VLOOKUP(Таблица4383232[[#This Row],[Деф 2]],Лист1!$A$4:$F$60,2,FALSE),"")</f>
        <v/>
      </c>
      <c r="P12" s="30" t="str">
        <f>IFERROR(VLOOKUP(Таблица4383232[[#This Row],[Столбец4]],Лист1!$A$4:$F$60,2,FALSE),"")</f>
        <v/>
      </c>
      <c r="Q12" s="30" t="str">
        <f>IFERROR(VLOOKUP(Таблица4383232[[#This Row],[Столбец5]],Лист1!$A$4:$F$60,2,FALSE),"")</f>
        <v/>
      </c>
      <c r="R12" s="30" t="str">
        <f>IFERROR(VLOOKUP(Таблица4383232[[#This Row],[Столбец6]],Лист1!$A$4:$F$60,2,FALSE),"")</f>
        <v/>
      </c>
      <c r="S12" s="30" t="str">
        <f>IFERROR(VLOOKUP(Таблица4383232[[#This Row],[Столбец7]],Лист1!$A$4:$F$60,2,FALSE),"")</f>
        <v/>
      </c>
      <c r="T12" s="30" t="str">
        <f>IFERROR(VLOOKUP(Таблица4383232[[#This Row],[Столбец8]],Лист1!$A$4:$F$60,2,FALSE),"")</f>
        <v/>
      </c>
      <c r="U12" s="75" t="str">
        <f>IFERROR(VLOOKUP(Таблица4383232[[#This Row],[Столбец9]],Лист1!$A$4:$F$60,2,FALSE),"")</f>
        <v/>
      </c>
      <c r="V12" s="31">
        <f>IFERROR(VLOOKUP(Таблица4383232[[#This Row],[Деф 1]],Лист1!$A$4:$F$60,3,FALSE),"")</f>
        <v>5</v>
      </c>
      <c r="W12" s="31" t="str">
        <f>IFERROR(VLOOKUP(Таблица4383232[[#This Row],[Деф 2]],Лист1!$A$4:$F$60,3,FALSE),"")</f>
        <v/>
      </c>
      <c r="X12" s="31" t="str">
        <f>IFERROR(VLOOKUP(Таблица4383232[[#This Row],[Столбец4]],Лист1!$A$4:$F$60,3,FALSE),"")</f>
        <v/>
      </c>
      <c r="Y12" s="31" t="str">
        <f>IFERROR(VLOOKUP(Таблица4383232[[#This Row],[Столбец5]],Лист1!$A$4:$F$60,3,FALSE),"")</f>
        <v/>
      </c>
      <c r="Z12" s="31" t="str">
        <f>IFERROR(VLOOKUP(Таблица4383232[[#This Row],[Столбец6]],Лист1!$A$4:$F$60,3,FALSE),"")</f>
        <v/>
      </c>
      <c r="AA12" s="31" t="str">
        <f>IFERROR(VLOOKUP(Таблица4383232[[#This Row],[Столбец7]],Лист1!$A$4:$F$60,3,FALSE),"")</f>
        <v/>
      </c>
      <c r="AB12" s="31" t="str">
        <f>IFERROR(VLOOKUP(Таблица4383232[[#This Row],[Столбец8]],Лист1!$A$4:$F$60,3,FALSE),"")</f>
        <v/>
      </c>
      <c r="AC12" s="31" t="str">
        <f>IFERROR(VLOOKUP(Таблица4383232[[#This Row],[Столбец9]],Лист1!$A$4:$F$60,3,FALSE),"")</f>
        <v/>
      </c>
      <c r="AD12" s="32">
        <f t="shared" ref="AD12:AD15" si="0">ROUND(AE11,3)</f>
        <v>565.92899999999997</v>
      </c>
      <c r="AE12" s="32">
        <f t="shared" ref="AE12:AE15" si="1">ROUND(AD12+C12,3)</f>
        <v>584.00199999999995</v>
      </c>
      <c r="AF12" s="33">
        <f t="shared" ref="AF12:AF15" si="2">ROUND(ROUNDDOWN(AD12,0),0)</f>
        <v>565</v>
      </c>
      <c r="AG12" s="33">
        <f t="shared" ref="AG12:AG15" si="3">ROUND((AD12-AF12)*1000,0)</f>
        <v>929</v>
      </c>
      <c r="AH12" s="33">
        <f t="shared" ref="AH12:AH15" si="4">ROUND(ROUNDDOWN(AE12,0),0)</f>
        <v>584</v>
      </c>
      <c r="AI12" s="34">
        <f t="shared" ref="AI12:AI15" si="5">ROUND((AE12-AH12)*1000,0)</f>
        <v>2</v>
      </c>
      <c r="AJ12" s="34">
        <f>IF(Таблица4383232[[#This Row],[Столбец42]]=0,"000",Таблица4383232[[#This Row],[Столбец42]])</f>
        <v>929</v>
      </c>
      <c r="AK12" s="34">
        <f>IF(Таблица4383232[[#This Row],[Столбец44]]=0,"000",Таблица4383232[[#This Row],[Столбец44]])</f>
        <v>2</v>
      </c>
      <c r="AL12" s="45"/>
      <c r="AM12" s="40" t="str">
        <f t="shared" ref="AM12:AM15" si="6">CONCATENATE("км ",AF12,"+",AJ12," - км ",AH12,"+",AK12)</f>
        <v>км 565+929 - км 584+2</v>
      </c>
      <c r="AN12" s="44" t="str">
        <f>IF(ISBLANK(Таблица4383232[[#This Row],[Столбец9]]),N12&amp;O12&amp;P12&amp;Q12&amp;R12&amp;S12&amp;T12&amp;U12,N12&amp;O12&amp;P12&amp;Q12&amp;R12&amp;S12&amp;T12&amp;U12&amp;";")</f>
        <v xml:space="preserve">без дефектов; </v>
      </c>
      <c r="AO12" s="44" t="str">
        <f>UPPER(LEFT(Таблица4383232[[#This Row],[Столбец48]],1))&amp;RIGHT(LOWER(Таблица4383232[[#This Row],[Столбец48]]),LEN(Таблица4383232[[#This Row],[Столбец48]])-1)</f>
        <v xml:space="preserve">Без дефектов; </v>
      </c>
      <c r="AP12" s="35">
        <f>MIN(V12:AC12)</f>
        <v>5</v>
      </c>
      <c r="AQ12" s="34">
        <f>AP12*$C12</f>
        <v>90.365000000000009</v>
      </c>
      <c r="AR12" s="46"/>
      <c r="AS12" s="42">
        <f t="shared" ref="AS12:AT14" si="7">AD12</f>
        <v>565.92899999999997</v>
      </c>
      <c r="AT12" s="42">
        <f t="shared" si="7"/>
        <v>584.00199999999995</v>
      </c>
      <c r="AU12" s="40" t="str">
        <f t="shared" ref="AU12:AU15" si="8">E12</f>
        <v>цементобетон</v>
      </c>
      <c r="AV12" s="43">
        <f t="shared" ref="AV12:AV15" si="9">D12</f>
        <v>15</v>
      </c>
      <c r="AW12" s="43">
        <f t="shared" ref="AW12:AW15" si="10">IF(AP12=0,"-",AP12)</f>
        <v>5</v>
      </c>
      <c r="AX12" s="45"/>
      <c r="AY12" s="42" t="str">
        <f>Таблица4383232[[#This Row],[Адрес дефекта, км +]]</f>
        <v>км 565+929 - км 584+2</v>
      </c>
      <c r="AZ12" s="43">
        <f>Таблица4383232[[#This Row],[Столбец55]]</f>
        <v>5</v>
      </c>
      <c r="BA12" s="41">
        <f>Таблица4383232[[#This Row],[Столбец59]]</f>
        <v>1</v>
      </c>
      <c r="BB12" s="45"/>
      <c r="BC12" s="45"/>
      <c r="BD12" s="40" t="str">
        <f>Таблица4383232[[#This Row],[Адрес дефекта, км +]]</f>
        <v>км 565+929 - км 584+2</v>
      </c>
      <c r="BE12" s="41">
        <f>ROUND(1-((5-Таблица4383232[[#This Row],[Балл минимальный]])/10),2)</f>
        <v>1</v>
      </c>
      <c r="BF12" s="40">
        <f t="shared" ref="BF12:BF15" si="11">ROUND(BE12*$N$4,0)</f>
        <v>220</v>
      </c>
    </row>
    <row r="13" spans="1:58" ht="54" customHeight="1" x14ac:dyDescent="0.2">
      <c r="A13" s="55">
        <v>0</v>
      </c>
      <c r="B13" s="55">
        <v>2.2000000000000002</v>
      </c>
      <c r="C13" s="36">
        <f>B13-A13</f>
        <v>2.2000000000000002</v>
      </c>
      <c r="D13" s="56">
        <v>8</v>
      </c>
      <c r="E13" s="57" t="s">
        <v>171</v>
      </c>
      <c r="F13" s="57" t="s">
        <v>36</v>
      </c>
      <c r="G13" s="57" t="s">
        <v>76</v>
      </c>
      <c r="H13" s="57"/>
      <c r="I13" s="57"/>
      <c r="J13" s="29"/>
      <c r="K13" s="29"/>
      <c r="L13" s="29"/>
      <c r="M13" s="155"/>
      <c r="N13" s="30" t="str">
        <f>IFERROR(VLOOKUP(Таблица4383232[[#This Row],[Деф 1]],Лист1!$A$4:$F$60,2,FALSE),"")</f>
        <v xml:space="preserve">сетка трещин на площади более 10м при относительной площади, занимаемой сеткой, 30-10%; </v>
      </c>
      <c r="O13" s="30" t="str">
        <f>IFERROR(VLOOKUP(Таблица4383232[[#This Row],[Деф 2]],Лист1!$A$4:$F$60,2,FALSE),"")</f>
        <v xml:space="preserve">карты заделанных выбоин, залитые трещины; </v>
      </c>
      <c r="P13" s="30" t="str">
        <f>IFERROR(VLOOKUP(Таблица4383232[[#This Row],[Столбец4]],Лист1!$A$4:$F$60,2,FALSE),"")</f>
        <v/>
      </c>
      <c r="Q13" s="30" t="str">
        <f>IFERROR(VLOOKUP(Таблица4383232[[#This Row],[Столбец5]],Лист1!$A$4:$F$60,2,FALSE),"")</f>
        <v/>
      </c>
      <c r="R13" s="30" t="str">
        <f>IFERROR(VLOOKUP(Таблица4383232[[#This Row],[Столбец6]],Лист1!$A$4:$F$60,2,FALSE),"")</f>
        <v/>
      </c>
      <c r="S13" s="30" t="str">
        <f>IFERROR(VLOOKUP(Таблица4383232[[#This Row],[Столбец7]],Лист1!$A$4:$F$60,2,FALSE),"")</f>
        <v/>
      </c>
      <c r="T13" s="30" t="str">
        <f>IFERROR(VLOOKUP(Таблица4383232[[#This Row],[Столбец8]],Лист1!$A$4:$F$60,2,FALSE),"")</f>
        <v/>
      </c>
      <c r="U13" s="75" t="str">
        <f>IFERROR(VLOOKUP(Таблица4383232[[#This Row],[Столбец9]],Лист1!$A$4:$F$60,2,FALSE),"")</f>
        <v/>
      </c>
      <c r="V13" s="31">
        <f>IFERROR(VLOOKUP(Таблица4383232[[#This Row],[Деф 1]],Лист1!$A$4:$F$60,3,FALSE),"")</f>
        <v>2.2999999999999998</v>
      </c>
      <c r="W13" s="31">
        <f>IFERROR(VLOOKUP(Таблица4383232[[#This Row],[Деф 2]],Лист1!$A$4:$F$60,3,FALSE),"")</f>
        <v>3</v>
      </c>
      <c r="X13" s="31" t="str">
        <f>IFERROR(VLOOKUP(Таблица4383232[[#This Row],[Столбец4]],Лист1!$A$4:$F$60,3,FALSE),"")</f>
        <v/>
      </c>
      <c r="Y13" s="31" t="str">
        <f>IFERROR(VLOOKUP(Таблица4383232[[#This Row],[Столбец5]],Лист1!$A$4:$F$60,3,FALSE),"")</f>
        <v/>
      </c>
      <c r="Z13" s="31" t="str">
        <f>IFERROR(VLOOKUP(Таблица4383232[[#This Row],[Столбец6]],Лист1!$A$4:$F$60,3,FALSE),"")</f>
        <v/>
      </c>
      <c r="AA13" s="31" t="str">
        <f>IFERROR(VLOOKUP(Таблица4383232[[#This Row],[Столбец7]],Лист1!$A$4:$F$60,3,FALSE),"")</f>
        <v/>
      </c>
      <c r="AB13" s="31" t="str">
        <f>IFERROR(VLOOKUP(Таблица4383232[[#This Row],[Столбец8]],Лист1!$A$4:$F$60,3,FALSE),"")</f>
        <v/>
      </c>
      <c r="AC13" s="31" t="str">
        <f>IFERROR(VLOOKUP(Таблица4383232[[#This Row],[Столбец9]],Лист1!$A$4:$F$60,3,FALSE),"")</f>
        <v/>
      </c>
      <c r="AD13" s="32">
        <f t="shared" si="0"/>
        <v>584.00199999999995</v>
      </c>
      <c r="AE13" s="32">
        <f t="shared" si="1"/>
        <v>586.202</v>
      </c>
      <c r="AF13" s="33">
        <f t="shared" si="2"/>
        <v>584</v>
      </c>
      <c r="AG13" s="33">
        <f t="shared" si="3"/>
        <v>2</v>
      </c>
      <c r="AH13" s="33">
        <f t="shared" si="4"/>
        <v>586</v>
      </c>
      <c r="AI13" s="34">
        <f t="shared" si="5"/>
        <v>202</v>
      </c>
      <c r="AJ13" s="34">
        <f>IF(Таблица4383232[[#This Row],[Столбец42]]=0,"000",Таблица4383232[[#This Row],[Столбец42]])</f>
        <v>2</v>
      </c>
      <c r="AK13" s="34">
        <f>IF(Таблица4383232[[#This Row],[Столбец44]]=0,"000",Таблица4383232[[#This Row],[Столбец44]])</f>
        <v>202</v>
      </c>
      <c r="AL13" s="45"/>
      <c r="AM13" s="40" t="str">
        <f t="shared" si="6"/>
        <v>км 584+2 - км 586+202</v>
      </c>
      <c r="AN13" s="44" t="str">
        <f>IF(ISBLANK(Таблица4383232[[#This Row],[Столбец9]]),N13&amp;O13&amp;P13&amp;Q13&amp;R13&amp;S13&amp;T13&amp;U13,N13&amp;O13&amp;P13&amp;Q13&amp;R13&amp;S13&amp;T13&amp;U13&amp;";")</f>
        <v xml:space="preserve">сетка трещин на площади более 10м при относительной площади, занимаемой сеткой, 30-10%; карты заделанных выбоин, залитые трещины; </v>
      </c>
      <c r="AO13" s="44" t="str">
        <f>UPPER(LEFT(Таблица4383232[[#This Row],[Столбец48]],1))&amp;RIGHT(LOWER(Таблица4383232[[#This Row],[Столбец48]]),LEN(Таблица4383232[[#This Row],[Столбец48]])-1)</f>
        <v xml:space="preserve">Сетка трещин на площади более 10м при относительной площади, занимаемой сеткой, 30-10%; карты заделанных выбоин, залитые трещины; </v>
      </c>
      <c r="AP13" s="35">
        <f>MIN(V13:AC13)</f>
        <v>2.2999999999999998</v>
      </c>
      <c r="AQ13" s="34">
        <f>AP13*C13</f>
        <v>5.0599999999999996</v>
      </c>
      <c r="AR13" s="46"/>
      <c r="AS13" s="42">
        <f t="shared" si="7"/>
        <v>584.00199999999995</v>
      </c>
      <c r="AT13" s="42">
        <f t="shared" si="7"/>
        <v>586.202</v>
      </c>
      <c r="AU13" s="40" t="str">
        <f t="shared" si="8"/>
        <v>асфальтобетон</v>
      </c>
      <c r="AV13" s="43">
        <f t="shared" si="9"/>
        <v>8</v>
      </c>
      <c r="AW13" s="43">
        <f t="shared" si="10"/>
        <v>2.2999999999999998</v>
      </c>
      <c r="AX13" s="45"/>
      <c r="AY13" s="42" t="str">
        <f>Таблица4383232[[#This Row],[Адрес дефекта, км +]]</f>
        <v>км 584+2 - км 586+202</v>
      </c>
      <c r="AZ13" s="43">
        <f>Таблица4383232[[#This Row],[Столбец55]]</f>
        <v>2.2999999999999998</v>
      </c>
      <c r="BA13" s="41">
        <f>Таблица4383232[[#This Row],[Столбец59]]</f>
        <v>0.73</v>
      </c>
      <c r="BB13" s="45"/>
      <c r="BC13" s="45"/>
      <c r="BD13" s="40" t="str">
        <f>Таблица4383232[[#This Row],[Адрес дефекта, км +]]</f>
        <v>км 584+2 - км 586+202</v>
      </c>
      <c r="BE13" s="41">
        <f>ROUND(1-((5-Таблица4383232[[#This Row],[Балл минимальный]])/10),2)</f>
        <v>0.73</v>
      </c>
      <c r="BF13" s="40">
        <f t="shared" si="11"/>
        <v>161</v>
      </c>
    </row>
    <row r="14" spans="1:58" ht="57.75" customHeight="1" x14ac:dyDescent="0.2">
      <c r="A14" s="55">
        <v>2.2000000000000002</v>
      </c>
      <c r="B14" s="55">
        <v>4.8</v>
      </c>
      <c r="C14" s="36">
        <f>B14-A14</f>
        <v>2.5999999999999996</v>
      </c>
      <c r="D14" s="56">
        <v>8</v>
      </c>
      <c r="E14" s="57" t="s">
        <v>171</v>
      </c>
      <c r="F14" s="57" t="s">
        <v>36</v>
      </c>
      <c r="G14" s="57" t="s">
        <v>76</v>
      </c>
      <c r="H14" s="57"/>
      <c r="I14" s="57"/>
      <c r="J14" s="29"/>
      <c r="K14" s="29"/>
      <c r="L14" s="29"/>
      <c r="M14" s="155"/>
      <c r="N14" s="30" t="str">
        <f>IFERROR(VLOOKUP(Таблица4383232[[#This Row],[Деф 1]],Лист1!$A$4:$F$60,2,FALSE),"")</f>
        <v xml:space="preserve">сетка трещин на площади более 10м при относительной площади, занимаемой сеткой, 30-10%; </v>
      </c>
      <c r="O14" s="30" t="str">
        <f>IFERROR(VLOOKUP(Таблица4383232[[#This Row],[Деф 2]],Лист1!$A$4:$F$60,2,FALSE),"")</f>
        <v xml:space="preserve">карты заделанных выбоин, залитые трещины; </v>
      </c>
      <c r="P14" s="30" t="str">
        <f>IFERROR(VLOOKUP(Таблица4383232[[#This Row],[Столбец4]],Лист1!$A$4:$F$60,2,FALSE),"")</f>
        <v/>
      </c>
      <c r="Q14" s="30" t="str">
        <f>IFERROR(VLOOKUP(Таблица4383232[[#This Row],[Столбец5]],Лист1!$A$4:$F$60,2,FALSE),"")</f>
        <v/>
      </c>
      <c r="R14" s="30" t="str">
        <f>IFERROR(VLOOKUP(Таблица4383232[[#This Row],[Столбец6]],Лист1!$A$4:$F$60,2,FALSE),"")</f>
        <v/>
      </c>
      <c r="S14" s="30" t="str">
        <f>IFERROR(VLOOKUP(Таблица4383232[[#This Row],[Столбец7]],Лист1!$A$4:$F$60,2,FALSE),"")</f>
        <v/>
      </c>
      <c r="T14" s="30" t="str">
        <f>IFERROR(VLOOKUP(Таблица4383232[[#This Row],[Столбец8]],Лист1!$A$4:$F$60,2,FALSE),"")</f>
        <v/>
      </c>
      <c r="U14" s="75" t="str">
        <f>IFERROR(VLOOKUP(Таблица4383232[[#This Row],[Столбец9]],Лист1!$A$4:$F$60,2,FALSE),"")</f>
        <v/>
      </c>
      <c r="V14" s="31">
        <f>IFERROR(VLOOKUP(Таблица4383232[[#This Row],[Деф 1]],Лист1!$A$4:$F$60,3,FALSE),"")</f>
        <v>2.2999999999999998</v>
      </c>
      <c r="W14" s="31">
        <f>IFERROR(VLOOKUP(Таблица4383232[[#This Row],[Деф 2]],Лист1!$A$4:$F$60,3,FALSE),"")</f>
        <v>3</v>
      </c>
      <c r="X14" s="31" t="str">
        <f>IFERROR(VLOOKUP(Таблица4383232[[#This Row],[Столбец4]],Лист1!$A$4:$F$60,3,FALSE),"")</f>
        <v/>
      </c>
      <c r="Y14" s="31" t="str">
        <f>IFERROR(VLOOKUP(Таблица4383232[[#This Row],[Столбец5]],Лист1!$A$4:$F$60,3,FALSE),"")</f>
        <v/>
      </c>
      <c r="Z14" s="31" t="str">
        <f>IFERROR(VLOOKUP(Таблица4383232[[#This Row],[Столбец6]],Лист1!$A$4:$F$60,3,FALSE),"")</f>
        <v/>
      </c>
      <c r="AA14" s="31" t="str">
        <f>IFERROR(VLOOKUP(Таблица4383232[[#This Row],[Столбец7]],Лист1!$A$4:$F$60,3,FALSE),"")</f>
        <v/>
      </c>
      <c r="AB14" s="31" t="str">
        <f>IFERROR(VLOOKUP(Таблица4383232[[#This Row],[Столбец8]],Лист1!$A$4:$F$60,3,FALSE),"")</f>
        <v/>
      </c>
      <c r="AC14" s="31" t="str">
        <f>IFERROR(VLOOKUP(Таблица4383232[[#This Row],[Столбец9]],Лист1!$A$4:$F$60,3,FALSE),"")</f>
        <v/>
      </c>
      <c r="AD14" s="32">
        <f t="shared" si="0"/>
        <v>586.202</v>
      </c>
      <c r="AE14" s="32">
        <f t="shared" si="1"/>
        <v>588.80200000000002</v>
      </c>
      <c r="AF14" s="33">
        <f t="shared" si="2"/>
        <v>586</v>
      </c>
      <c r="AG14" s="33">
        <f t="shared" si="3"/>
        <v>202</v>
      </c>
      <c r="AH14" s="33">
        <f t="shared" si="4"/>
        <v>588</v>
      </c>
      <c r="AI14" s="34">
        <f t="shared" si="5"/>
        <v>802</v>
      </c>
      <c r="AJ14" s="34">
        <f>IF(Таблица4383232[[#This Row],[Столбец42]]=0,"000",Таблица4383232[[#This Row],[Столбец42]])</f>
        <v>202</v>
      </c>
      <c r="AK14" s="34">
        <f>IF(Таблица4383232[[#This Row],[Столбец44]]=0,"000",Таблица4383232[[#This Row],[Столбец44]])</f>
        <v>802</v>
      </c>
      <c r="AL14" s="45"/>
      <c r="AM14" s="40" t="str">
        <f t="shared" si="6"/>
        <v>км 586+202 - км 588+802</v>
      </c>
      <c r="AN14" s="44" t="str">
        <f>IF(ISBLANK(Таблица4383232[[#This Row],[Столбец9]]),N14&amp;O14&amp;P14&amp;Q14&amp;R14&amp;S14&amp;T14&amp;U14,N14&amp;O14&amp;P14&amp;Q14&amp;R14&amp;S14&amp;T14&amp;U14&amp;";")</f>
        <v xml:space="preserve">сетка трещин на площади более 10м при относительной площади, занимаемой сеткой, 30-10%; карты заделанных выбоин, залитые трещины; </v>
      </c>
      <c r="AO14" s="44" t="str">
        <f>UPPER(LEFT(Таблица4383232[[#This Row],[Столбец48]],1))&amp;RIGHT(LOWER(Таблица4383232[[#This Row],[Столбец48]]),LEN(Таблица4383232[[#This Row],[Столбец48]])-1)</f>
        <v xml:space="preserve">Сетка трещин на площади более 10м при относительной площади, занимаемой сеткой, 30-10%; карты заделанных выбоин, залитые трещины; </v>
      </c>
      <c r="AP14" s="35">
        <f>MIN(V14:AC14)</f>
        <v>2.2999999999999998</v>
      </c>
      <c r="AQ14" s="34">
        <f>AP14*C14</f>
        <v>5.9799999999999986</v>
      </c>
      <c r="AR14" s="46"/>
      <c r="AS14" s="42">
        <f t="shared" si="7"/>
        <v>586.202</v>
      </c>
      <c r="AT14" s="42">
        <f t="shared" si="7"/>
        <v>588.80200000000002</v>
      </c>
      <c r="AU14" s="40" t="str">
        <f t="shared" si="8"/>
        <v>асфальтобетон</v>
      </c>
      <c r="AV14" s="43">
        <f t="shared" si="9"/>
        <v>8</v>
      </c>
      <c r="AW14" s="43">
        <f t="shared" si="10"/>
        <v>2.2999999999999998</v>
      </c>
      <c r="AX14" s="45"/>
      <c r="AY14" s="42" t="str">
        <f>Таблица4383232[[#This Row],[Адрес дефекта, км +]]</f>
        <v>км 586+202 - км 588+802</v>
      </c>
      <c r="AZ14" s="43">
        <f>Таблица4383232[[#This Row],[Столбец55]]</f>
        <v>2.2999999999999998</v>
      </c>
      <c r="BA14" s="41">
        <f>Таблица4383232[[#This Row],[Столбец59]]</f>
        <v>0.73</v>
      </c>
      <c r="BB14" s="45"/>
      <c r="BC14" s="45"/>
      <c r="BD14" s="40" t="str">
        <f>Таблица4383232[[#This Row],[Адрес дефекта, км +]]</f>
        <v>км 586+202 - км 588+802</v>
      </c>
      <c r="BE14" s="41">
        <f>ROUND(1-((5-Таблица4383232[[#This Row],[Балл минимальный]])/10),2)</f>
        <v>0.73</v>
      </c>
      <c r="BF14" s="40">
        <f t="shared" si="11"/>
        <v>161</v>
      </c>
    </row>
    <row r="15" spans="1:58" ht="72" x14ac:dyDescent="0.2">
      <c r="A15" s="73">
        <v>4.8</v>
      </c>
      <c r="B15" s="73">
        <v>7.2</v>
      </c>
      <c r="C15" s="74">
        <f t="shared" ref="C15" si="12">B15-A15</f>
        <v>2.4000000000000004</v>
      </c>
      <c r="D15" s="56">
        <v>8</v>
      </c>
      <c r="E15" s="57" t="s">
        <v>171</v>
      </c>
      <c r="F15" s="57" t="s">
        <v>22</v>
      </c>
      <c r="G15" s="54" t="s">
        <v>76</v>
      </c>
      <c r="H15" s="54" t="s">
        <v>32</v>
      </c>
      <c r="I15" s="54"/>
      <c r="J15" s="54"/>
      <c r="K15" s="54"/>
      <c r="L15" s="54"/>
      <c r="M15" s="156"/>
      <c r="N15" s="75" t="str">
        <f>IFERROR(VLOOKUP(Таблица4383232[[#This Row],[Деф 1]],Лист1!$A$4:$F$60,2,FALSE),"")</f>
        <v xml:space="preserve">поперечные частые трещины на расстоянии 2-3 м; </v>
      </c>
      <c r="O15" s="75" t="str">
        <f>IFERROR(VLOOKUP(Таблица4383232[[#This Row],[Деф 2]],Лист1!$A$4:$F$60,2,FALSE),"")</f>
        <v xml:space="preserve">карты заделанных выбоин, залитые трещины; </v>
      </c>
      <c r="P15" s="75" t="str">
        <f>IFERROR(VLOOKUP(Таблица4383232[[#This Row],[Столбец4]],Лист1!$A$4:$F$60,2,FALSE),"")</f>
        <v xml:space="preserve">одиночная сетка трещин на площади до 10 м с мелкими ячейками (сторона ячейки менее 0,5 м); </v>
      </c>
      <c r="Q15" s="75" t="str">
        <f>IFERROR(VLOOKUP(Таблица4383232[[#This Row],[Столбец5]],Лист1!$A$4:$F$60,2,FALSE),"")</f>
        <v/>
      </c>
      <c r="R15" s="75" t="str">
        <f>IFERROR(VLOOKUP(Таблица4383232[[#This Row],[Столбец6]],Лист1!$A$4:$F$60,2,FALSE),"")</f>
        <v/>
      </c>
      <c r="S15" s="75" t="str">
        <f>IFERROR(VLOOKUP(Таблица4383232[[#This Row],[Столбец7]],Лист1!$A$4:$F$60,2,FALSE),"")</f>
        <v/>
      </c>
      <c r="T15" s="75" t="str">
        <f>IFERROR(VLOOKUP(Таблица4383232[[#This Row],[Столбец8]],Лист1!$A$4:$F$60,2,FALSE),"")</f>
        <v/>
      </c>
      <c r="U15" s="75" t="str">
        <f>IFERROR(VLOOKUP(Таблица4383232[[#This Row],[Столбец9]],Лист1!$A$4:$F$60,2,FALSE),"")</f>
        <v/>
      </c>
      <c r="V15" s="76">
        <f>IFERROR(VLOOKUP(Таблица4383232[[#This Row],[Деф 1]],Лист1!$A$4:$F$60,3,FALSE),"")</f>
        <v>2.9</v>
      </c>
      <c r="W15" s="76">
        <f>IFERROR(VLOOKUP(Таблица4383232[[#This Row],[Деф 2]],Лист1!$A$4:$F$60,3,FALSE),"")</f>
        <v>3</v>
      </c>
      <c r="X15" s="76">
        <f>IFERROR(VLOOKUP(Таблица4383232[[#This Row],[Столбец4]],Лист1!$A$4:$F$60,3,FALSE),"")</f>
        <v>2.5</v>
      </c>
      <c r="Y15" s="76" t="str">
        <f>IFERROR(VLOOKUP(Таблица4383232[[#This Row],[Столбец5]],Лист1!$A$4:$F$60,3,FALSE),"")</f>
        <v/>
      </c>
      <c r="Z15" s="76" t="str">
        <f>IFERROR(VLOOKUP(Таблица4383232[[#This Row],[Столбец6]],Лист1!$A$4:$F$60,3,FALSE),"")</f>
        <v/>
      </c>
      <c r="AA15" s="76" t="str">
        <f>IFERROR(VLOOKUP(Таблица4383232[[#This Row],[Столбец7]],Лист1!$A$4:$F$60,3,FALSE),"")</f>
        <v/>
      </c>
      <c r="AB15" s="76" t="str">
        <f>IFERROR(VLOOKUP(Таблица4383232[[#This Row],[Столбец8]],Лист1!$A$4:$F$60,3,FALSE),"")</f>
        <v/>
      </c>
      <c r="AC15" s="76" t="str">
        <f>IFERROR(VLOOKUP(Таблица4383232[[#This Row],[Столбец9]],Лист1!$A$4:$F$60,3,FALSE),"")</f>
        <v/>
      </c>
      <c r="AD15" s="51">
        <f t="shared" si="0"/>
        <v>588.80200000000002</v>
      </c>
      <c r="AE15" s="32">
        <f t="shared" si="1"/>
        <v>591.202</v>
      </c>
      <c r="AF15" s="33">
        <f t="shared" si="2"/>
        <v>588</v>
      </c>
      <c r="AG15" s="33">
        <f t="shared" si="3"/>
        <v>802</v>
      </c>
      <c r="AH15" s="33">
        <f t="shared" si="4"/>
        <v>591</v>
      </c>
      <c r="AI15" s="34">
        <f t="shared" si="5"/>
        <v>202</v>
      </c>
      <c r="AJ15" s="34">
        <f>IF(Таблица4383232[[#This Row],[Столбец42]]=0,"000",Таблица4383232[[#This Row],[Столбец42]])</f>
        <v>802</v>
      </c>
      <c r="AK15" s="34">
        <f>IF(Таблица4383232[[#This Row],[Столбец44]]=0,"000",Таблица4383232[[#This Row],[Столбец44]])</f>
        <v>202</v>
      </c>
      <c r="AL15" s="52"/>
      <c r="AM15" s="77" t="str">
        <f t="shared" si="6"/>
        <v>км 588+802 - км 591+202</v>
      </c>
      <c r="AN15" s="78" t="str">
        <f>IF(ISBLANK(Таблица4383232[[#This Row],[Столбец9]]),N15&amp;O15&amp;P15&amp;Q15&amp;R15&amp;S15&amp;T15&amp;U15,N15&amp;O15&amp;P15&amp;Q15&amp;R15&amp;S15&amp;T15&amp;U15&amp;";")</f>
        <v xml:space="preserve">поперечные частые трещины на расстоянии 2-3 м; карты заделанных выбоин, залитые трещины; одиночная сетка трещин на площади до 10 м с мелкими ячейками (сторона ячейки менее 0,5 м); </v>
      </c>
      <c r="AO15" s="78" t="str">
        <f>UPPER(LEFT(Таблица4383232[[#This Row],[Столбец48]],1))&amp;RIGHT(LOWER(Таблица4383232[[#This Row],[Столбец48]]),LEN(Таблица4383232[[#This Row],[Столбец48]])-1)</f>
        <v xml:space="preserve">Поперечные частые трещины на расстоянии 2-3 м; карты заделанных выбоин, залитые трещины; одиночная сетка трещин на площади до 10 м с мелкими ячейками (сторона ячейки менее 0,5 м); </v>
      </c>
      <c r="AP15" s="53">
        <f t="shared" ref="AP15" si="13">MIN(V15:AC15)</f>
        <v>2.5</v>
      </c>
      <c r="AQ15" s="34">
        <f t="shared" ref="AQ15" si="14">AP15*C15</f>
        <v>6.0000000000000009</v>
      </c>
      <c r="AR15" s="47"/>
      <c r="AS15" s="79">
        <f t="shared" ref="AS15:AT15" si="15">AD15</f>
        <v>588.80200000000002</v>
      </c>
      <c r="AT15" s="80">
        <f t="shared" si="15"/>
        <v>591.202</v>
      </c>
      <c r="AU15" s="81" t="str">
        <f t="shared" si="8"/>
        <v>асфальтобетон</v>
      </c>
      <c r="AV15" s="82">
        <f t="shared" si="9"/>
        <v>8</v>
      </c>
      <c r="AW15" s="82">
        <f t="shared" si="10"/>
        <v>2.5</v>
      </c>
      <c r="AX15" s="52"/>
      <c r="AY15" s="42" t="str">
        <f>Таблица4383232[[#This Row],[Адрес дефекта, км +]]</f>
        <v>км 588+802 - км 591+202</v>
      </c>
      <c r="AZ15" s="43">
        <f>Таблица4383232[[#This Row],[Столбец55]]</f>
        <v>2.5</v>
      </c>
      <c r="BA15" s="41">
        <f>Таблица4383232[[#This Row],[Столбец59]]</f>
        <v>0.75</v>
      </c>
      <c r="BB15" s="52"/>
      <c r="BC15" s="52"/>
      <c r="BD15" s="77" t="str">
        <f>Таблица4383232[[#This Row],[Адрес дефекта, км +]]</f>
        <v>км 588+802 - км 591+202</v>
      </c>
      <c r="BE15" s="83">
        <f>ROUND(1-((5-Таблица4383232[[#This Row],[Балл минимальный]])/10),2)</f>
        <v>0.75</v>
      </c>
      <c r="BF15" s="81">
        <f t="shared" si="11"/>
        <v>165</v>
      </c>
    </row>
  </sheetData>
  <dataConsolidate/>
  <mergeCells count="16">
    <mergeCell ref="D6:E6"/>
    <mergeCell ref="AM6:AO7"/>
    <mergeCell ref="D7:E7"/>
    <mergeCell ref="AM2:AO4"/>
    <mergeCell ref="C4:D4"/>
    <mergeCell ref="G4:J4"/>
    <mergeCell ref="K4:L4"/>
    <mergeCell ref="C5:D5"/>
    <mergeCell ref="C2:D2"/>
    <mergeCell ref="G2:J2"/>
    <mergeCell ref="K2:L2"/>
    <mergeCell ref="C3:D3"/>
    <mergeCell ref="G3:J3"/>
    <mergeCell ref="K3:L3"/>
    <mergeCell ref="G5:J5"/>
    <mergeCell ref="K5:L5"/>
  </mergeCells>
  <dataValidations disablePrompts="1" count="2">
    <dataValidation type="list" allowBlank="1" showInputMessage="1" showErrorMessage="1" sqref="E2" xr:uid="{00000000-0002-0000-0300-000000000000}">
      <formula1>"капитальная,облегченная"</formula1>
    </dataValidation>
    <dataValidation type="list" allowBlank="1" showInputMessage="1" showErrorMessage="1" sqref="B3" xr:uid="{00000000-0002-0000-0300-000001000000}">
      <formula1>"дорога,улица,подъезд"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BF64"/>
  <sheetViews>
    <sheetView zoomScale="70" zoomScaleNormal="70" workbookViewId="0">
      <selection activeCell="B12" sqref="B12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9.1640625" style="28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274</v>
      </c>
      <c r="C1" s="48" t="str">
        <f>VLOOKUP(B1,ИД!D2:R140,2,FALSE)</f>
        <v>4Р-171 Дорога ведущая в город Туркуль</v>
      </c>
      <c r="D1" s="50"/>
      <c r="E1" s="49"/>
      <c r="O1" s="28" t="str">
        <f>TRIM(RIGHT(SUBSTITUTE(E3,",",REPT(" ",5)),5))</f>
        <v>III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региональной</v>
      </c>
      <c r="C2" s="232" t="s">
        <v>82</v>
      </c>
      <c r="D2" s="232"/>
      <c r="E2" s="39" t="s">
        <v>161</v>
      </c>
      <c r="F2" s="37"/>
      <c r="G2" s="235" t="s">
        <v>85</v>
      </c>
      <c r="H2" s="235"/>
      <c r="I2" s="235"/>
      <c r="J2" s="235"/>
      <c r="K2" s="236">
        <f>ROUND(SUM(Таблица43832323[Б*l])/(SUM(Таблица43832323[Прот])-$E$4),1)</f>
        <v>3.2</v>
      </c>
      <c r="L2" s="236"/>
      <c r="N2" s="38">
        <f>VLOOKUP(B1,ИД!D2:R140,12,FALSE)</f>
        <v>2</v>
      </c>
      <c r="O2" s="28" t="str">
        <f>LOWER(LEFT(C1,1))&amp;RIGHT(C1,LEN(C1)-1)</f>
        <v>4Р-171 Дорога ведущая в город Туркуль</v>
      </c>
      <c r="AM2" s="231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3,2, средневзвешенного коэффициента прочности – 0,82. Таким образом, в соответствии с результатами камеральной обработки данных, состояние покрытия дороги является удовлетворительным. При значительном увеличении нагрузки на дорожную одежду без проведения ремонтно-восстановительных мероприятий прогнозируется снижение несущей способности до недопустимых значений. Перед пропуском необходимой нагрузки необходимо устранить дефекты проезжей части, а также включить мероприятия по восстановлению вновь образовавшихся дефектов после проезда нагрузки.</v>
      </c>
      <c r="AN2" s="231"/>
      <c r="AO2" s="231"/>
    </row>
    <row r="3" spans="1:58" ht="46.25" customHeight="1" x14ac:dyDescent="0.3">
      <c r="B3" s="100" t="s">
        <v>136</v>
      </c>
      <c r="C3" s="241" t="s">
        <v>83</v>
      </c>
      <c r="D3" s="241"/>
      <c r="E3" s="151" t="str">
        <f>VLOOKUP(B1,ИД!D2:R140,3,FALSE)</f>
        <v>III</v>
      </c>
      <c r="G3" s="233" t="s">
        <v>90</v>
      </c>
      <c r="H3" s="233"/>
      <c r="I3" s="233"/>
      <c r="J3" s="233"/>
      <c r="K3" s="238">
        <f>SUM(Таблица43832323[Прот])</f>
        <v>2.5</v>
      </c>
      <c r="L3" s="238"/>
      <c r="N3" s="38">
        <f>VLOOKUP(O1,Лист1!A63:C68,2,FALSE)</f>
        <v>0.83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удовлетворительным. При значительном увеличении нагрузки на дорожную одежду без проведения ремонтно-восстановительных мероприятий прогнозируется снижение несущей способности до недопустимых значений. Перед пропуском необходимой нагрузки необходимо устранить дефекты проезжей части, а также включить мероприятия по восстановлению вновь образовавшихся дефектов после проезда нагрузки.</v>
      </c>
      <c r="AM3" s="231"/>
      <c r="AN3" s="231"/>
      <c r="AO3" s="231"/>
      <c r="AU3" s="72" t="s">
        <v>135</v>
      </c>
    </row>
    <row r="4" spans="1:58" ht="26" x14ac:dyDescent="0.3">
      <c r="B4" s="100">
        <f>VLOOKUP(B1,ИД!D2:R140,9,FALSE)</f>
        <v>2.5</v>
      </c>
      <c r="C4" s="230" t="s">
        <v>86</v>
      </c>
      <c r="D4" s="230"/>
      <c r="E4" s="39">
        <v>0</v>
      </c>
      <c r="G4" s="233" t="s">
        <v>120</v>
      </c>
      <c r="H4" s="233"/>
      <c r="I4" s="233"/>
      <c r="J4" s="233"/>
      <c r="K4" s="234">
        <f>ROUND(0.5+K2/10,2)</f>
        <v>0.82</v>
      </c>
      <c r="L4" s="234"/>
      <c r="N4" s="38">
        <f>VLOOKUP(O1,Лист1!A63:C68,3,FALSE)</f>
        <v>220</v>
      </c>
      <c r="AM4" s="231"/>
      <c r="AN4" s="231"/>
      <c r="AO4" s="231"/>
    </row>
    <row r="5" spans="1:58" ht="27" thickBot="1" x14ac:dyDescent="0.35">
      <c r="B5" s="100" t="str">
        <f>VLOOKUP(B1,ИД!D2:R140,4,FALSE)</f>
        <v>асф. бет</v>
      </c>
      <c r="C5" s="230" t="s">
        <v>95</v>
      </c>
      <c r="D5" s="230"/>
      <c r="E5" s="39">
        <v>629</v>
      </c>
      <c r="G5" s="239" t="s">
        <v>88</v>
      </c>
      <c r="H5" s="239"/>
      <c r="I5" s="239"/>
      <c r="J5" s="239"/>
      <c r="K5" s="240">
        <f>VLOOKUP(B1,ИД!D2:R140,10,FALSE)</f>
        <v>0</v>
      </c>
      <c r="L5" s="240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5 представляет собой участок региональной автомобильной дороги «4Р-171 Дорога ведущая в город Туркуль», который начинается от автомобильной дороги А-380 «Гузор-Бухоро-Нукус-Бейнеу» и следует до ул. Матнафакова.</v>
      </c>
      <c r="AM5" s="66"/>
      <c r="AN5" s="66"/>
      <c r="AO5" s="66"/>
    </row>
    <row r="6" spans="1:58" ht="26" x14ac:dyDescent="0.3">
      <c r="B6" s="100">
        <f>VLOOKUP(B1,ИД!D2:R140,8,FALSE)</f>
        <v>7.5</v>
      </c>
      <c r="C6" s="69" t="s">
        <v>128</v>
      </c>
      <c r="D6" s="222" t="str">
        <f>VLOOKUP(B1,ИД!D2:R140,14,FALSE)</f>
        <v>автомобильной дороги А-380 «Гузор-Бухоро-Нукус-Бейнеу»</v>
      </c>
      <c r="E6" s="223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5 представляет собой участок  4Р-171 Дорога ведущая в город Туркуль, который начинается от автомобильной дороги А-380 «Гузор-Бухоро-Нукус-Бейнеу» и следует до ул. Матнафакова.</v>
      </c>
      <c r="AM6" s="224" t="str">
        <f>VLOOKUP(B3,N5:O7,2,FALSE)</f>
        <v>Маршрут № У 5 представляет собой участок региональной автомобильной дороги «4Р-171 Дорога ведущая в город Туркуль», который начинается от автомобильной дороги А-380 «Гузор-Бухоро-Нукус-Бейнеу» и следует до ул. Матнафакова.</v>
      </c>
      <c r="AN6" s="225"/>
      <c r="AO6" s="226"/>
    </row>
    <row r="7" spans="1:58" ht="27" thickBot="1" x14ac:dyDescent="0.35">
      <c r="B7" s="100" t="str">
        <f>VLOOKUP(B1,ИД!D2:R140,11,FALSE)</f>
        <v>региональная</v>
      </c>
      <c r="C7" s="69" t="s">
        <v>129</v>
      </c>
      <c r="D7" s="230" t="str">
        <f>VLOOKUP(B1,ИД!D2:R140,15,FALSE)</f>
        <v>ул. Матнафакова</v>
      </c>
      <c r="E7" s="230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5 представляет собой 4Р-171 Дорога ведущая в город Туркуль от автомобильной дороги А-380 «Гузор-Бухоро-Нукус-Бейнеу».</v>
      </c>
      <c r="AM7" s="227"/>
      <c r="AN7" s="228"/>
      <c r="AO7" s="229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629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54" customHeight="1" x14ac:dyDescent="0.2">
      <c r="A12" s="55">
        <v>0</v>
      </c>
      <c r="B12" s="55">
        <v>2.5</v>
      </c>
      <c r="C12" s="36">
        <f>B12-A12</f>
        <v>2.5</v>
      </c>
      <c r="D12" s="56">
        <v>7.5</v>
      </c>
      <c r="E12" s="57" t="s">
        <v>171</v>
      </c>
      <c r="F12" s="57" t="s">
        <v>275</v>
      </c>
      <c r="G12" s="57" t="s">
        <v>28</v>
      </c>
      <c r="H12" s="57" t="s">
        <v>276</v>
      </c>
      <c r="I12" s="57"/>
      <c r="J12" s="29"/>
      <c r="K12" s="29"/>
      <c r="L12" s="29"/>
      <c r="M12" s="155"/>
      <c r="N12" s="30" t="str">
        <f>IFERROR(VLOOKUP(Таблица43832323[[#This Row],[Деф 1]],Лист1!$A$4:$F$60,2,FALSE),"")</f>
        <v xml:space="preserve">поперечные частые трещины на расстоянии 3-4 м; </v>
      </c>
      <c r="O12" s="30" t="str">
        <f>IFERROR(VLOOKUP(Таблица43832323[[#This Row],[Деф 2]],Лист1!$A$4:$F$60,2,FALSE),"")</f>
        <v xml:space="preserve">продольные боковые трещины; </v>
      </c>
      <c r="P12" s="30" t="str">
        <f>IFERROR(VLOOKUP(Таблица43832323[[#This Row],[Столбец4]],Лист1!$A$4:$F$60,2,FALSE),"")</f>
        <v xml:space="preserve">продольная центральная трещина; </v>
      </c>
      <c r="Q12" s="30" t="str">
        <f>IFERROR(VLOOKUP(Таблица43832323[[#This Row],[Столбец5]],Лист1!$A$4:$F$60,2,FALSE),"")</f>
        <v/>
      </c>
      <c r="R12" s="30" t="str">
        <f>IFERROR(VLOOKUP(Таблица43832323[[#This Row],[Столбец6]],Лист1!$A$4:$F$60,2,FALSE),"")</f>
        <v/>
      </c>
      <c r="S12" s="30" t="str">
        <f>IFERROR(VLOOKUP(Таблица43832323[[#This Row],[Столбец7]],Лист1!$A$4:$F$60,2,FALSE),"")</f>
        <v/>
      </c>
      <c r="T12" s="30" t="str">
        <f>IFERROR(VLOOKUP(Таблица43832323[[#This Row],[Столбец8]],Лист1!$A$4:$F$60,2,FALSE),"")</f>
        <v/>
      </c>
      <c r="U12" s="75" t="str">
        <f>IFERROR(VLOOKUP(Таблица43832323[[#This Row],[Столбец9]],Лист1!$A$4:$F$60,2,FALSE),"")</f>
        <v/>
      </c>
      <c r="V12" s="31">
        <f>IFERROR(VLOOKUP(Таблица43832323[[#This Row],[Деф 1]],Лист1!$A$4:$F$60,3,FALSE),"")</f>
        <v>3.2</v>
      </c>
      <c r="W12" s="31">
        <f>IFERROR(VLOOKUP(Таблица43832323[[#This Row],[Деф 2]],Лист1!$A$4:$F$60,3,FALSE),"")</f>
        <v>3.5</v>
      </c>
      <c r="X12" s="31">
        <f>IFERROR(VLOOKUP(Таблица43832323[[#This Row],[Столбец4]],Лист1!$A$4:$F$60,3,FALSE),"")</f>
        <v>4.5</v>
      </c>
      <c r="Y12" s="31" t="str">
        <f>IFERROR(VLOOKUP(Таблица43832323[[#This Row],[Столбец5]],Лист1!$A$4:$F$60,3,FALSE),"")</f>
        <v/>
      </c>
      <c r="Z12" s="31" t="str">
        <f>IFERROR(VLOOKUP(Таблица43832323[[#This Row],[Столбец6]],Лист1!$A$4:$F$60,3,FALSE),"")</f>
        <v/>
      </c>
      <c r="AA12" s="31" t="str">
        <f>IFERROR(VLOOKUP(Таблица43832323[[#This Row],[Столбец7]],Лист1!$A$4:$F$60,3,FALSE),"")</f>
        <v/>
      </c>
      <c r="AB12" s="31" t="str">
        <f>IFERROR(VLOOKUP(Таблица43832323[[#This Row],[Столбец8]],Лист1!$A$4:$F$60,3,FALSE),"")</f>
        <v/>
      </c>
      <c r="AC12" s="31" t="str">
        <f>IFERROR(VLOOKUP(Таблица43832323[[#This Row],[Столбец9]],Лист1!$A$4:$F$60,3,FALSE),"")</f>
        <v/>
      </c>
      <c r="AD12" s="84">
        <f t="shared" ref="AD12:AD62" si="0">ROUND(AE11,3)</f>
        <v>629</v>
      </c>
      <c r="AE12" s="32">
        <f t="shared" ref="AE12:AE62" si="1">ROUND(AD12+C12,3)</f>
        <v>631.5</v>
      </c>
      <c r="AF12" s="33">
        <f t="shared" ref="AF12:AF62" si="2">ROUND(ROUNDDOWN(AD12,0),0)</f>
        <v>629</v>
      </c>
      <c r="AG12" s="33">
        <f t="shared" ref="AG12:AG62" si="3">ROUND((AD12-AF12)*1000,0)</f>
        <v>0</v>
      </c>
      <c r="AH12" s="33">
        <f t="shared" ref="AH12:AH62" si="4">ROUND(ROUNDDOWN(AE12,0),0)</f>
        <v>631</v>
      </c>
      <c r="AI12" s="34">
        <f t="shared" ref="AI12:AI62" si="5">ROUND((AE12-AH12)*1000,0)</f>
        <v>500</v>
      </c>
      <c r="AJ12" s="34" t="str">
        <f>IF(Таблица43832323[[#This Row],[Столбец42]]=0,"000",Таблица43832323[[#This Row],[Столбец42]])</f>
        <v>000</v>
      </c>
      <c r="AK12" s="34">
        <f>IF(Таблица43832323[[#This Row],[Столбец44]]=0,"000",Таблица43832323[[#This Row],[Столбец44]])</f>
        <v>500</v>
      </c>
      <c r="AL12" s="45"/>
      <c r="AM12" s="40" t="str">
        <f t="shared" ref="AM12:AM13" si="6">CONCATENATE("км ",AF12,"+",AJ12," - км ",AH12,"+",AK12)</f>
        <v>км 629+000 - км 631+500</v>
      </c>
      <c r="AN12" s="44" t="str">
        <f>IF(ISBLANK(Таблица43832323[[#This Row],[Столбец9]]),N12&amp;O12&amp;P12&amp;Q12&amp;R12&amp;S12&amp;T12&amp;U12,N12&amp;O12&amp;P12&amp;Q12&amp;R12&amp;S12&amp;T12&amp;U12&amp;";")</f>
        <v xml:space="preserve">поперечные частые трещины на расстоянии 3-4 м; продольные боковые трещины; продольная центральная трещина; </v>
      </c>
      <c r="AO12" s="44" t="str">
        <f>UPPER(LEFT(Таблица43832323[[#This Row],[Столбец48]],1))&amp;RIGHT(LOWER(Таблица43832323[[#This Row],[Столбец48]]),LEN(Таблица43832323[[#This Row],[Столбец48]])-1)</f>
        <v xml:space="preserve">Поперечные частые трещины на расстоянии 3-4 м; продольные боковые трещины; продольная центральная трещина; </v>
      </c>
      <c r="AP12" s="35">
        <f>MIN(V12:AC12)</f>
        <v>3.2</v>
      </c>
      <c r="AQ12" s="34">
        <f>AP12*$C12</f>
        <v>8</v>
      </c>
      <c r="AR12" s="46"/>
      <c r="AS12" s="42">
        <f t="shared" ref="AS12:AT13" si="7">AD12</f>
        <v>629</v>
      </c>
      <c r="AT12" s="42">
        <f t="shared" si="7"/>
        <v>631.5</v>
      </c>
      <c r="AU12" s="40" t="str">
        <f t="shared" ref="AU12:AU13" si="8">E12</f>
        <v>асфальтобетон</v>
      </c>
      <c r="AV12" s="43">
        <f t="shared" ref="AV12:AV13" si="9">D12</f>
        <v>7.5</v>
      </c>
      <c r="AW12" s="43">
        <f t="shared" ref="AW12:AW13" si="10">IF(AP12=0,"-",AP12)</f>
        <v>3.2</v>
      </c>
      <c r="AX12" s="45"/>
      <c r="AY12" s="42" t="str">
        <f>Таблица43832323[[#This Row],[Адрес дефекта, км +]]</f>
        <v>км 629+000 - км 631+500</v>
      </c>
      <c r="AZ12" s="43">
        <f>Таблица43832323[[#This Row],[Столбец55]]</f>
        <v>3.2</v>
      </c>
      <c r="BA12" s="41">
        <f>Таблица43832323[[#This Row],[Столбец59]]</f>
        <v>0.82</v>
      </c>
      <c r="BB12" s="45"/>
      <c r="BC12" s="45"/>
      <c r="BD12" s="40" t="str">
        <f>Таблица43832323[[#This Row],[Адрес дефекта, км +]]</f>
        <v>км 629+000 - км 631+500</v>
      </c>
      <c r="BE12" s="41">
        <f>ROUND(1-((5-Таблица43832323[[#This Row],[Балл минимальный]])/10),2)</f>
        <v>0.82</v>
      </c>
      <c r="BF12" s="40">
        <f t="shared" ref="BF12:BF13" si="11">ROUND(BE12*$N$4,0)</f>
        <v>180</v>
      </c>
    </row>
    <row r="13" spans="1:58" ht="18" x14ac:dyDescent="0.2">
      <c r="A13" s="73"/>
      <c r="B13" s="73"/>
      <c r="C13" s="74">
        <f t="shared" ref="C13:C31" si="12">B13-A13</f>
        <v>0</v>
      </c>
      <c r="D13" s="56"/>
      <c r="E13" s="57"/>
      <c r="F13" s="57"/>
      <c r="G13" s="54"/>
      <c r="H13" s="54"/>
      <c r="I13" s="54"/>
      <c r="J13" s="54"/>
      <c r="K13" s="54"/>
      <c r="L13" s="54"/>
      <c r="M13" s="156"/>
      <c r="N13" s="75" t="str">
        <f>IFERROR(VLOOKUP(Таблица43832323[[#This Row],[Деф 1]],Лист1!$A$4:$F$60,2,FALSE),"")</f>
        <v/>
      </c>
      <c r="O13" s="75" t="str">
        <f>IFERROR(VLOOKUP(Таблица43832323[[#This Row],[Деф 2]],Лист1!$A$4:$F$60,2,FALSE),"")</f>
        <v/>
      </c>
      <c r="P13" s="75" t="str">
        <f>IFERROR(VLOOKUP(Таблица43832323[[#This Row],[Столбец4]],Лист1!$A$4:$F$60,2,FALSE),"")</f>
        <v/>
      </c>
      <c r="Q13" s="75" t="str">
        <f>IFERROR(VLOOKUP(Таблица43832323[[#This Row],[Столбец5]],Лист1!$A$4:$F$60,2,FALSE),"")</f>
        <v/>
      </c>
      <c r="R13" s="75" t="str">
        <f>IFERROR(VLOOKUP(Таблица43832323[[#This Row],[Столбец6]],Лист1!$A$4:$F$60,2,FALSE),"")</f>
        <v/>
      </c>
      <c r="S13" s="75" t="str">
        <f>IFERROR(VLOOKUP(Таблица43832323[[#This Row],[Столбец7]],Лист1!$A$4:$F$60,2,FALSE),"")</f>
        <v/>
      </c>
      <c r="T13" s="75" t="str">
        <f>IFERROR(VLOOKUP(Таблица43832323[[#This Row],[Столбец8]],Лист1!$A$4:$F$60,2,FALSE),"")</f>
        <v/>
      </c>
      <c r="U13" s="75" t="str">
        <f>IFERROR(VLOOKUP(Таблица43832323[[#This Row],[Столбец9]],Лист1!$A$4:$F$60,2,FALSE),"")</f>
        <v/>
      </c>
      <c r="V13" s="76" t="str">
        <f>IFERROR(VLOOKUP(Таблица43832323[[#This Row],[Деф 1]],Лист1!$A$4:$F$60,3,FALSE),"")</f>
        <v/>
      </c>
      <c r="W13" s="76" t="str">
        <f>IFERROR(VLOOKUP(Таблица43832323[[#This Row],[Деф 2]],Лист1!$A$4:$F$60,3,FALSE),"")</f>
        <v/>
      </c>
      <c r="X13" s="76" t="str">
        <f>IFERROR(VLOOKUP(Таблица43832323[[#This Row],[Столбец4]],Лист1!$A$4:$F$60,3,FALSE),"")</f>
        <v/>
      </c>
      <c r="Y13" s="76" t="str">
        <f>IFERROR(VLOOKUP(Таблица43832323[[#This Row],[Столбец5]],Лист1!$A$4:$F$60,3,FALSE),"")</f>
        <v/>
      </c>
      <c r="Z13" s="76" t="str">
        <f>IFERROR(VLOOKUP(Таблица43832323[[#This Row],[Столбец6]],Лист1!$A$4:$F$60,3,FALSE),"")</f>
        <v/>
      </c>
      <c r="AA13" s="76" t="str">
        <f>IFERROR(VLOOKUP(Таблица43832323[[#This Row],[Столбец7]],Лист1!$A$4:$F$60,3,FALSE),"")</f>
        <v/>
      </c>
      <c r="AB13" s="76" t="str">
        <f>IFERROR(VLOOKUP(Таблица43832323[[#This Row],[Столбец8]],Лист1!$A$4:$F$60,3,FALSE),"")</f>
        <v/>
      </c>
      <c r="AC13" s="76" t="str">
        <f>IFERROR(VLOOKUP(Таблица43832323[[#This Row],[Столбец9]],Лист1!$A$4:$F$60,3,FALSE),"")</f>
        <v/>
      </c>
      <c r="AD13" s="51" t="e">
        <f>ROUND(#REF!,3)</f>
        <v>#REF!</v>
      </c>
      <c r="AE13" s="32" t="e">
        <f t="shared" si="1"/>
        <v>#REF!</v>
      </c>
      <c r="AF13" s="33" t="e">
        <f t="shared" si="2"/>
        <v>#REF!</v>
      </c>
      <c r="AG13" s="33" t="e">
        <f t="shared" si="3"/>
        <v>#REF!</v>
      </c>
      <c r="AH13" s="33" t="e">
        <f t="shared" si="4"/>
        <v>#REF!</v>
      </c>
      <c r="AI13" s="34" t="e">
        <f t="shared" si="5"/>
        <v>#REF!</v>
      </c>
      <c r="AJ13" s="34" t="e">
        <f>IF(Таблица43832323[[#This Row],[Столбец42]]=0,"000",Таблица43832323[[#This Row],[Столбец42]])</f>
        <v>#REF!</v>
      </c>
      <c r="AK13" s="34" t="e">
        <f>IF(Таблица43832323[[#This Row],[Столбец44]]=0,"000",Таблица43832323[[#This Row],[Столбец44]])</f>
        <v>#REF!</v>
      </c>
      <c r="AL13" s="52"/>
      <c r="AM13" s="77" t="e">
        <f t="shared" si="6"/>
        <v>#REF!</v>
      </c>
      <c r="AN13" s="78" t="str">
        <f>IF(ISBLANK(Таблица43832323[[#This Row],[Столбец9]]),N13&amp;O13&amp;P13&amp;Q13&amp;R13&amp;S13&amp;T13&amp;U13,N13&amp;O13&amp;P13&amp;Q13&amp;R13&amp;S13&amp;T13&amp;U13&amp;";")</f>
        <v/>
      </c>
      <c r="AO13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3" s="53">
        <f t="shared" ref="AP13:AP31" si="13">MIN(V13:AC13)</f>
        <v>0</v>
      </c>
      <c r="AQ13" s="34">
        <f t="shared" ref="AQ13:AQ31" si="14">AP13*C13</f>
        <v>0</v>
      </c>
      <c r="AR13" s="47"/>
      <c r="AS13" s="79" t="e">
        <f t="shared" si="7"/>
        <v>#REF!</v>
      </c>
      <c r="AT13" s="80" t="e">
        <f t="shared" si="7"/>
        <v>#REF!</v>
      </c>
      <c r="AU13" s="81">
        <f t="shared" si="8"/>
        <v>0</v>
      </c>
      <c r="AV13" s="82">
        <f t="shared" si="9"/>
        <v>0</v>
      </c>
      <c r="AW13" s="82" t="str">
        <f t="shared" si="10"/>
        <v>-</v>
      </c>
      <c r="AX13" s="52"/>
      <c r="AY13" s="42" t="e">
        <f>Таблица43832323[[#This Row],[Адрес дефекта, км +]]</f>
        <v>#REF!</v>
      </c>
      <c r="AZ13" s="43" t="str">
        <f>Таблица43832323[[#This Row],[Столбец55]]</f>
        <v>-</v>
      </c>
      <c r="BA13" s="41">
        <f>Таблица43832323[[#This Row],[Столбец59]]</f>
        <v>0.5</v>
      </c>
      <c r="BB13" s="101"/>
      <c r="BC13" s="52"/>
      <c r="BD13" s="77" t="e">
        <f>Таблица43832323[[#This Row],[Адрес дефекта, км +]]</f>
        <v>#REF!</v>
      </c>
      <c r="BE13" s="83">
        <f>ROUND(1-((5-Таблица43832323[[#This Row],[Балл минимальный]])/10),2)</f>
        <v>0.5</v>
      </c>
      <c r="BF13" s="81">
        <f t="shared" si="11"/>
        <v>110</v>
      </c>
    </row>
    <row r="14" spans="1:58" ht="18" x14ac:dyDescent="0.2">
      <c r="A14" s="73"/>
      <c r="B14" s="73"/>
      <c r="C14" s="74">
        <f t="shared" si="12"/>
        <v>0</v>
      </c>
      <c r="D14" s="56"/>
      <c r="E14" s="57"/>
      <c r="F14" s="57"/>
      <c r="G14" s="54"/>
      <c r="H14" s="54"/>
      <c r="I14" s="54"/>
      <c r="J14" s="54"/>
      <c r="K14" s="54"/>
      <c r="L14" s="54"/>
      <c r="M14" s="156"/>
      <c r="N14" s="75" t="str">
        <f>IFERROR(VLOOKUP(Таблица43832323[[#This Row],[Деф 1]],Лист1!$A$4:$F$60,2,FALSE),"")</f>
        <v/>
      </c>
      <c r="O14" s="75" t="str">
        <f>IFERROR(VLOOKUP(Таблица43832323[[#This Row],[Деф 2]],Лист1!$A$4:$F$60,2,FALSE),"")</f>
        <v/>
      </c>
      <c r="P14" s="75" t="str">
        <f>IFERROR(VLOOKUP(Таблица43832323[[#This Row],[Столбец4]],Лист1!$A$4:$F$60,2,FALSE),"")</f>
        <v/>
      </c>
      <c r="Q14" s="75" t="str">
        <f>IFERROR(VLOOKUP(Таблица43832323[[#This Row],[Столбец5]],Лист1!$A$4:$F$60,2,FALSE),"")</f>
        <v/>
      </c>
      <c r="R14" s="75" t="str">
        <f>IFERROR(VLOOKUP(Таблица43832323[[#This Row],[Столбец6]],Лист1!$A$4:$F$60,2,FALSE),"")</f>
        <v/>
      </c>
      <c r="S14" s="75" t="str">
        <f>IFERROR(VLOOKUP(Таблица43832323[[#This Row],[Столбец7]],Лист1!$A$4:$F$60,2,FALSE),"")</f>
        <v/>
      </c>
      <c r="T14" s="75" t="str">
        <f>IFERROR(VLOOKUP(Таблица43832323[[#This Row],[Столбец8]],Лист1!$A$4:$F$60,2,FALSE),"")</f>
        <v/>
      </c>
      <c r="U14" s="75" t="str">
        <f>IFERROR(VLOOKUP(Таблица43832323[[#This Row],[Столбец9]],Лист1!$A$4:$F$60,2,FALSE),"")</f>
        <v/>
      </c>
      <c r="V14" s="76" t="str">
        <f>IFERROR(VLOOKUP(Таблица43832323[[#This Row],[Деф 1]],Лист1!$A$4:$F$60,3,FALSE),"")</f>
        <v/>
      </c>
      <c r="W14" s="76" t="str">
        <f>IFERROR(VLOOKUP(Таблица43832323[[#This Row],[Деф 2]],Лист1!$A$4:$F$60,3,FALSE),"")</f>
        <v/>
      </c>
      <c r="X14" s="76" t="str">
        <f>IFERROR(VLOOKUP(Таблица43832323[[#This Row],[Столбец4]],Лист1!$A$4:$F$60,3,FALSE),"")</f>
        <v/>
      </c>
      <c r="Y14" s="76" t="str">
        <f>IFERROR(VLOOKUP(Таблица43832323[[#This Row],[Столбец5]],Лист1!$A$4:$F$60,3,FALSE),"")</f>
        <v/>
      </c>
      <c r="Z14" s="76" t="str">
        <f>IFERROR(VLOOKUP(Таблица43832323[[#This Row],[Столбец6]],Лист1!$A$4:$F$60,3,FALSE),"")</f>
        <v/>
      </c>
      <c r="AA14" s="76" t="str">
        <f>IFERROR(VLOOKUP(Таблица43832323[[#This Row],[Столбец7]],Лист1!$A$4:$F$60,3,FALSE),"")</f>
        <v/>
      </c>
      <c r="AB14" s="76" t="str">
        <f>IFERROR(VLOOKUP(Таблица43832323[[#This Row],[Столбец8]],Лист1!$A$4:$F$60,3,FALSE),"")</f>
        <v/>
      </c>
      <c r="AC14" s="76" t="str">
        <f>IFERROR(VLOOKUP(Таблица43832323[[#This Row],[Столбец9]],Лист1!$A$4:$F$60,3,FALSE),"")</f>
        <v/>
      </c>
      <c r="AD14" s="51" t="e">
        <f t="shared" si="0"/>
        <v>#REF!</v>
      </c>
      <c r="AE14" s="32" t="e">
        <f t="shared" si="1"/>
        <v>#REF!</v>
      </c>
      <c r="AF14" s="33" t="e">
        <f t="shared" si="2"/>
        <v>#REF!</v>
      </c>
      <c r="AG14" s="33" t="e">
        <f t="shared" si="3"/>
        <v>#REF!</v>
      </c>
      <c r="AH14" s="33" t="e">
        <f t="shared" si="4"/>
        <v>#REF!</v>
      </c>
      <c r="AI14" s="34" t="e">
        <f t="shared" si="5"/>
        <v>#REF!</v>
      </c>
      <c r="AJ14" s="34" t="e">
        <f>IF(Таблица43832323[[#This Row],[Столбец42]]=0,"000",Таблица43832323[[#This Row],[Столбец42]])</f>
        <v>#REF!</v>
      </c>
      <c r="AK14" s="34" t="e">
        <f>IF(Таблица43832323[[#This Row],[Столбец44]]=0,"000",Таблица43832323[[#This Row],[Столбец44]])</f>
        <v>#REF!</v>
      </c>
      <c r="AL14" s="52"/>
      <c r="AM14" s="77" t="e">
        <f t="shared" ref="AM14:AM31" si="15">CONCATENATE("км ",AF14,"+",AJ14," - км ",AH14,"+",AK14)</f>
        <v>#REF!</v>
      </c>
      <c r="AN14" s="78" t="str">
        <f>IF(ISBLANK(Таблица43832323[[#This Row],[Столбец9]]),N14&amp;O14&amp;P14&amp;Q14&amp;R14&amp;S14&amp;T14&amp;U14,N14&amp;O14&amp;P14&amp;Q14&amp;R14&amp;S14&amp;T14&amp;U14&amp;";")</f>
        <v/>
      </c>
      <c r="AO14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4" s="53">
        <f t="shared" si="13"/>
        <v>0</v>
      </c>
      <c r="AQ14" s="34">
        <f t="shared" si="14"/>
        <v>0</v>
      </c>
      <c r="AR14" s="47"/>
      <c r="AS14" s="79" t="e">
        <f t="shared" ref="AS14:AS31" si="16">AD14</f>
        <v>#REF!</v>
      </c>
      <c r="AT14" s="80" t="e">
        <f t="shared" ref="AT14:AT31" si="17">AE14</f>
        <v>#REF!</v>
      </c>
      <c r="AU14" s="81">
        <f t="shared" ref="AU14:AU31" si="18">E14</f>
        <v>0</v>
      </c>
      <c r="AV14" s="82">
        <f t="shared" ref="AV14:AV31" si="19">D14</f>
        <v>0</v>
      </c>
      <c r="AW14" s="82" t="str">
        <f t="shared" ref="AW14:AW31" si="20">IF(AP14=0,"-",AP14)</f>
        <v>-</v>
      </c>
      <c r="AX14" s="52"/>
      <c r="AY14" s="188" t="e">
        <f>Таблица43832323[[#This Row],[Адрес дефекта, км +]]</f>
        <v>#REF!</v>
      </c>
      <c r="AZ14" s="43" t="str">
        <f>Таблица43832323[[#This Row],[Столбец55]]</f>
        <v>-</v>
      </c>
      <c r="BA14" s="41">
        <f>Таблица43832323[[#This Row],[Столбец59]]</f>
        <v>0.5</v>
      </c>
      <c r="BB14" s="101"/>
      <c r="BC14" s="52"/>
      <c r="BD14" s="77" t="e">
        <f>Таблица43832323[[#This Row],[Адрес дефекта, км +]]</f>
        <v>#REF!</v>
      </c>
      <c r="BE14" s="83">
        <f>ROUND(1-((5-Таблица43832323[[#This Row],[Балл минимальный]])/10),2)</f>
        <v>0.5</v>
      </c>
      <c r="BF14" s="81">
        <f t="shared" ref="BF14:BF31" si="21">ROUND(BE14*$N$4,0)</f>
        <v>110</v>
      </c>
    </row>
    <row r="15" spans="1:58" ht="18" x14ac:dyDescent="0.2">
      <c r="A15" s="73"/>
      <c r="B15" s="73"/>
      <c r="C15" s="74">
        <f t="shared" si="12"/>
        <v>0</v>
      </c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 t="str">
        <f>IFERROR(VLOOKUP(Таблица43832323[[#This Row],[Деф 1]],Лист1!$A$4:$F$60,2,FALSE),"")</f>
        <v/>
      </c>
      <c r="O15" s="75" t="str">
        <f>IFERROR(VLOOKUP(Таблица43832323[[#This Row],[Деф 2]],Лист1!$A$4:$F$60,2,FALSE),"")</f>
        <v/>
      </c>
      <c r="P15" s="75" t="str">
        <f>IFERROR(VLOOKUP(Таблица43832323[[#This Row],[Столбец4]],Лист1!$A$4:$F$60,2,FALSE),"")</f>
        <v/>
      </c>
      <c r="Q15" s="75" t="str">
        <f>IFERROR(VLOOKUP(Таблица43832323[[#This Row],[Столбец5]],Лист1!$A$4:$F$60,2,FALSE),"")</f>
        <v/>
      </c>
      <c r="R15" s="75" t="str">
        <f>IFERROR(VLOOKUP(Таблица43832323[[#This Row],[Столбец6]],Лист1!$A$4:$F$60,2,FALSE),"")</f>
        <v/>
      </c>
      <c r="S15" s="75" t="str">
        <f>IFERROR(VLOOKUP(Таблица43832323[[#This Row],[Столбец7]],Лист1!$A$4:$F$60,2,FALSE),"")</f>
        <v/>
      </c>
      <c r="T15" s="75" t="str">
        <f>IFERROR(VLOOKUP(Таблица43832323[[#This Row],[Столбец8]],Лист1!$A$4:$F$60,2,FALSE),"")</f>
        <v/>
      </c>
      <c r="U15" s="75" t="str">
        <f>IFERROR(VLOOKUP(Таблица43832323[[#This Row],[Столбец9]],Лист1!$A$4:$F$60,2,FALSE),"")</f>
        <v/>
      </c>
      <c r="V15" s="76" t="str">
        <f>IFERROR(VLOOKUP(Таблица43832323[[#This Row],[Деф 1]],Лист1!$A$4:$F$60,3,FALSE),"")</f>
        <v/>
      </c>
      <c r="W15" s="76" t="str">
        <f>IFERROR(VLOOKUP(Таблица43832323[[#This Row],[Деф 2]],Лист1!$A$4:$F$60,3,FALSE),"")</f>
        <v/>
      </c>
      <c r="X15" s="76" t="str">
        <f>IFERROR(VLOOKUP(Таблица43832323[[#This Row],[Столбец4]],Лист1!$A$4:$F$60,3,FALSE),"")</f>
        <v/>
      </c>
      <c r="Y15" s="76" t="str">
        <f>IFERROR(VLOOKUP(Таблица43832323[[#This Row],[Столбец5]],Лист1!$A$4:$F$60,3,FALSE),"")</f>
        <v/>
      </c>
      <c r="Z15" s="76" t="str">
        <f>IFERROR(VLOOKUP(Таблица43832323[[#This Row],[Столбец6]],Лист1!$A$4:$F$60,3,FALSE),"")</f>
        <v/>
      </c>
      <c r="AA15" s="76" t="str">
        <f>IFERROR(VLOOKUP(Таблица43832323[[#This Row],[Столбец7]],Лист1!$A$4:$F$60,3,FALSE),"")</f>
        <v/>
      </c>
      <c r="AB15" s="76" t="str">
        <f>IFERROR(VLOOKUP(Таблица43832323[[#This Row],[Столбец8]],Лист1!$A$4:$F$60,3,FALSE),"")</f>
        <v/>
      </c>
      <c r="AC15" s="76" t="str">
        <f>IFERROR(VLOOKUP(Таблица43832323[[#This Row],[Столбец9]],Лист1!$A$4:$F$60,3,FALSE),"")</f>
        <v/>
      </c>
      <c r="AD15" s="51" t="e">
        <f t="shared" si="0"/>
        <v>#REF!</v>
      </c>
      <c r="AE15" s="32" t="e">
        <f t="shared" si="1"/>
        <v>#REF!</v>
      </c>
      <c r="AF15" s="33" t="e">
        <f t="shared" si="2"/>
        <v>#REF!</v>
      </c>
      <c r="AG15" s="33" t="e">
        <f t="shared" si="3"/>
        <v>#REF!</v>
      </c>
      <c r="AH15" s="33" t="e">
        <f t="shared" si="4"/>
        <v>#REF!</v>
      </c>
      <c r="AI15" s="34" t="e">
        <f t="shared" si="5"/>
        <v>#REF!</v>
      </c>
      <c r="AJ15" s="34" t="e">
        <f>IF(Таблица43832323[[#This Row],[Столбец42]]=0,"000",Таблица43832323[[#This Row],[Столбец42]])</f>
        <v>#REF!</v>
      </c>
      <c r="AK15" s="34" t="e">
        <f>IF(Таблица43832323[[#This Row],[Столбец44]]=0,"000",Таблица43832323[[#This Row],[Столбец44]])</f>
        <v>#REF!</v>
      </c>
      <c r="AL15" s="52"/>
      <c r="AM15" s="77" t="e">
        <f t="shared" si="15"/>
        <v>#REF!</v>
      </c>
      <c r="AN15" s="78" t="str">
        <f>IF(ISBLANK(Таблица43832323[[#This Row],[Столбец9]]),N15&amp;O15&amp;P15&amp;Q15&amp;R15&amp;S15&amp;T15&amp;U15,N15&amp;O15&amp;P15&amp;Q15&amp;R15&amp;S15&amp;T15&amp;U15&amp;";")</f>
        <v/>
      </c>
      <c r="AO15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5" s="53">
        <f t="shared" si="13"/>
        <v>0</v>
      </c>
      <c r="AQ15" s="34">
        <f t="shared" si="14"/>
        <v>0</v>
      </c>
      <c r="AR15" s="47"/>
      <c r="AS15" s="79" t="e">
        <f t="shared" si="16"/>
        <v>#REF!</v>
      </c>
      <c r="AT15" s="80" t="e">
        <f t="shared" si="17"/>
        <v>#REF!</v>
      </c>
      <c r="AU15" s="81">
        <f t="shared" si="18"/>
        <v>0</v>
      </c>
      <c r="AV15" s="82">
        <f t="shared" si="19"/>
        <v>0</v>
      </c>
      <c r="AW15" s="82" t="str">
        <f t="shared" si="20"/>
        <v>-</v>
      </c>
      <c r="AX15" s="52"/>
      <c r="AY15" s="188" t="e">
        <f>Таблица43832323[[#This Row],[Адрес дефекта, км +]]</f>
        <v>#REF!</v>
      </c>
      <c r="AZ15" s="43" t="str">
        <f>Таблица43832323[[#This Row],[Столбец55]]</f>
        <v>-</v>
      </c>
      <c r="BA15" s="41">
        <f>Таблица43832323[[#This Row],[Столбец59]]</f>
        <v>0.5</v>
      </c>
      <c r="BB15" s="101"/>
      <c r="BC15" s="52"/>
      <c r="BD15" s="77" t="e">
        <f>Таблица43832323[[#This Row],[Адрес дефекта, км +]]</f>
        <v>#REF!</v>
      </c>
      <c r="BE15" s="83">
        <f>ROUND(1-((5-Таблица43832323[[#This Row],[Балл минимальный]])/10),2)</f>
        <v>0.5</v>
      </c>
      <c r="BF15" s="81">
        <f t="shared" si="21"/>
        <v>110</v>
      </c>
    </row>
    <row r="16" spans="1:58" ht="18" x14ac:dyDescent="0.2">
      <c r="A16" s="73"/>
      <c r="B16" s="73"/>
      <c r="C16" s="74">
        <f t="shared" si="12"/>
        <v>0</v>
      </c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 t="str">
        <f>IFERROR(VLOOKUP(Таблица43832323[[#This Row],[Деф 1]],Лист1!$A$4:$F$60,2,FALSE),"")</f>
        <v/>
      </c>
      <c r="O16" s="75" t="str">
        <f>IFERROR(VLOOKUP(Таблица43832323[[#This Row],[Деф 2]],Лист1!$A$4:$F$60,2,FALSE),"")</f>
        <v/>
      </c>
      <c r="P16" s="75" t="str">
        <f>IFERROR(VLOOKUP(Таблица43832323[[#This Row],[Столбец4]],Лист1!$A$4:$F$60,2,FALSE),"")</f>
        <v/>
      </c>
      <c r="Q16" s="75" t="str">
        <f>IFERROR(VLOOKUP(Таблица43832323[[#This Row],[Столбец5]],Лист1!$A$4:$F$60,2,FALSE),"")</f>
        <v/>
      </c>
      <c r="R16" s="75" t="str">
        <f>IFERROR(VLOOKUP(Таблица43832323[[#This Row],[Столбец6]],Лист1!$A$4:$F$60,2,FALSE),"")</f>
        <v/>
      </c>
      <c r="S16" s="75" t="str">
        <f>IFERROR(VLOOKUP(Таблица43832323[[#This Row],[Столбец7]],Лист1!$A$4:$F$60,2,FALSE),"")</f>
        <v/>
      </c>
      <c r="T16" s="75" t="str">
        <f>IFERROR(VLOOKUP(Таблица43832323[[#This Row],[Столбец8]],Лист1!$A$4:$F$60,2,FALSE),"")</f>
        <v/>
      </c>
      <c r="U16" s="75" t="str">
        <f>IFERROR(VLOOKUP(Таблица43832323[[#This Row],[Столбец9]],Лист1!$A$4:$F$60,2,FALSE),"")</f>
        <v/>
      </c>
      <c r="V16" s="76" t="str">
        <f>IFERROR(VLOOKUP(Таблица43832323[[#This Row],[Деф 1]],Лист1!$A$4:$F$60,3,FALSE),"")</f>
        <v/>
      </c>
      <c r="W16" s="76" t="str">
        <f>IFERROR(VLOOKUP(Таблица43832323[[#This Row],[Деф 2]],Лист1!$A$4:$F$60,3,FALSE),"")</f>
        <v/>
      </c>
      <c r="X16" s="76" t="str">
        <f>IFERROR(VLOOKUP(Таблица43832323[[#This Row],[Столбец4]],Лист1!$A$4:$F$60,3,FALSE),"")</f>
        <v/>
      </c>
      <c r="Y16" s="76" t="str">
        <f>IFERROR(VLOOKUP(Таблица43832323[[#This Row],[Столбец5]],Лист1!$A$4:$F$60,3,FALSE),"")</f>
        <v/>
      </c>
      <c r="Z16" s="76" t="str">
        <f>IFERROR(VLOOKUP(Таблица43832323[[#This Row],[Столбец6]],Лист1!$A$4:$F$60,3,FALSE),"")</f>
        <v/>
      </c>
      <c r="AA16" s="76" t="str">
        <f>IFERROR(VLOOKUP(Таблица43832323[[#This Row],[Столбец7]],Лист1!$A$4:$F$60,3,FALSE),"")</f>
        <v/>
      </c>
      <c r="AB16" s="76" t="str">
        <f>IFERROR(VLOOKUP(Таблица43832323[[#This Row],[Столбец8]],Лист1!$A$4:$F$60,3,FALSE),"")</f>
        <v/>
      </c>
      <c r="AC16" s="76" t="str">
        <f>IFERROR(VLOOKUP(Таблица43832323[[#This Row],[Столбец9]],Лист1!$A$4:$F$60,3,FALSE),"")</f>
        <v/>
      </c>
      <c r="AD16" s="51" t="e">
        <f t="shared" si="0"/>
        <v>#REF!</v>
      </c>
      <c r="AE16" s="32" t="e">
        <f t="shared" si="1"/>
        <v>#REF!</v>
      </c>
      <c r="AF16" s="33" t="e">
        <f t="shared" si="2"/>
        <v>#REF!</v>
      </c>
      <c r="AG16" s="33" t="e">
        <f t="shared" si="3"/>
        <v>#REF!</v>
      </c>
      <c r="AH16" s="33" t="e">
        <f t="shared" si="4"/>
        <v>#REF!</v>
      </c>
      <c r="AI16" s="34" t="e">
        <f t="shared" si="5"/>
        <v>#REF!</v>
      </c>
      <c r="AJ16" s="34" t="e">
        <f>IF(Таблица43832323[[#This Row],[Столбец42]]=0,"000",Таблица43832323[[#This Row],[Столбец42]])</f>
        <v>#REF!</v>
      </c>
      <c r="AK16" s="34" t="e">
        <f>IF(Таблица43832323[[#This Row],[Столбец44]]=0,"000",Таблица43832323[[#This Row],[Столбец44]])</f>
        <v>#REF!</v>
      </c>
      <c r="AL16" s="52"/>
      <c r="AM16" s="77" t="e">
        <f t="shared" si="15"/>
        <v>#REF!</v>
      </c>
      <c r="AN16" s="78" t="str">
        <f>IF(ISBLANK(Таблица43832323[[#This Row],[Столбец9]]),N16&amp;O16&amp;P16&amp;Q16&amp;R16&amp;S16&amp;T16&amp;U16,N16&amp;O16&amp;P16&amp;Q16&amp;R16&amp;S16&amp;T16&amp;U16&amp;";")</f>
        <v/>
      </c>
      <c r="AO16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6" s="53">
        <f t="shared" si="13"/>
        <v>0</v>
      </c>
      <c r="AQ16" s="34">
        <f t="shared" si="14"/>
        <v>0</v>
      </c>
      <c r="AR16" s="47"/>
      <c r="AS16" s="79" t="e">
        <f t="shared" si="16"/>
        <v>#REF!</v>
      </c>
      <c r="AT16" s="80" t="e">
        <f t="shared" si="17"/>
        <v>#REF!</v>
      </c>
      <c r="AU16" s="81">
        <f t="shared" si="18"/>
        <v>0</v>
      </c>
      <c r="AV16" s="82">
        <f t="shared" si="19"/>
        <v>0</v>
      </c>
      <c r="AW16" s="82" t="str">
        <f t="shared" si="20"/>
        <v>-</v>
      </c>
      <c r="AX16" s="52"/>
      <c r="AY16" s="188" t="e">
        <f>Таблица43832323[[#This Row],[Адрес дефекта, км +]]</f>
        <v>#REF!</v>
      </c>
      <c r="AZ16" s="43" t="str">
        <f>Таблица43832323[[#This Row],[Столбец55]]</f>
        <v>-</v>
      </c>
      <c r="BA16" s="41">
        <f>Таблица43832323[[#This Row],[Столбец59]]</f>
        <v>0.5</v>
      </c>
      <c r="BB16" s="101"/>
      <c r="BC16" s="52"/>
      <c r="BD16" s="77" t="e">
        <f>Таблица43832323[[#This Row],[Адрес дефекта, км +]]</f>
        <v>#REF!</v>
      </c>
      <c r="BE16" s="83">
        <f>ROUND(1-((5-Таблица43832323[[#This Row],[Балл минимальный]])/10),2)</f>
        <v>0.5</v>
      </c>
      <c r="BF16" s="81">
        <f t="shared" si="21"/>
        <v>110</v>
      </c>
    </row>
    <row r="17" spans="1:58" ht="18" x14ac:dyDescent="0.2">
      <c r="A17" s="73"/>
      <c r="B17" s="73"/>
      <c r="C17" s="74">
        <f t="shared" si="12"/>
        <v>0</v>
      </c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 t="str">
        <f>IFERROR(VLOOKUP(Таблица43832323[[#This Row],[Деф 1]],Лист1!$A$4:$F$60,2,FALSE),"")</f>
        <v/>
      </c>
      <c r="O17" s="75" t="str">
        <f>IFERROR(VLOOKUP(Таблица43832323[[#This Row],[Деф 2]],Лист1!$A$4:$F$60,2,FALSE),"")</f>
        <v/>
      </c>
      <c r="P17" s="75" t="str">
        <f>IFERROR(VLOOKUP(Таблица43832323[[#This Row],[Столбец4]],Лист1!$A$4:$F$60,2,FALSE),"")</f>
        <v/>
      </c>
      <c r="Q17" s="75" t="str">
        <f>IFERROR(VLOOKUP(Таблица43832323[[#This Row],[Столбец5]],Лист1!$A$4:$F$60,2,FALSE),"")</f>
        <v/>
      </c>
      <c r="R17" s="75" t="str">
        <f>IFERROR(VLOOKUP(Таблица43832323[[#This Row],[Столбец6]],Лист1!$A$4:$F$60,2,FALSE),"")</f>
        <v/>
      </c>
      <c r="S17" s="75" t="str">
        <f>IFERROR(VLOOKUP(Таблица43832323[[#This Row],[Столбец7]],Лист1!$A$4:$F$60,2,FALSE),"")</f>
        <v/>
      </c>
      <c r="T17" s="75" t="str">
        <f>IFERROR(VLOOKUP(Таблица43832323[[#This Row],[Столбец8]],Лист1!$A$4:$F$60,2,FALSE),"")</f>
        <v/>
      </c>
      <c r="U17" s="75" t="str">
        <f>IFERROR(VLOOKUP(Таблица43832323[[#This Row],[Столбец9]],Лист1!$A$4:$F$60,2,FALSE),"")</f>
        <v/>
      </c>
      <c r="V17" s="76" t="str">
        <f>IFERROR(VLOOKUP(Таблица43832323[[#This Row],[Деф 1]],Лист1!$A$4:$F$60,3,FALSE),"")</f>
        <v/>
      </c>
      <c r="W17" s="76" t="str">
        <f>IFERROR(VLOOKUP(Таблица43832323[[#This Row],[Деф 2]],Лист1!$A$4:$F$60,3,FALSE),"")</f>
        <v/>
      </c>
      <c r="X17" s="76" t="str">
        <f>IFERROR(VLOOKUP(Таблица43832323[[#This Row],[Столбец4]],Лист1!$A$4:$F$60,3,FALSE),"")</f>
        <v/>
      </c>
      <c r="Y17" s="76" t="str">
        <f>IFERROR(VLOOKUP(Таблица43832323[[#This Row],[Столбец5]],Лист1!$A$4:$F$60,3,FALSE),"")</f>
        <v/>
      </c>
      <c r="Z17" s="76" t="str">
        <f>IFERROR(VLOOKUP(Таблица43832323[[#This Row],[Столбец6]],Лист1!$A$4:$F$60,3,FALSE),"")</f>
        <v/>
      </c>
      <c r="AA17" s="76" t="str">
        <f>IFERROR(VLOOKUP(Таблица43832323[[#This Row],[Столбец7]],Лист1!$A$4:$F$60,3,FALSE),"")</f>
        <v/>
      </c>
      <c r="AB17" s="76" t="str">
        <f>IFERROR(VLOOKUP(Таблица43832323[[#This Row],[Столбец8]],Лист1!$A$4:$F$60,3,FALSE),"")</f>
        <v/>
      </c>
      <c r="AC17" s="76" t="str">
        <f>IFERROR(VLOOKUP(Таблица43832323[[#This Row],[Столбец9]],Лист1!$A$4:$F$60,3,FALSE),"")</f>
        <v/>
      </c>
      <c r="AD17" s="51" t="e">
        <f t="shared" si="0"/>
        <v>#REF!</v>
      </c>
      <c r="AE17" s="32" t="e">
        <f t="shared" si="1"/>
        <v>#REF!</v>
      </c>
      <c r="AF17" s="33" t="e">
        <f t="shared" si="2"/>
        <v>#REF!</v>
      </c>
      <c r="AG17" s="33" t="e">
        <f t="shared" si="3"/>
        <v>#REF!</v>
      </c>
      <c r="AH17" s="33" t="e">
        <f t="shared" si="4"/>
        <v>#REF!</v>
      </c>
      <c r="AI17" s="34" t="e">
        <f t="shared" si="5"/>
        <v>#REF!</v>
      </c>
      <c r="AJ17" s="34" t="e">
        <f>IF(Таблица43832323[[#This Row],[Столбец42]]=0,"000",Таблица43832323[[#This Row],[Столбец42]])</f>
        <v>#REF!</v>
      </c>
      <c r="AK17" s="34" t="e">
        <f>IF(Таблица43832323[[#This Row],[Столбец44]]=0,"000",Таблица43832323[[#This Row],[Столбец44]])</f>
        <v>#REF!</v>
      </c>
      <c r="AL17" s="52"/>
      <c r="AM17" s="77" t="e">
        <f t="shared" si="15"/>
        <v>#REF!</v>
      </c>
      <c r="AN17" s="78" t="str">
        <f>IF(ISBLANK(Таблица43832323[[#This Row],[Столбец9]]),N17&amp;O17&amp;P17&amp;Q17&amp;R17&amp;S17&amp;T17&amp;U17,N17&amp;O17&amp;P17&amp;Q17&amp;R17&amp;S17&amp;T17&amp;U17&amp;";")</f>
        <v/>
      </c>
      <c r="AO17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7" s="53">
        <f t="shared" si="13"/>
        <v>0</v>
      </c>
      <c r="AQ17" s="34">
        <f t="shared" si="14"/>
        <v>0</v>
      </c>
      <c r="AR17" s="47"/>
      <c r="AS17" s="79" t="e">
        <f t="shared" si="16"/>
        <v>#REF!</v>
      </c>
      <c r="AT17" s="80" t="e">
        <f t="shared" si="17"/>
        <v>#REF!</v>
      </c>
      <c r="AU17" s="81">
        <f t="shared" si="18"/>
        <v>0</v>
      </c>
      <c r="AV17" s="82">
        <f t="shared" si="19"/>
        <v>0</v>
      </c>
      <c r="AW17" s="82" t="str">
        <f t="shared" si="20"/>
        <v>-</v>
      </c>
      <c r="AX17" s="52"/>
      <c r="AY17" s="188" t="e">
        <f>Таблица43832323[[#This Row],[Адрес дефекта, км +]]</f>
        <v>#REF!</v>
      </c>
      <c r="AZ17" s="43" t="str">
        <f>Таблица43832323[[#This Row],[Столбец55]]</f>
        <v>-</v>
      </c>
      <c r="BA17" s="41">
        <f>Таблица43832323[[#This Row],[Столбец59]]</f>
        <v>0.5</v>
      </c>
      <c r="BB17" s="101"/>
      <c r="BC17" s="52"/>
      <c r="BD17" s="77" t="e">
        <f>Таблица43832323[[#This Row],[Адрес дефекта, км +]]</f>
        <v>#REF!</v>
      </c>
      <c r="BE17" s="83">
        <f>ROUND(1-((5-Таблица43832323[[#This Row],[Балл минимальный]])/10),2)</f>
        <v>0.5</v>
      </c>
      <c r="BF17" s="81">
        <f t="shared" si="21"/>
        <v>110</v>
      </c>
    </row>
    <row r="18" spans="1:58" ht="18" x14ac:dyDescent="0.2">
      <c r="A18" s="73"/>
      <c r="B18" s="73"/>
      <c r="C18" s="74">
        <f t="shared" si="12"/>
        <v>0</v>
      </c>
      <c r="D18" s="56"/>
      <c r="E18" s="57"/>
      <c r="F18" s="57"/>
      <c r="G18" s="54"/>
      <c r="H18" s="54"/>
      <c r="I18" s="54"/>
      <c r="J18" s="54"/>
      <c r="K18" s="54"/>
      <c r="L18" s="54"/>
      <c r="M18" s="156"/>
      <c r="N18" s="75" t="str">
        <f>IFERROR(VLOOKUP(Таблица43832323[[#This Row],[Деф 1]],Лист1!$A$4:$F$60,2,FALSE),"")</f>
        <v/>
      </c>
      <c r="O18" s="75" t="str">
        <f>IFERROR(VLOOKUP(Таблица43832323[[#This Row],[Деф 2]],Лист1!$A$4:$F$60,2,FALSE),"")</f>
        <v/>
      </c>
      <c r="P18" s="75" t="str">
        <f>IFERROR(VLOOKUP(Таблица43832323[[#This Row],[Столбец4]],Лист1!$A$4:$F$60,2,FALSE),"")</f>
        <v/>
      </c>
      <c r="Q18" s="75" t="str">
        <f>IFERROR(VLOOKUP(Таблица43832323[[#This Row],[Столбец5]],Лист1!$A$4:$F$60,2,FALSE),"")</f>
        <v/>
      </c>
      <c r="R18" s="75" t="str">
        <f>IFERROR(VLOOKUP(Таблица43832323[[#This Row],[Столбец6]],Лист1!$A$4:$F$60,2,FALSE),"")</f>
        <v/>
      </c>
      <c r="S18" s="75" t="str">
        <f>IFERROR(VLOOKUP(Таблица43832323[[#This Row],[Столбец7]],Лист1!$A$4:$F$60,2,FALSE),"")</f>
        <v/>
      </c>
      <c r="T18" s="75" t="str">
        <f>IFERROR(VLOOKUP(Таблица43832323[[#This Row],[Столбец8]],Лист1!$A$4:$F$60,2,FALSE),"")</f>
        <v/>
      </c>
      <c r="U18" s="75" t="str">
        <f>IFERROR(VLOOKUP(Таблица43832323[[#This Row],[Столбец9]],Лист1!$A$4:$F$60,2,FALSE),"")</f>
        <v/>
      </c>
      <c r="V18" s="76" t="str">
        <f>IFERROR(VLOOKUP(Таблица43832323[[#This Row],[Деф 1]],Лист1!$A$4:$F$60,3,FALSE),"")</f>
        <v/>
      </c>
      <c r="W18" s="76" t="str">
        <f>IFERROR(VLOOKUP(Таблица43832323[[#This Row],[Деф 2]],Лист1!$A$4:$F$60,3,FALSE),"")</f>
        <v/>
      </c>
      <c r="X18" s="76" t="str">
        <f>IFERROR(VLOOKUP(Таблица43832323[[#This Row],[Столбец4]],Лист1!$A$4:$F$60,3,FALSE),"")</f>
        <v/>
      </c>
      <c r="Y18" s="76" t="str">
        <f>IFERROR(VLOOKUP(Таблица43832323[[#This Row],[Столбец5]],Лист1!$A$4:$F$60,3,FALSE),"")</f>
        <v/>
      </c>
      <c r="Z18" s="76" t="str">
        <f>IFERROR(VLOOKUP(Таблица43832323[[#This Row],[Столбец6]],Лист1!$A$4:$F$60,3,FALSE),"")</f>
        <v/>
      </c>
      <c r="AA18" s="76" t="str">
        <f>IFERROR(VLOOKUP(Таблица43832323[[#This Row],[Столбец7]],Лист1!$A$4:$F$60,3,FALSE),"")</f>
        <v/>
      </c>
      <c r="AB18" s="76" t="str">
        <f>IFERROR(VLOOKUP(Таблица43832323[[#This Row],[Столбец8]],Лист1!$A$4:$F$60,3,FALSE),"")</f>
        <v/>
      </c>
      <c r="AC18" s="76" t="str">
        <f>IFERROR(VLOOKUP(Таблица43832323[[#This Row],[Столбец9]],Лист1!$A$4:$F$60,3,FALSE),"")</f>
        <v/>
      </c>
      <c r="AD18" s="51" t="e">
        <f t="shared" si="0"/>
        <v>#REF!</v>
      </c>
      <c r="AE18" s="32" t="e">
        <f t="shared" si="1"/>
        <v>#REF!</v>
      </c>
      <c r="AF18" s="33" t="e">
        <f t="shared" si="2"/>
        <v>#REF!</v>
      </c>
      <c r="AG18" s="33" t="e">
        <f t="shared" si="3"/>
        <v>#REF!</v>
      </c>
      <c r="AH18" s="33" t="e">
        <f t="shared" si="4"/>
        <v>#REF!</v>
      </c>
      <c r="AI18" s="34" t="e">
        <f t="shared" si="5"/>
        <v>#REF!</v>
      </c>
      <c r="AJ18" s="34" t="e">
        <f>IF(Таблица43832323[[#This Row],[Столбец42]]=0,"000",Таблица43832323[[#This Row],[Столбец42]])</f>
        <v>#REF!</v>
      </c>
      <c r="AK18" s="34" t="e">
        <f>IF(Таблица43832323[[#This Row],[Столбец44]]=0,"000",Таблица43832323[[#This Row],[Столбец44]])</f>
        <v>#REF!</v>
      </c>
      <c r="AL18" s="52"/>
      <c r="AM18" s="77" t="e">
        <f t="shared" si="15"/>
        <v>#REF!</v>
      </c>
      <c r="AN18" s="78" t="str">
        <f>IF(ISBLANK(Таблица43832323[[#This Row],[Столбец9]]),N18&amp;O18&amp;P18&amp;Q18&amp;R18&amp;S18&amp;T18&amp;U18,N18&amp;O18&amp;P18&amp;Q18&amp;R18&amp;S18&amp;T18&amp;U18&amp;";")</f>
        <v/>
      </c>
      <c r="AO18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8" s="53">
        <f t="shared" si="13"/>
        <v>0</v>
      </c>
      <c r="AQ18" s="34">
        <f t="shared" si="14"/>
        <v>0</v>
      </c>
      <c r="AR18" s="47"/>
      <c r="AS18" s="79" t="e">
        <f t="shared" si="16"/>
        <v>#REF!</v>
      </c>
      <c r="AT18" s="80" t="e">
        <f t="shared" si="17"/>
        <v>#REF!</v>
      </c>
      <c r="AU18" s="81">
        <f t="shared" si="18"/>
        <v>0</v>
      </c>
      <c r="AV18" s="82">
        <f t="shared" si="19"/>
        <v>0</v>
      </c>
      <c r="AW18" s="82" t="str">
        <f t="shared" si="20"/>
        <v>-</v>
      </c>
      <c r="AX18" s="52"/>
      <c r="AY18" s="188" t="e">
        <f>Таблица43832323[[#This Row],[Адрес дефекта, км +]]</f>
        <v>#REF!</v>
      </c>
      <c r="AZ18" s="43" t="str">
        <f>Таблица43832323[[#This Row],[Столбец55]]</f>
        <v>-</v>
      </c>
      <c r="BA18" s="41">
        <f>Таблица43832323[[#This Row],[Столбец59]]</f>
        <v>0.5</v>
      </c>
      <c r="BB18" s="101"/>
      <c r="BC18" s="52"/>
      <c r="BD18" s="77" t="e">
        <f>Таблица43832323[[#This Row],[Адрес дефекта, км +]]</f>
        <v>#REF!</v>
      </c>
      <c r="BE18" s="83">
        <f>ROUND(1-((5-Таблица43832323[[#This Row],[Балл минимальный]])/10),2)</f>
        <v>0.5</v>
      </c>
      <c r="BF18" s="81">
        <f t="shared" si="21"/>
        <v>110</v>
      </c>
    </row>
    <row r="19" spans="1:58" ht="18" x14ac:dyDescent="0.2">
      <c r="A19" s="73"/>
      <c r="B19" s="73"/>
      <c r="C19" s="74">
        <f t="shared" si="12"/>
        <v>0</v>
      </c>
      <c r="D19" s="56"/>
      <c r="E19" s="57"/>
      <c r="F19" s="57"/>
      <c r="G19" s="54"/>
      <c r="H19" s="54"/>
      <c r="I19" s="54"/>
      <c r="J19" s="54"/>
      <c r="K19" s="54"/>
      <c r="L19" s="54"/>
      <c r="M19" s="156"/>
      <c r="N19" s="75" t="str">
        <f>IFERROR(VLOOKUP(Таблица43832323[[#This Row],[Деф 1]],Лист1!$A$4:$F$60,2,FALSE),"")</f>
        <v/>
      </c>
      <c r="O19" s="75" t="str">
        <f>IFERROR(VLOOKUP(Таблица43832323[[#This Row],[Деф 2]],Лист1!$A$4:$F$60,2,FALSE),"")</f>
        <v/>
      </c>
      <c r="P19" s="75" t="str">
        <f>IFERROR(VLOOKUP(Таблица43832323[[#This Row],[Столбец4]],Лист1!$A$4:$F$60,2,FALSE),"")</f>
        <v/>
      </c>
      <c r="Q19" s="75" t="str">
        <f>IFERROR(VLOOKUP(Таблица43832323[[#This Row],[Столбец5]],Лист1!$A$4:$F$60,2,FALSE),"")</f>
        <v/>
      </c>
      <c r="R19" s="75" t="str">
        <f>IFERROR(VLOOKUP(Таблица43832323[[#This Row],[Столбец6]],Лист1!$A$4:$F$60,2,FALSE),"")</f>
        <v/>
      </c>
      <c r="S19" s="75" t="str">
        <f>IFERROR(VLOOKUP(Таблица43832323[[#This Row],[Столбец7]],Лист1!$A$4:$F$60,2,FALSE),"")</f>
        <v/>
      </c>
      <c r="T19" s="75" t="str">
        <f>IFERROR(VLOOKUP(Таблица43832323[[#This Row],[Столбец8]],Лист1!$A$4:$F$60,2,FALSE),"")</f>
        <v/>
      </c>
      <c r="U19" s="75" t="str">
        <f>IFERROR(VLOOKUP(Таблица43832323[[#This Row],[Столбец9]],Лист1!$A$4:$F$60,2,FALSE),"")</f>
        <v/>
      </c>
      <c r="V19" s="76" t="str">
        <f>IFERROR(VLOOKUP(Таблица43832323[[#This Row],[Деф 1]],Лист1!$A$4:$F$60,3,FALSE),"")</f>
        <v/>
      </c>
      <c r="W19" s="76" t="str">
        <f>IFERROR(VLOOKUP(Таблица43832323[[#This Row],[Деф 2]],Лист1!$A$4:$F$60,3,FALSE),"")</f>
        <v/>
      </c>
      <c r="X19" s="76" t="str">
        <f>IFERROR(VLOOKUP(Таблица43832323[[#This Row],[Столбец4]],Лист1!$A$4:$F$60,3,FALSE),"")</f>
        <v/>
      </c>
      <c r="Y19" s="76" t="str">
        <f>IFERROR(VLOOKUP(Таблица43832323[[#This Row],[Столбец5]],Лист1!$A$4:$F$60,3,FALSE),"")</f>
        <v/>
      </c>
      <c r="Z19" s="76" t="str">
        <f>IFERROR(VLOOKUP(Таблица43832323[[#This Row],[Столбец6]],Лист1!$A$4:$F$60,3,FALSE),"")</f>
        <v/>
      </c>
      <c r="AA19" s="76" t="str">
        <f>IFERROR(VLOOKUP(Таблица43832323[[#This Row],[Столбец7]],Лист1!$A$4:$F$60,3,FALSE),"")</f>
        <v/>
      </c>
      <c r="AB19" s="76" t="str">
        <f>IFERROR(VLOOKUP(Таблица43832323[[#This Row],[Столбец8]],Лист1!$A$4:$F$60,3,FALSE),"")</f>
        <v/>
      </c>
      <c r="AC19" s="76" t="str">
        <f>IFERROR(VLOOKUP(Таблица43832323[[#This Row],[Столбец9]],Лист1!$A$4:$F$60,3,FALSE),"")</f>
        <v/>
      </c>
      <c r="AD19" s="51" t="e">
        <f t="shared" si="0"/>
        <v>#REF!</v>
      </c>
      <c r="AE19" s="32" t="e">
        <f t="shared" si="1"/>
        <v>#REF!</v>
      </c>
      <c r="AF19" s="33" t="e">
        <f t="shared" si="2"/>
        <v>#REF!</v>
      </c>
      <c r="AG19" s="33" t="e">
        <f t="shared" si="3"/>
        <v>#REF!</v>
      </c>
      <c r="AH19" s="33" t="e">
        <f t="shared" si="4"/>
        <v>#REF!</v>
      </c>
      <c r="AI19" s="34" t="e">
        <f t="shared" si="5"/>
        <v>#REF!</v>
      </c>
      <c r="AJ19" s="34" t="e">
        <f>IF(Таблица43832323[[#This Row],[Столбец42]]=0,"000",Таблица43832323[[#This Row],[Столбец42]])</f>
        <v>#REF!</v>
      </c>
      <c r="AK19" s="34" t="e">
        <f>IF(Таблица43832323[[#This Row],[Столбец44]]=0,"000",Таблица43832323[[#This Row],[Столбец44]])</f>
        <v>#REF!</v>
      </c>
      <c r="AL19" s="52"/>
      <c r="AM19" s="77" t="e">
        <f t="shared" si="15"/>
        <v>#REF!</v>
      </c>
      <c r="AN19" s="78" t="str">
        <f>IF(ISBLANK(Таблица43832323[[#This Row],[Столбец9]]),N19&amp;O19&amp;P19&amp;Q19&amp;R19&amp;S19&amp;T19&amp;U19,N19&amp;O19&amp;P19&amp;Q19&amp;R19&amp;S19&amp;T19&amp;U19&amp;";")</f>
        <v/>
      </c>
      <c r="AO19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9" s="53">
        <f t="shared" si="13"/>
        <v>0</v>
      </c>
      <c r="AQ19" s="34">
        <f t="shared" si="14"/>
        <v>0</v>
      </c>
      <c r="AR19" s="47"/>
      <c r="AS19" s="79" t="e">
        <f t="shared" si="16"/>
        <v>#REF!</v>
      </c>
      <c r="AT19" s="80" t="e">
        <f t="shared" si="17"/>
        <v>#REF!</v>
      </c>
      <c r="AU19" s="81">
        <f t="shared" si="18"/>
        <v>0</v>
      </c>
      <c r="AV19" s="82">
        <f t="shared" si="19"/>
        <v>0</v>
      </c>
      <c r="AW19" s="82" t="str">
        <f t="shared" si="20"/>
        <v>-</v>
      </c>
      <c r="AX19" s="52"/>
      <c r="AY19" s="188" t="e">
        <f>Таблица43832323[[#This Row],[Адрес дефекта, км +]]</f>
        <v>#REF!</v>
      </c>
      <c r="AZ19" s="43" t="str">
        <f>Таблица43832323[[#This Row],[Столбец55]]</f>
        <v>-</v>
      </c>
      <c r="BA19" s="41">
        <f>Таблица43832323[[#This Row],[Столбец59]]</f>
        <v>0.5</v>
      </c>
      <c r="BB19" s="101"/>
      <c r="BC19" s="52"/>
      <c r="BD19" s="77" t="e">
        <f>Таблица43832323[[#This Row],[Адрес дефекта, км +]]</f>
        <v>#REF!</v>
      </c>
      <c r="BE19" s="83">
        <f>ROUND(1-((5-Таблица43832323[[#This Row],[Балл минимальный]])/10),2)</f>
        <v>0.5</v>
      </c>
      <c r="BF19" s="81">
        <f t="shared" si="21"/>
        <v>110</v>
      </c>
    </row>
    <row r="20" spans="1:58" ht="18" x14ac:dyDescent="0.2">
      <c r="A20" s="73"/>
      <c r="B20" s="73"/>
      <c r="C20" s="74">
        <f t="shared" si="12"/>
        <v>0</v>
      </c>
      <c r="D20" s="192"/>
      <c r="E20" s="54"/>
      <c r="F20" s="54"/>
      <c r="G20" s="54"/>
      <c r="H20" s="54"/>
      <c r="I20" s="54"/>
      <c r="J20" s="54"/>
      <c r="K20" s="54"/>
      <c r="L20" s="54"/>
      <c r="M20" s="156"/>
      <c r="N20" s="75" t="str">
        <f>IFERROR(VLOOKUP(Таблица43832323[[#This Row],[Деф 1]],Лист1!$A$4:$F$60,2,FALSE),"")</f>
        <v/>
      </c>
      <c r="O20" s="75" t="str">
        <f>IFERROR(VLOOKUP(Таблица43832323[[#This Row],[Деф 2]],Лист1!$A$4:$F$60,2,FALSE),"")</f>
        <v/>
      </c>
      <c r="P20" s="75" t="str">
        <f>IFERROR(VLOOKUP(Таблица43832323[[#This Row],[Столбец4]],Лист1!$A$4:$F$60,2,FALSE),"")</f>
        <v/>
      </c>
      <c r="Q20" s="75" t="str">
        <f>IFERROR(VLOOKUP(Таблица43832323[[#This Row],[Столбец5]],Лист1!$A$4:$F$60,2,FALSE),"")</f>
        <v/>
      </c>
      <c r="R20" s="75" t="str">
        <f>IFERROR(VLOOKUP(Таблица43832323[[#This Row],[Столбец6]],Лист1!$A$4:$F$60,2,FALSE),"")</f>
        <v/>
      </c>
      <c r="S20" s="75" t="str">
        <f>IFERROR(VLOOKUP(Таблица43832323[[#This Row],[Столбец7]],Лист1!$A$4:$F$60,2,FALSE),"")</f>
        <v/>
      </c>
      <c r="T20" s="75" t="str">
        <f>IFERROR(VLOOKUP(Таблица43832323[[#This Row],[Столбец8]],Лист1!$A$4:$F$60,2,FALSE),"")</f>
        <v/>
      </c>
      <c r="U20" s="75" t="str">
        <f>IFERROR(VLOOKUP(Таблица43832323[[#This Row],[Столбец9]],Лист1!$A$4:$F$60,2,FALSE),"")</f>
        <v/>
      </c>
      <c r="V20" s="76" t="str">
        <f>IFERROR(VLOOKUP(Таблица43832323[[#This Row],[Деф 1]],Лист1!$A$4:$F$60,3,FALSE),"")</f>
        <v/>
      </c>
      <c r="W20" s="76" t="str">
        <f>IFERROR(VLOOKUP(Таблица43832323[[#This Row],[Деф 2]],Лист1!$A$4:$F$60,3,FALSE),"")</f>
        <v/>
      </c>
      <c r="X20" s="76" t="str">
        <f>IFERROR(VLOOKUP(Таблица43832323[[#This Row],[Столбец4]],Лист1!$A$4:$F$60,3,FALSE),"")</f>
        <v/>
      </c>
      <c r="Y20" s="76" t="str">
        <f>IFERROR(VLOOKUP(Таблица43832323[[#This Row],[Столбец5]],Лист1!$A$4:$F$60,3,FALSE),"")</f>
        <v/>
      </c>
      <c r="Z20" s="76" t="str">
        <f>IFERROR(VLOOKUP(Таблица43832323[[#This Row],[Столбец6]],Лист1!$A$4:$F$60,3,FALSE),"")</f>
        <v/>
      </c>
      <c r="AA20" s="76" t="str">
        <f>IFERROR(VLOOKUP(Таблица43832323[[#This Row],[Столбец7]],Лист1!$A$4:$F$60,3,FALSE),"")</f>
        <v/>
      </c>
      <c r="AB20" s="76" t="str">
        <f>IFERROR(VLOOKUP(Таблица43832323[[#This Row],[Столбец8]],Лист1!$A$4:$F$60,3,FALSE),"")</f>
        <v/>
      </c>
      <c r="AC20" s="76" t="str">
        <f>IFERROR(VLOOKUP(Таблица43832323[[#This Row],[Столбец9]],Лист1!$A$4:$F$60,3,FALSE),"")</f>
        <v/>
      </c>
      <c r="AD20" s="51" t="e">
        <f t="shared" si="0"/>
        <v>#REF!</v>
      </c>
      <c r="AE20" s="32" t="e">
        <f t="shared" si="1"/>
        <v>#REF!</v>
      </c>
      <c r="AF20" s="95" t="e">
        <f t="shared" si="2"/>
        <v>#REF!</v>
      </c>
      <c r="AG20" s="95" t="e">
        <f t="shared" si="3"/>
        <v>#REF!</v>
      </c>
      <c r="AH20" s="95" t="e">
        <f t="shared" si="4"/>
        <v>#REF!</v>
      </c>
      <c r="AI20" s="96" t="e">
        <f t="shared" si="5"/>
        <v>#REF!</v>
      </c>
      <c r="AJ20" s="96" t="e">
        <f>IF(Таблица43832323[[#This Row],[Столбец42]]=0,"000",Таблица43832323[[#This Row],[Столбец42]])</f>
        <v>#REF!</v>
      </c>
      <c r="AK20" s="96" t="e">
        <f>IF(Таблица43832323[[#This Row],[Столбец44]]=0,"000",Таблица43832323[[#This Row],[Столбец44]])</f>
        <v>#REF!</v>
      </c>
      <c r="AL20" s="52"/>
      <c r="AM20" s="77" t="e">
        <f t="shared" si="15"/>
        <v>#REF!</v>
      </c>
      <c r="AN20" s="78" t="str">
        <f>IF(ISBLANK(Таблица43832323[[#This Row],[Столбец9]]),N20&amp;O20&amp;P20&amp;Q20&amp;R20&amp;S20&amp;T20&amp;U20,N20&amp;O20&amp;P20&amp;Q20&amp;R20&amp;S20&amp;T20&amp;U20&amp;";")</f>
        <v/>
      </c>
      <c r="AO20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0" s="53">
        <f t="shared" si="13"/>
        <v>0</v>
      </c>
      <c r="AQ20" s="34">
        <f t="shared" si="14"/>
        <v>0</v>
      </c>
      <c r="AR20" s="47"/>
      <c r="AS20" s="79" t="e">
        <f t="shared" si="16"/>
        <v>#REF!</v>
      </c>
      <c r="AT20" s="80" t="e">
        <f t="shared" si="17"/>
        <v>#REF!</v>
      </c>
      <c r="AU20" s="81">
        <f t="shared" si="18"/>
        <v>0</v>
      </c>
      <c r="AV20" s="82">
        <f t="shared" si="19"/>
        <v>0</v>
      </c>
      <c r="AW20" s="82" t="str">
        <f t="shared" si="20"/>
        <v>-</v>
      </c>
      <c r="AX20" s="52"/>
      <c r="AY20" s="193" t="e">
        <f>Таблица43832323[[#This Row],[Адрес дефекта, км +]]</f>
        <v>#REF!</v>
      </c>
      <c r="AZ20" s="194" t="str">
        <f>Таблица43832323[[#This Row],[Столбец55]]</f>
        <v>-</v>
      </c>
      <c r="BA20" s="195">
        <f>Таблица43832323[[#This Row],[Столбец59]]</f>
        <v>0.5</v>
      </c>
      <c r="BB20" s="101"/>
      <c r="BC20" s="52"/>
      <c r="BD20" s="77" t="e">
        <f>Таблица43832323[[#This Row],[Адрес дефекта, км +]]</f>
        <v>#REF!</v>
      </c>
      <c r="BE20" s="83">
        <f>ROUND(1-((5-Таблица43832323[[#This Row],[Балл минимальный]])/10),2)</f>
        <v>0.5</v>
      </c>
      <c r="BF20" s="81">
        <f t="shared" si="21"/>
        <v>110</v>
      </c>
    </row>
    <row r="21" spans="1:58" ht="18" x14ac:dyDescent="0.2">
      <c r="A21" s="73"/>
      <c r="B21" s="73"/>
      <c r="C21" s="74">
        <f t="shared" si="12"/>
        <v>0</v>
      </c>
      <c r="D21" s="192"/>
      <c r="E21" s="54"/>
      <c r="F21" s="54"/>
      <c r="G21" s="54"/>
      <c r="H21" s="54"/>
      <c r="I21" s="54"/>
      <c r="J21" s="54"/>
      <c r="K21" s="54"/>
      <c r="L21" s="54"/>
      <c r="M21" s="156"/>
      <c r="N21" s="75" t="str">
        <f>IFERROR(VLOOKUP(Таблица43832323[[#This Row],[Деф 1]],Лист1!$A$4:$F$60,2,FALSE),"")</f>
        <v/>
      </c>
      <c r="O21" s="75" t="str">
        <f>IFERROR(VLOOKUP(Таблица43832323[[#This Row],[Деф 2]],Лист1!$A$4:$F$60,2,FALSE),"")</f>
        <v/>
      </c>
      <c r="P21" s="75" t="str">
        <f>IFERROR(VLOOKUP(Таблица43832323[[#This Row],[Столбец4]],Лист1!$A$4:$F$60,2,FALSE),"")</f>
        <v/>
      </c>
      <c r="Q21" s="75" t="str">
        <f>IFERROR(VLOOKUP(Таблица43832323[[#This Row],[Столбец5]],Лист1!$A$4:$F$60,2,FALSE),"")</f>
        <v/>
      </c>
      <c r="R21" s="75" t="str">
        <f>IFERROR(VLOOKUP(Таблица43832323[[#This Row],[Столбец6]],Лист1!$A$4:$F$60,2,FALSE),"")</f>
        <v/>
      </c>
      <c r="S21" s="75" t="str">
        <f>IFERROR(VLOOKUP(Таблица43832323[[#This Row],[Столбец7]],Лист1!$A$4:$F$60,2,FALSE),"")</f>
        <v/>
      </c>
      <c r="T21" s="75" t="str">
        <f>IFERROR(VLOOKUP(Таблица43832323[[#This Row],[Столбец8]],Лист1!$A$4:$F$60,2,FALSE),"")</f>
        <v/>
      </c>
      <c r="U21" s="75" t="str">
        <f>IFERROR(VLOOKUP(Таблица43832323[[#This Row],[Столбец9]],Лист1!$A$4:$F$60,2,FALSE),"")</f>
        <v/>
      </c>
      <c r="V21" s="76" t="str">
        <f>IFERROR(VLOOKUP(Таблица43832323[[#This Row],[Деф 1]],Лист1!$A$4:$F$60,3,FALSE),"")</f>
        <v/>
      </c>
      <c r="W21" s="76" t="str">
        <f>IFERROR(VLOOKUP(Таблица43832323[[#This Row],[Деф 2]],Лист1!$A$4:$F$60,3,FALSE),"")</f>
        <v/>
      </c>
      <c r="X21" s="76" t="str">
        <f>IFERROR(VLOOKUP(Таблица43832323[[#This Row],[Столбец4]],Лист1!$A$4:$F$60,3,FALSE),"")</f>
        <v/>
      </c>
      <c r="Y21" s="76" t="str">
        <f>IFERROR(VLOOKUP(Таблица43832323[[#This Row],[Столбец5]],Лист1!$A$4:$F$60,3,FALSE),"")</f>
        <v/>
      </c>
      <c r="Z21" s="76" t="str">
        <f>IFERROR(VLOOKUP(Таблица43832323[[#This Row],[Столбец6]],Лист1!$A$4:$F$60,3,FALSE),"")</f>
        <v/>
      </c>
      <c r="AA21" s="76" t="str">
        <f>IFERROR(VLOOKUP(Таблица43832323[[#This Row],[Столбец7]],Лист1!$A$4:$F$60,3,FALSE),"")</f>
        <v/>
      </c>
      <c r="AB21" s="76" t="str">
        <f>IFERROR(VLOOKUP(Таблица43832323[[#This Row],[Столбец8]],Лист1!$A$4:$F$60,3,FALSE),"")</f>
        <v/>
      </c>
      <c r="AC21" s="76" t="str">
        <f>IFERROR(VLOOKUP(Таблица43832323[[#This Row],[Столбец9]],Лист1!$A$4:$F$60,3,FALSE),"")</f>
        <v/>
      </c>
      <c r="AD21" s="51" t="e">
        <f t="shared" si="0"/>
        <v>#REF!</v>
      </c>
      <c r="AE21" s="32" t="e">
        <f t="shared" si="1"/>
        <v>#REF!</v>
      </c>
      <c r="AF21" s="95" t="e">
        <f t="shared" si="2"/>
        <v>#REF!</v>
      </c>
      <c r="AG21" s="95" t="e">
        <f t="shared" si="3"/>
        <v>#REF!</v>
      </c>
      <c r="AH21" s="95" t="e">
        <f t="shared" si="4"/>
        <v>#REF!</v>
      </c>
      <c r="AI21" s="96" t="e">
        <f t="shared" si="5"/>
        <v>#REF!</v>
      </c>
      <c r="AJ21" s="96" t="e">
        <f>IF(Таблица43832323[[#This Row],[Столбец42]]=0,"000",Таблица43832323[[#This Row],[Столбец42]])</f>
        <v>#REF!</v>
      </c>
      <c r="AK21" s="96" t="e">
        <f>IF(Таблица43832323[[#This Row],[Столбец44]]=0,"000",Таблица43832323[[#This Row],[Столбец44]])</f>
        <v>#REF!</v>
      </c>
      <c r="AL21" s="52"/>
      <c r="AM21" s="77" t="e">
        <f t="shared" si="15"/>
        <v>#REF!</v>
      </c>
      <c r="AN21" s="78" t="str">
        <f>IF(ISBLANK(Таблица43832323[[#This Row],[Столбец9]]),N21&amp;O21&amp;P21&amp;Q21&amp;R21&amp;S21&amp;T21&amp;U21,N21&amp;O21&amp;P21&amp;Q21&amp;R21&amp;S21&amp;T21&amp;U21&amp;";")</f>
        <v/>
      </c>
      <c r="AO21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1" s="53">
        <f t="shared" si="13"/>
        <v>0</v>
      </c>
      <c r="AQ21" s="34">
        <f t="shared" si="14"/>
        <v>0</v>
      </c>
      <c r="AR21" s="47"/>
      <c r="AS21" s="79" t="e">
        <f t="shared" si="16"/>
        <v>#REF!</v>
      </c>
      <c r="AT21" s="80" t="e">
        <f t="shared" si="17"/>
        <v>#REF!</v>
      </c>
      <c r="AU21" s="81">
        <f t="shared" si="18"/>
        <v>0</v>
      </c>
      <c r="AV21" s="82">
        <f t="shared" si="19"/>
        <v>0</v>
      </c>
      <c r="AW21" s="82" t="str">
        <f t="shared" si="20"/>
        <v>-</v>
      </c>
      <c r="AX21" s="52"/>
      <c r="AY21" s="193" t="e">
        <f>Таблица43832323[[#This Row],[Адрес дефекта, км +]]</f>
        <v>#REF!</v>
      </c>
      <c r="AZ21" s="194" t="str">
        <f>Таблица43832323[[#This Row],[Столбец55]]</f>
        <v>-</v>
      </c>
      <c r="BA21" s="195">
        <f>Таблица43832323[[#This Row],[Столбец59]]</f>
        <v>0.5</v>
      </c>
      <c r="BB21" s="101"/>
      <c r="BC21" s="52"/>
      <c r="BD21" s="77" t="e">
        <f>Таблица43832323[[#This Row],[Адрес дефекта, км +]]</f>
        <v>#REF!</v>
      </c>
      <c r="BE21" s="83">
        <f>ROUND(1-((5-Таблица43832323[[#This Row],[Балл минимальный]])/10),2)</f>
        <v>0.5</v>
      </c>
      <c r="BF21" s="81">
        <f t="shared" si="21"/>
        <v>110</v>
      </c>
    </row>
    <row r="22" spans="1:58" ht="18" x14ac:dyDescent="0.2">
      <c r="A22" s="73"/>
      <c r="B22" s="73"/>
      <c r="C22" s="74">
        <f t="shared" si="12"/>
        <v>0</v>
      </c>
      <c r="D22" s="192"/>
      <c r="E22" s="54"/>
      <c r="F22" s="54"/>
      <c r="G22" s="54"/>
      <c r="H22" s="54"/>
      <c r="I22" s="54"/>
      <c r="J22" s="54"/>
      <c r="K22" s="54"/>
      <c r="L22" s="54"/>
      <c r="M22" s="156"/>
      <c r="N22" s="75" t="str">
        <f>IFERROR(VLOOKUP(Таблица43832323[[#This Row],[Деф 1]],Лист1!$A$4:$F$60,2,FALSE),"")</f>
        <v/>
      </c>
      <c r="O22" s="75" t="str">
        <f>IFERROR(VLOOKUP(Таблица43832323[[#This Row],[Деф 2]],Лист1!$A$4:$F$60,2,FALSE),"")</f>
        <v/>
      </c>
      <c r="P22" s="75" t="str">
        <f>IFERROR(VLOOKUP(Таблица43832323[[#This Row],[Столбец4]],Лист1!$A$4:$F$60,2,FALSE),"")</f>
        <v/>
      </c>
      <c r="Q22" s="75" t="str">
        <f>IFERROR(VLOOKUP(Таблица43832323[[#This Row],[Столбец5]],Лист1!$A$4:$F$60,2,FALSE),"")</f>
        <v/>
      </c>
      <c r="R22" s="75" t="str">
        <f>IFERROR(VLOOKUP(Таблица43832323[[#This Row],[Столбец6]],Лист1!$A$4:$F$60,2,FALSE),"")</f>
        <v/>
      </c>
      <c r="S22" s="75" t="str">
        <f>IFERROR(VLOOKUP(Таблица43832323[[#This Row],[Столбец7]],Лист1!$A$4:$F$60,2,FALSE),"")</f>
        <v/>
      </c>
      <c r="T22" s="75" t="str">
        <f>IFERROR(VLOOKUP(Таблица43832323[[#This Row],[Столбец8]],Лист1!$A$4:$F$60,2,FALSE),"")</f>
        <v/>
      </c>
      <c r="U22" s="75" t="str">
        <f>IFERROR(VLOOKUP(Таблица43832323[[#This Row],[Столбец9]],Лист1!$A$4:$F$60,2,FALSE),"")</f>
        <v/>
      </c>
      <c r="V22" s="76" t="str">
        <f>IFERROR(VLOOKUP(Таблица43832323[[#This Row],[Деф 1]],Лист1!$A$4:$F$60,3,FALSE),"")</f>
        <v/>
      </c>
      <c r="W22" s="76" t="str">
        <f>IFERROR(VLOOKUP(Таблица43832323[[#This Row],[Деф 2]],Лист1!$A$4:$F$60,3,FALSE),"")</f>
        <v/>
      </c>
      <c r="X22" s="76" t="str">
        <f>IFERROR(VLOOKUP(Таблица43832323[[#This Row],[Столбец4]],Лист1!$A$4:$F$60,3,FALSE),"")</f>
        <v/>
      </c>
      <c r="Y22" s="76" t="str">
        <f>IFERROR(VLOOKUP(Таблица43832323[[#This Row],[Столбец5]],Лист1!$A$4:$F$60,3,FALSE),"")</f>
        <v/>
      </c>
      <c r="Z22" s="76" t="str">
        <f>IFERROR(VLOOKUP(Таблица43832323[[#This Row],[Столбец6]],Лист1!$A$4:$F$60,3,FALSE),"")</f>
        <v/>
      </c>
      <c r="AA22" s="76" t="str">
        <f>IFERROR(VLOOKUP(Таблица43832323[[#This Row],[Столбец7]],Лист1!$A$4:$F$60,3,FALSE),"")</f>
        <v/>
      </c>
      <c r="AB22" s="76" t="str">
        <f>IFERROR(VLOOKUP(Таблица43832323[[#This Row],[Столбец8]],Лист1!$A$4:$F$60,3,FALSE),"")</f>
        <v/>
      </c>
      <c r="AC22" s="76" t="str">
        <f>IFERROR(VLOOKUP(Таблица43832323[[#This Row],[Столбец9]],Лист1!$A$4:$F$60,3,FALSE),"")</f>
        <v/>
      </c>
      <c r="AD22" s="51" t="e">
        <f t="shared" si="0"/>
        <v>#REF!</v>
      </c>
      <c r="AE22" s="32" t="e">
        <f t="shared" si="1"/>
        <v>#REF!</v>
      </c>
      <c r="AF22" s="95" t="e">
        <f t="shared" si="2"/>
        <v>#REF!</v>
      </c>
      <c r="AG22" s="95" t="e">
        <f t="shared" si="3"/>
        <v>#REF!</v>
      </c>
      <c r="AH22" s="95" t="e">
        <f t="shared" si="4"/>
        <v>#REF!</v>
      </c>
      <c r="AI22" s="96" t="e">
        <f t="shared" si="5"/>
        <v>#REF!</v>
      </c>
      <c r="AJ22" s="96" t="e">
        <f>IF(Таблица43832323[[#This Row],[Столбец42]]=0,"000",Таблица43832323[[#This Row],[Столбец42]])</f>
        <v>#REF!</v>
      </c>
      <c r="AK22" s="96" t="e">
        <f>IF(Таблица43832323[[#This Row],[Столбец44]]=0,"000",Таблица43832323[[#This Row],[Столбец44]])</f>
        <v>#REF!</v>
      </c>
      <c r="AL22" s="52"/>
      <c r="AM22" s="77" t="e">
        <f t="shared" si="15"/>
        <v>#REF!</v>
      </c>
      <c r="AN22" s="78" t="str">
        <f>IF(ISBLANK(Таблица43832323[[#This Row],[Столбец9]]),N22&amp;O22&amp;P22&amp;Q22&amp;R22&amp;S22&amp;T22&amp;U22,N22&amp;O22&amp;P22&amp;Q22&amp;R22&amp;S22&amp;T22&amp;U22&amp;";")</f>
        <v/>
      </c>
      <c r="AO22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2" s="53">
        <f t="shared" si="13"/>
        <v>0</v>
      </c>
      <c r="AQ22" s="34">
        <f t="shared" si="14"/>
        <v>0</v>
      </c>
      <c r="AR22" s="47"/>
      <c r="AS22" s="79" t="e">
        <f t="shared" si="16"/>
        <v>#REF!</v>
      </c>
      <c r="AT22" s="80" t="e">
        <f t="shared" si="17"/>
        <v>#REF!</v>
      </c>
      <c r="AU22" s="81">
        <f t="shared" si="18"/>
        <v>0</v>
      </c>
      <c r="AV22" s="82">
        <f t="shared" si="19"/>
        <v>0</v>
      </c>
      <c r="AW22" s="82" t="str">
        <f t="shared" si="20"/>
        <v>-</v>
      </c>
      <c r="AX22" s="52"/>
      <c r="AY22" s="193" t="e">
        <f>Таблица43832323[[#This Row],[Адрес дефекта, км +]]</f>
        <v>#REF!</v>
      </c>
      <c r="AZ22" s="194" t="str">
        <f>Таблица43832323[[#This Row],[Столбец55]]</f>
        <v>-</v>
      </c>
      <c r="BA22" s="195">
        <f>Таблица43832323[[#This Row],[Столбец59]]</f>
        <v>0.5</v>
      </c>
      <c r="BB22" s="101"/>
      <c r="BC22" s="52"/>
      <c r="BD22" s="77" t="e">
        <f>Таблица43832323[[#This Row],[Адрес дефекта, км +]]</f>
        <v>#REF!</v>
      </c>
      <c r="BE22" s="83">
        <f>ROUND(1-((5-Таблица43832323[[#This Row],[Балл минимальный]])/10),2)</f>
        <v>0.5</v>
      </c>
      <c r="BF22" s="81">
        <f t="shared" si="21"/>
        <v>110</v>
      </c>
    </row>
    <row r="23" spans="1:58" ht="18" x14ac:dyDescent="0.2">
      <c r="A23" s="73"/>
      <c r="B23" s="73"/>
      <c r="C23" s="74">
        <f t="shared" si="12"/>
        <v>0</v>
      </c>
      <c r="D23" s="192"/>
      <c r="E23" s="54"/>
      <c r="F23" s="54"/>
      <c r="G23" s="54"/>
      <c r="H23" s="54"/>
      <c r="I23" s="54"/>
      <c r="J23" s="54"/>
      <c r="K23" s="54"/>
      <c r="L23" s="54"/>
      <c r="M23" s="156"/>
      <c r="N23" s="75" t="str">
        <f>IFERROR(VLOOKUP(Таблица43832323[[#This Row],[Деф 1]],Лист1!$A$4:$F$60,2,FALSE),"")</f>
        <v/>
      </c>
      <c r="O23" s="75" t="str">
        <f>IFERROR(VLOOKUP(Таблица43832323[[#This Row],[Деф 2]],Лист1!$A$4:$F$60,2,FALSE),"")</f>
        <v/>
      </c>
      <c r="P23" s="75" t="str">
        <f>IFERROR(VLOOKUP(Таблица43832323[[#This Row],[Столбец4]],Лист1!$A$4:$F$60,2,FALSE),"")</f>
        <v/>
      </c>
      <c r="Q23" s="75" t="str">
        <f>IFERROR(VLOOKUP(Таблица43832323[[#This Row],[Столбец5]],Лист1!$A$4:$F$60,2,FALSE),"")</f>
        <v/>
      </c>
      <c r="R23" s="75" t="str">
        <f>IFERROR(VLOOKUP(Таблица43832323[[#This Row],[Столбец6]],Лист1!$A$4:$F$60,2,FALSE),"")</f>
        <v/>
      </c>
      <c r="S23" s="75" t="str">
        <f>IFERROR(VLOOKUP(Таблица43832323[[#This Row],[Столбец7]],Лист1!$A$4:$F$60,2,FALSE),"")</f>
        <v/>
      </c>
      <c r="T23" s="75" t="str">
        <f>IFERROR(VLOOKUP(Таблица43832323[[#This Row],[Столбец8]],Лист1!$A$4:$F$60,2,FALSE),"")</f>
        <v/>
      </c>
      <c r="U23" s="75" t="str">
        <f>IFERROR(VLOOKUP(Таблица43832323[[#This Row],[Столбец9]],Лист1!$A$4:$F$60,2,FALSE),"")</f>
        <v/>
      </c>
      <c r="V23" s="76" t="str">
        <f>IFERROR(VLOOKUP(Таблица43832323[[#This Row],[Деф 1]],Лист1!$A$4:$F$60,3,FALSE),"")</f>
        <v/>
      </c>
      <c r="W23" s="76" t="str">
        <f>IFERROR(VLOOKUP(Таблица43832323[[#This Row],[Деф 2]],Лист1!$A$4:$F$60,3,FALSE),"")</f>
        <v/>
      </c>
      <c r="X23" s="76" t="str">
        <f>IFERROR(VLOOKUP(Таблица43832323[[#This Row],[Столбец4]],Лист1!$A$4:$F$60,3,FALSE),"")</f>
        <v/>
      </c>
      <c r="Y23" s="76" t="str">
        <f>IFERROR(VLOOKUP(Таблица43832323[[#This Row],[Столбец5]],Лист1!$A$4:$F$60,3,FALSE),"")</f>
        <v/>
      </c>
      <c r="Z23" s="76" t="str">
        <f>IFERROR(VLOOKUP(Таблица43832323[[#This Row],[Столбец6]],Лист1!$A$4:$F$60,3,FALSE),"")</f>
        <v/>
      </c>
      <c r="AA23" s="76" t="str">
        <f>IFERROR(VLOOKUP(Таблица43832323[[#This Row],[Столбец7]],Лист1!$A$4:$F$60,3,FALSE),"")</f>
        <v/>
      </c>
      <c r="AB23" s="76" t="str">
        <f>IFERROR(VLOOKUP(Таблица43832323[[#This Row],[Столбец8]],Лист1!$A$4:$F$60,3,FALSE),"")</f>
        <v/>
      </c>
      <c r="AC23" s="76" t="str">
        <f>IFERROR(VLOOKUP(Таблица43832323[[#This Row],[Столбец9]],Лист1!$A$4:$F$60,3,FALSE),"")</f>
        <v/>
      </c>
      <c r="AD23" s="51" t="e">
        <f t="shared" si="0"/>
        <v>#REF!</v>
      </c>
      <c r="AE23" s="32" t="e">
        <f t="shared" si="1"/>
        <v>#REF!</v>
      </c>
      <c r="AF23" s="33" t="e">
        <f t="shared" si="2"/>
        <v>#REF!</v>
      </c>
      <c r="AG23" s="33" t="e">
        <f t="shared" si="3"/>
        <v>#REF!</v>
      </c>
      <c r="AH23" s="33" t="e">
        <f t="shared" si="4"/>
        <v>#REF!</v>
      </c>
      <c r="AI23" s="34" t="e">
        <f t="shared" si="5"/>
        <v>#REF!</v>
      </c>
      <c r="AJ23" s="34" t="e">
        <f>IF(Таблица43832323[[#This Row],[Столбец42]]=0,"000",Таблица43832323[[#This Row],[Столбец42]])</f>
        <v>#REF!</v>
      </c>
      <c r="AK23" s="34" t="e">
        <f>IF(Таблица43832323[[#This Row],[Столбец44]]=0,"000",Таблица43832323[[#This Row],[Столбец44]])</f>
        <v>#REF!</v>
      </c>
      <c r="AL23" s="52"/>
      <c r="AM23" s="77" t="e">
        <f t="shared" si="15"/>
        <v>#REF!</v>
      </c>
      <c r="AN23" s="78" t="str">
        <f>IF(ISBLANK(Таблица43832323[[#This Row],[Столбец9]]),N23&amp;O23&amp;P23&amp;Q23&amp;R23&amp;S23&amp;T23&amp;U23,N23&amp;O23&amp;P23&amp;Q23&amp;R23&amp;S23&amp;T23&amp;U23&amp;";")</f>
        <v/>
      </c>
      <c r="AO23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3" s="53">
        <f t="shared" si="13"/>
        <v>0</v>
      </c>
      <c r="AQ23" s="34">
        <f t="shared" si="14"/>
        <v>0</v>
      </c>
      <c r="AR23" s="47"/>
      <c r="AS23" s="79" t="e">
        <f t="shared" si="16"/>
        <v>#REF!</v>
      </c>
      <c r="AT23" s="80" t="e">
        <f t="shared" si="17"/>
        <v>#REF!</v>
      </c>
      <c r="AU23" s="81">
        <f t="shared" si="18"/>
        <v>0</v>
      </c>
      <c r="AV23" s="82">
        <f t="shared" si="19"/>
        <v>0</v>
      </c>
      <c r="AW23" s="82" t="str">
        <f t="shared" si="20"/>
        <v>-</v>
      </c>
      <c r="AX23" s="52"/>
      <c r="AY23" s="193" t="e">
        <f>Таблица43832323[[#This Row],[Адрес дефекта, км +]]</f>
        <v>#REF!</v>
      </c>
      <c r="AZ23" s="194" t="str">
        <f>Таблица43832323[[#This Row],[Столбец55]]</f>
        <v>-</v>
      </c>
      <c r="BA23" s="195">
        <f>Таблица43832323[[#This Row],[Столбец59]]</f>
        <v>0.5</v>
      </c>
      <c r="BB23" s="101"/>
      <c r="BC23" s="52"/>
      <c r="BD23" s="77" t="e">
        <f>Таблица43832323[[#This Row],[Адрес дефекта, км +]]</f>
        <v>#REF!</v>
      </c>
      <c r="BE23" s="83">
        <f>ROUND(1-((5-Таблица43832323[[#This Row],[Балл минимальный]])/10),2)</f>
        <v>0.5</v>
      </c>
      <c r="BF23" s="81">
        <f t="shared" si="21"/>
        <v>110</v>
      </c>
    </row>
    <row r="24" spans="1:58" ht="18" x14ac:dyDescent="0.2">
      <c r="A24" s="73"/>
      <c r="B24" s="73"/>
      <c r="C24" s="74">
        <f t="shared" si="12"/>
        <v>0</v>
      </c>
      <c r="D24" s="192"/>
      <c r="E24" s="54"/>
      <c r="F24" s="54"/>
      <c r="G24" s="54"/>
      <c r="H24" s="54"/>
      <c r="I24" s="54"/>
      <c r="J24" s="54"/>
      <c r="K24" s="54"/>
      <c r="L24" s="54"/>
      <c r="M24" s="156"/>
      <c r="N24" s="75" t="str">
        <f>IFERROR(VLOOKUP(Таблица43832323[[#This Row],[Деф 1]],Лист1!$A$4:$F$60,2,FALSE),"")</f>
        <v/>
      </c>
      <c r="O24" s="75" t="str">
        <f>IFERROR(VLOOKUP(Таблица43832323[[#This Row],[Деф 2]],Лист1!$A$4:$F$60,2,FALSE),"")</f>
        <v/>
      </c>
      <c r="P24" s="75" t="str">
        <f>IFERROR(VLOOKUP(Таблица43832323[[#This Row],[Столбец4]],Лист1!$A$4:$F$60,2,FALSE),"")</f>
        <v/>
      </c>
      <c r="Q24" s="75" t="str">
        <f>IFERROR(VLOOKUP(Таблица43832323[[#This Row],[Столбец5]],Лист1!$A$4:$F$60,2,FALSE),"")</f>
        <v/>
      </c>
      <c r="R24" s="75" t="str">
        <f>IFERROR(VLOOKUP(Таблица43832323[[#This Row],[Столбец6]],Лист1!$A$4:$F$60,2,FALSE),"")</f>
        <v/>
      </c>
      <c r="S24" s="75" t="str">
        <f>IFERROR(VLOOKUP(Таблица43832323[[#This Row],[Столбец7]],Лист1!$A$4:$F$60,2,FALSE),"")</f>
        <v/>
      </c>
      <c r="T24" s="75" t="str">
        <f>IFERROR(VLOOKUP(Таблица43832323[[#This Row],[Столбец8]],Лист1!$A$4:$F$60,2,FALSE),"")</f>
        <v/>
      </c>
      <c r="U24" s="75" t="str">
        <f>IFERROR(VLOOKUP(Таблица43832323[[#This Row],[Столбец9]],Лист1!$A$4:$F$60,2,FALSE),"")</f>
        <v/>
      </c>
      <c r="V24" s="76" t="str">
        <f>IFERROR(VLOOKUP(Таблица43832323[[#This Row],[Деф 1]],Лист1!$A$4:$F$60,3,FALSE),"")</f>
        <v/>
      </c>
      <c r="W24" s="76" t="str">
        <f>IFERROR(VLOOKUP(Таблица43832323[[#This Row],[Деф 2]],Лист1!$A$4:$F$60,3,FALSE),"")</f>
        <v/>
      </c>
      <c r="X24" s="76" t="str">
        <f>IFERROR(VLOOKUP(Таблица43832323[[#This Row],[Столбец4]],Лист1!$A$4:$F$60,3,FALSE),"")</f>
        <v/>
      </c>
      <c r="Y24" s="76" t="str">
        <f>IFERROR(VLOOKUP(Таблица43832323[[#This Row],[Столбец5]],Лист1!$A$4:$F$60,3,FALSE),"")</f>
        <v/>
      </c>
      <c r="Z24" s="76" t="str">
        <f>IFERROR(VLOOKUP(Таблица43832323[[#This Row],[Столбец6]],Лист1!$A$4:$F$60,3,FALSE),"")</f>
        <v/>
      </c>
      <c r="AA24" s="76" t="str">
        <f>IFERROR(VLOOKUP(Таблица43832323[[#This Row],[Столбец7]],Лист1!$A$4:$F$60,3,FALSE),"")</f>
        <v/>
      </c>
      <c r="AB24" s="76" t="str">
        <f>IFERROR(VLOOKUP(Таблица43832323[[#This Row],[Столбец8]],Лист1!$A$4:$F$60,3,FALSE),"")</f>
        <v/>
      </c>
      <c r="AC24" s="76" t="str">
        <f>IFERROR(VLOOKUP(Таблица43832323[[#This Row],[Столбец9]],Лист1!$A$4:$F$60,3,FALSE),"")</f>
        <v/>
      </c>
      <c r="AD24" s="51" t="e">
        <f t="shared" si="0"/>
        <v>#REF!</v>
      </c>
      <c r="AE24" s="32" t="e">
        <f t="shared" si="1"/>
        <v>#REF!</v>
      </c>
      <c r="AF24" s="33" t="e">
        <f t="shared" si="2"/>
        <v>#REF!</v>
      </c>
      <c r="AG24" s="33" t="e">
        <f t="shared" si="3"/>
        <v>#REF!</v>
      </c>
      <c r="AH24" s="33" t="e">
        <f t="shared" si="4"/>
        <v>#REF!</v>
      </c>
      <c r="AI24" s="34" t="e">
        <f t="shared" si="5"/>
        <v>#REF!</v>
      </c>
      <c r="AJ24" s="34" t="e">
        <f>IF(Таблица43832323[[#This Row],[Столбец42]]=0,"000",Таблица43832323[[#This Row],[Столбец42]])</f>
        <v>#REF!</v>
      </c>
      <c r="AK24" s="34" t="e">
        <f>IF(Таблица43832323[[#This Row],[Столбец44]]=0,"000",Таблица43832323[[#This Row],[Столбец44]])</f>
        <v>#REF!</v>
      </c>
      <c r="AL24" s="52"/>
      <c r="AM24" s="77" t="e">
        <f t="shared" si="15"/>
        <v>#REF!</v>
      </c>
      <c r="AN24" s="78" t="str">
        <f>IF(ISBLANK(Таблица43832323[[#This Row],[Столбец9]]),N24&amp;O24&amp;P24&amp;Q24&amp;R24&amp;S24&amp;T24&amp;U24,N24&amp;O24&amp;P24&amp;Q24&amp;R24&amp;S24&amp;T24&amp;U24&amp;";")</f>
        <v/>
      </c>
      <c r="AO24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4" s="53">
        <f t="shared" si="13"/>
        <v>0</v>
      </c>
      <c r="AQ24" s="34">
        <f t="shared" si="14"/>
        <v>0</v>
      </c>
      <c r="AR24" s="47"/>
      <c r="AS24" s="79" t="e">
        <f t="shared" si="16"/>
        <v>#REF!</v>
      </c>
      <c r="AT24" s="80" t="e">
        <f t="shared" si="17"/>
        <v>#REF!</v>
      </c>
      <c r="AU24" s="81">
        <f t="shared" si="18"/>
        <v>0</v>
      </c>
      <c r="AV24" s="82">
        <f t="shared" si="19"/>
        <v>0</v>
      </c>
      <c r="AW24" s="82" t="str">
        <f t="shared" si="20"/>
        <v>-</v>
      </c>
      <c r="AX24" s="52"/>
      <c r="AY24" s="193" t="e">
        <f>Таблица43832323[[#This Row],[Адрес дефекта, км +]]</f>
        <v>#REF!</v>
      </c>
      <c r="AZ24" s="194" t="str">
        <f>Таблица43832323[[#This Row],[Столбец55]]</f>
        <v>-</v>
      </c>
      <c r="BA24" s="195">
        <f>Таблица43832323[[#This Row],[Столбец59]]</f>
        <v>0.5</v>
      </c>
      <c r="BB24" s="101"/>
      <c r="BC24" s="52"/>
      <c r="BD24" s="77" t="e">
        <f>Таблица43832323[[#This Row],[Адрес дефекта, км +]]</f>
        <v>#REF!</v>
      </c>
      <c r="BE24" s="83">
        <f>ROUND(1-((5-Таблица43832323[[#This Row],[Балл минимальный]])/10),2)</f>
        <v>0.5</v>
      </c>
      <c r="BF24" s="81">
        <f t="shared" si="21"/>
        <v>110</v>
      </c>
    </row>
    <row r="25" spans="1:58" ht="18" x14ac:dyDescent="0.2">
      <c r="A25" s="73"/>
      <c r="B25" s="73"/>
      <c r="C25" s="74">
        <f t="shared" si="12"/>
        <v>0</v>
      </c>
      <c r="D25" s="192"/>
      <c r="E25" s="54"/>
      <c r="F25" s="54"/>
      <c r="G25" s="54"/>
      <c r="H25" s="54"/>
      <c r="I25" s="54"/>
      <c r="J25" s="54"/>
      <c r="K25" s="54"/>
      <c r="L25" s="54"/>
      <c r="M25" s="156"/>
      <c r="N25" s="75" t="str">
        <f>IFERROR(VLOOKUP(Таблица43832323[[#This Row],[Деф 1]],Лист1!$A$4:$F$60,2,FALSE),"")</f>
        <v/>
      </c>
      <c r="O25" s="75" t="str">
        <f>IFERROR(VLOOKUP(Таблица43832323[[#This Row],[Деф 2]],Лист1!$A$4:$F$60,2,FALSE),"")</f>
        <v/>
      </c>
      <c r="P25" s="75" t="str">
        <f>IFERROR(VLOOKUP(Таблица43832323[[#This Row],[Столбец4]],Лист1!$A$4:$F$60,2,FALSE),"")</f>
        <v/>
      </c>
      <c r="Q25" s="75" t="str">
        <f>IFERROR(VLOOKUP(Таблица43832323[[#This Row],[Столбец5]],Лист1!$A$4:$F$60,2,FALSE),"")</f>
        <v/>
      </c>
      <c r="R25" s="75" t="str">
        <f>IFERROR(VLOOKUP(Таблица43832323[[#This Row],[Столбец6]],Лист1!$A$4:$F$60,2,FALSE),"")</f>
        <v/>
      </c>
      <c r="S25" s="75" t="str">
        <f>IFERROR(VLOOKUP(Таблица43832323[[#This Row],[Столбец7]],Лист1!$A$4:$F$60,2,FALSE),"")</f>
        <v/>
      </c>
      <c r="T25" s="75" t="str">
        <f>IFERROR(VLOOKUP(Таблица43832323[[#This Row],[Столбец8]],Лист1!$A$4:$F$60,2,FALSE),"")</f>
        <v/>
      </c>
      <c r="U25" s="75" t="str">
        <f>IFERROR(VLOOKUP(Таблица43832323[[#This Row],[Столбец9]],Лист1!$A$4:$F$60,2,FALSE),"")</f>
        <v/>
      </c>
      <c r="V25" s="76" t="str">
        <f>IFERROR(VLOOKUP(Таблица43832323[[#This Row],[Деф 1]],Лист1!$A$4:$F$60,3,FALSE),"")</f>
        <v/>
      </c>
      <c r="W25" s="76" t="str">
        <f>IFERROR(VLOOKUP(Таблица43832323[[#This Row],[Деф 2]],Лист1!$A$4:$F$60,3,FALSE),"")</f>
        <v/>
      </c>
      <c r="X25" s="76" t="str">
        <f>IFERROR(VLOOKUP(Таблица43832323[[#This Row],[Столбец4]],Лист1!$A$4:$F$60,3,FALSE),"")</f>
        <v/>
      </c>
      <c r="Y25" s="76" t="str">
        <f>IFERROR(VLOOKUP(Таблица43832323[[#This Row],[Столбец5]],Лист1!$A$4:$F$60,3,FALSE),"")</f>
        <v/>
      </c>
      <c r="Z25" s="76" t="str">
        <f>IFERROR(VLOOKUP(Таблица43832323[[#This Row],[Столбец6]],Лист1!$A$4:$F$60,3,FALSE),"")</f>
        <v/>
      </c>
      <c r="AA25" s="76" t="str">
        <f>IFERROR(VLOOKUP(Таблица43832323[[#This Row],[Столбец7]],Лист1!$A$4:$F$60,3,FALSE),"")</f>
        <v/>
      </c>
      <c r="AB25" s="76" t="str">
        <f>IFERROR(VLOOKUP(Таблица43832323[[#This Row],[Столбец8]],Лист1!$A$4:$F$60,3,FALSE),"")</f>
        <v/>
      </c>
      <c r="AC25" s="76" t="str">
        <f>IFERROR(VLOOKUP(Таблица43832323[[#This Row],[Столбец9]],Лист1!$A$4:$F$60,3,FALSE),"")</f>
        <v/>
      </c>
      <c r="AD25" s="51" t="e">
        <f t="shared" si="0"/>
        <v>#REF!</v>
      </c>
      <c r="AE25" s="32" t="e">
        <f t="shared" si="1"/>
        <v>#REF!</v>
      </c>
      <c r="AF25" s="33" t="e">
        <f t="shared" si="2"/>
        <v>#REF!</v>
      </c>
      <c r="AG25" s="33" t="e">
        <f t="shared" si="3"/>
        <v>#REF!</v>
      </c>
      <c r="AH25" s="33" t="e">
        <f t="shared" si="4"/>
        <v>#REF!</v>
      </c>
      <c r="AI25" s="34" t="e">
        <f t="shared" si="5"/>
        <v>#REF!</v>
      </c>
      <c r="AJ25" s="34" t="e">
        <f>IF(Таблица43832323[[#This Row],[Столбец42]]=0,"000",Таблица43832323[[#This Row],[Столбец42]])</f>
        <v>#REF!</v>
      </c>
      <c r="AK25" s="34" t="e">
        <f>IF(Таблица43832323[[#This Row],[Столбец44]]=0,"000",Таблица43832323[[#This Row],[Столбец44]])</f>
        <v>#REF!</v>
      </c>
      <c r="AL25" s="52"/>
      <c r="AM25" s="77" t="e">
        <f t="shared" si="15"/>
        <v>#REF!</v>
      </c>
      <c r="AN25" s="78" t="str">
        <f>IF(ISBLANK(Таблица43832323[[#This Row],[Столбец9]]),N25&amp;O25&amp;P25&amp;Q25&amp;R25&amp;S25&amp;T25&amp;U25,N25&amp;O25&amp;P25&amp;Q25&amp;R25&amp;S25&amp;T25&amp;U25&amp;";")</f>
        <v/>
      </c>
      <c r="AO25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5" s="53">
        <f t="shared" si="13"/>
        <v>0</v>
      </c>
      <c r="AQ25" s="34">
        <f t="shared" si="14"/>
        <v>0</v>
      </c>
      <c r="AR25" s="47"/>
      <c r="AS25" s="79" t="e">
        <f t="shared" si="16"/>
        <v>#REF!</v>
      </c>
      <c r="AT25" s="80" t="e">
        <f t="shared" si="17"/>
        <v>#REF!</v>
      </c>
      <c r="AU25" s="81">
        <f t="shared" si="18"/>
        <v>0</v>
      </c>
      <c r="AV25" s="82">
        <f t="shared" si="19"/>
        <v>0</v>
      </c>
      <c r="AW25" s="82" t="str">
        <f t="shared" si="20"/>
        <v>-</v>
      </c>
      <c r="AX25" s="52"/>
      <c r="AY25" s="193" t="e">
        <f>Таблица43832323[[#This Row],[Адрес дефекта, км +]]</f>
        <v>#REF!</v>
      </c>
      <c r="AZ25" s="194" t="str">
        <f>Таблица43832323[[#This Row],[Столбец55]]</f>
        <v>-</v>
      </c>
      <c r="BA25" s="195">
        <f>Таблица43832323[[#This Row],[Столбец59]]</f>
        <v>0.5</v>
      </c>
      <c r="BB25" s="101"/>
      <c r="BC25" s="52"/>
      <c r="BD25" s="77" t="e">
        <f>Таблица43832323[[#This Row],[Адрес дефекта, км +]]</f>
        <v>#REF!</v>
      </c>
      <c r="BE25" s="83">
        <f>ROUND(1-((5-Таблица43832323[[#This Row],[Балл минимальный]])/10),2)</f>
        <v>0.5</v>
      </c>
      <c r="BF25" s="81">
        <f t="shared" si="21"/>
        <v>110</v>
      </c>
    </row>
    <row r="26" spans="1:58" ht="18" x14ac:dyDescent="0.2">
      <c r="A26" s="73"/>
      <c r="B26" s="73"/>
      <c r="C26" s="74">
        <f t="shared" si="12"/>
        <v>0</v>
      </c>
      <c r="D26" s="192"/>
      <c r="E26" s="54"/>
      <c r="F26" s="54"/>
      <c r="G26" s="54"/>
      <c r="H26" s="54"/>
      <c r="I26" s="54"/>
      <c r="J26" s="54"/>
      <c r="K26" s="54"/>
      <c r="L26" s="54"/>
      <c r="M26" s="156"/>
      <c r="N26" s="75" t="str">
        <f>IFERROR(VLOOKUP(Таблица43832323[[#This Row],[Деф 1]],Лист1!$A$4:$F$60,2,FALSE),"")</f>
        <v/>
      </c>
      <c r="O26" s="75" t="str">
        <f>IFERROR(VLOOKUP(Таблица43832323[[#This Row],[Деф 2]],Лист1!$A$4:$F$60,2,FALSE),"")</f>
        <v/>
      </c>
      <c r="P26" s="75" t="str">
        <f>IFERROR(VLOOKUP(Таблица43832323[[#This Row],[Столбец4]],Лист1!$A$4:$F$60,2,FALSE),"")</f>
        <v/>
      </c>
      <c r="Q26" s="75" t="str">
        <f>IFERROR(VLOOKUP(Таблица43832323[[#This Row],[Столбец5]],Лист1!$A$4:$F$60,2,FALSE),"")</f>
        <v/>
      </c>
      <c r="R26" s="75" t="str">
        <f>IFERROR(VLOOKUP(Таблица43832323[[#This Row],[Столбец6]],Лист1!$A$4:$F$60,2,FALSE),"")</f>
        <v/>
      </c>
      <c r="S26" s="75" t="str">
        <f>IFERROR(VLOOKUP(Таблица43832323[[#This Row],[Столбец7]],Лист1!$A$4:$F$60,2,FALSE),"")</f>
        <v/>
      </c>
      <c r="T26" s="75" t="str">
        <f>IFERROR(VLOOKUP(Таблица43832323[[#This Row],[Столбец8]],Лист1!$A$4:$F$60,2,FALSE),"")</f>
        <v/>
      </c>
      <c r="U26" s="75" t="str">
        <f>IFERROR(VLOOKUP(Таблица43832323[[#This Row],[Столбец9]],Лист1!$A$4:$F$60,2,FALSE),"")</f>
        <v/>
      </c>
      <c r="V26" s="76" t="str">
        <f>IFERROR(VLOOKUP(Таблица43832323[[#This Row],[Деф 1]],Лист1!$A$4:$F$60,3,FALSE),"")</f>
        <v/>
      </c>
      <c r="W26" s="76" t="str">
        <f>IFERROR(VLOOKUP(Таблица43832323[[#This Row],[Деф 2]],Лист1!$A$4:$F$60,3,FALSE),"")</f>
        <v/>
      </c>
      <c r="X26" s="76" t="str">
        <f>IFERROR(VLOOKUP(Таблица43832323[[#This Row],[Столбец4]],Лист1!$A$4:$F$60,3,FALSE),"")</f>
        <v/>
      </c>
      <c r="Y26" s="76" t="str">
        <f>IFERROR(VLOOKUP(Таблица43832323[[#This Row],[Столбец5]],Лист1!$A$4:$F$60,3,FALSE),"")</f>
        <v/>
      </c>
      <c r="Z26" s="76" t="str">
        <f>IFERROR(VLOOKUP(Таблица43832323[[#This Row],[Столбец6]],Лист1!$A$4:$F$60,3,FALSE),"")</f>
        <v/>
      </c>
      <c r="AA26" s="76" t="str">
        <f>IFERROR(VLOOKUP(Таблица43832323[[#This Row],[Столбец7]],Лист1!$A$4:$F$60,3,FALSE),"")</f>
        <v/>
      </c>
      <c r="AB26" s="76" t="str">
        <f>IFERROR(VLOOKUP(Таблица43832323[[#This Row],[Столбец8]],Лист1!$A$4:$F$60,3,FALSE),"")</f>
        <v/>
      </c>
      <c r="AC26" s="76" t="str">
        <f>IFERROR(VLOOKUP(Таблица43832323[[#This Row],[Столбец9]],Лист1!$A$4:$F$60,3,FALSE),"")</f>
        <v/>
      </c>
      <c r="AD26" s="51" t="e">
        <f t="shared" si="0"/>
        <v>#REF!</v>
      </c>
      <c r="AE26" s="32" t="e">
        <f t="shared" si="1"/>
        <v>#REF!</v>
      </c>
      <c r="AF26" s="33" t="e">
        <f t="shared" si="2"/>
        <v>#REF!</v>
      </c>
      <c r="AG26" s="33" t="e">
        <f t="shared" si="3"/>
        <v>#REF!</v>
      </c>
      <c r="AH26" s="33" t="e">
        <f t="shared" si="4"/>
        <v>#REF!</v>
      </c>
      <c r="AI26" s="34" t="e">
        <f t="shared" si="5"/>
        <v>#REF!</v>
      </c>
      <c r="AJ26" s="34" t="e">
        <f>IF(Таблица43832323[[#This Row],[Столбец42]]=0,"000",Таблица43832323[[#This Row],[Столбец42]])</f>
        <v>#REF!</v>
      </c>
      <c r="AK26" s="34" t="e">
        <f>IF(Таблица43832323[[#This Row],[Столбец44]]=0,"000",Таблица43832323[[#This Row],[Столбец44]])</f>
        <v>#REF!</v>
      </c>
      <c r="AL26" s="52"/>
      <c r="AM26" s="77" t="e">
        <f t="shared" si="15"/>
        <v>#REF!</v>
      </c>
      <c r="AN26" s="78" t="str">
        <f>IF(ISBLANK(Таблица43832323[[#This Row],[Столбец9]]),N26&amp;O26&amp;P26&amp;Q26&amp;R26&amp;S26&amp;T26&amp;U26,N26&amp;O26&amp;P26&amp;Q26&amp;R26&amp;S26&amp;T26&amp;U26&amp;";")</f>
        <v/>
      </c>
      <c r="AO26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6" s="53">
        <f t="shared" si="13"/>
        <v>0</v>
      </c>
      <c r="AQ26" s="34">
        <f t="shared" si="14"/>
        <v>0</v>
      </c>
      <c r="AR26" s="47"/>
      <c r="AS26" s="79" t="e">
        <f t="shared" si="16"/>
        <v>#REF!</v>
      </c>
      <c r="AT26" s="80" t="e">
        <f t="shared" si="17"/>
        <v>#REF!</v>
      </c>
      <c r="AU26" s="81">
        <f t="shared" si="18"/>
        <v>0</v>
      </c>
      <c r="AV26" s="82">
        <f t="shared" si="19"/>
        <v>0</v>
      </c>
      <c r="AW26" s="82" t="str">
        <f t="shared" si="20"/>
        <v>-</v>
      </c>
      <c r="AX26" s="52"/>
      <c r="AY26" s="193" t="e">
        <f>Таблица43832323[[#This Row],[Адрес дефекта, км +]]</f>
        <v>#REF!</v>
      </c>
      <c r="AZ26" s="194" t="str">
        <f>Таблица43832323[[#This Row],[Столбец55]]</f>
        <v>-</v>
      </c>
      <c r="BA26" s="195">
        <f>Таблица43832323[[#This Row],[Столбец59]]</f>
        <v>0.5</v>
      </c>
      <c r="BB26" s="101"/>
      <c r="BC26" s="52"/>
      <c r="BD26" s="77" t="e">
        <f>Таблица43832323[[#This Row],[Адрес дефекта, км +]]</f>
        <v>#REF!</v>
      </c>
      <c r="BE26" s="83">
        <f>ROUND(1-((5-Таблица43832323[[#This Row],[Балл минимальный]])/10),2)</f>
        <v>0.5</v>
      </c>
      <c r="BF26" s="81">
        <f t="shared" si="21"/>
        <v>110</v>
      </c>
    </row>
    <row r="27" spans="1:58" ht="18" x14ac:dyDescent="0.2">
      <c r="A27" s="73"/>
      <c r="B27" s="73"/>
      <c r="C27" s="74">
        <f t="shared" si="12"/>
        <v>0</v>
      </c>
      <c r="D27" s="192"/>
      <c r="E27" s="54"/>
      <c r="F27" s="54"/>
      <c r="G27" s="54"/>
      <c r="H27" s="54"/>
      <c r="I27" s="54"/>
      <c r="J27" s="54"/>
      <c r="K27" s="54"/>
      <c r="L27" s="54"/>
      <c r="M27" s="156"/>
      <c r="N27" s="75" t="str">
        <f>IFERROR(VLOOKUP(Таблица43832323[[#This Row],[Деф 1]],Лист1!$A$4:$F$60,2,FALSE),"")</f>
        <v/>
      </c>
      <c r="O27" s="75" t="str">
        <f>IFERROR(VLOOKUP(Таблица43832323[[#This Row],[Деф 2]],Лист1!$A$4:$F$60,2,FALSE),"")</f>
        <v/>
      </c>
      <c r="P27" s="75" t="str">
        <f>IFERROR(VLOOKUP(Таблица43832323[[#This Row],[Столбец4]],Лист1!$A$4:$F$60,2,FALSE),"")</f>
        <v/>
      </c>
      <c r="Q27" s="75" t="str">
        <f>IFERROR(VLOOKUP(Таблица43832323[[#This Row],[Столбец5]],Лист1!$A$4:$F$60,2,FALSE),"")</f>
        <v/>
      </c>
      <c r="R27" s="75" t="str">
        <f>IFERROR(VLOOKUP(Таблица43832323[[#This Row],[Столбец6]],Лист1!$A$4:$F$60,2,FALSE),"")</f>
        <v/>
      </c>
      <c r="S27" s="75" t="str">
        <f>IFERROR(VLOOKUP(Таблица43832323[[#This Row],[Столбец7]],Лист1!$A$4:$F$60,2,FALSE),"")</f>
        <v/>
      </c>
      <c r="T27" s="75" t="str">
        <f>IFERROR(VLOOKUP(Таблица43832323[[#This Row],[Столбец8]],Лист1!$A$4:$F$60,2,FALSE),"")</f>
        <v/>
      </c>
      <c r="U27" s="75" t="str">
        <f>IFERROR(VLOOKUP(Таблица43832323[[#This Row],[Столбец9]],Лист1!$A$4:$F$60,2,FALSE),"")</f>
        <v/>
      </c>
      <c r="V27" s="76" t="str">
        <f>IFERROR(VLOOKUP(Таблица43832323[[#This Row],[Деф 1]],Лист1!$A$4:$F$60,3,FALSE),"")</f>
        <v/>
      </c>
      <c r="W27" s="76" t="str">
        <f>IFERROR(VLOOKUP(Таблица43832323[[#This Row],[Деф 2]],Лист1!$A$4:$F$60,3,FALSE),"")</f>
        <v/>
      </c>
      <c r="X27" s="76" t="str">
        <f>IFERROR(VLOOKUP(Таблица43832323[[#This Row],[Столбец4]],Лист1!$A$4:$F$60,3,FALSE),"")</f>
        <v/>
      </c>
      <c r="Y27" s="76" t="str">
        <f>IFERROR(VLOOKUP(Таблица43832323[[#This Row],[Столбец5]],Лист1!$A$4:$F$60,3,FALSE),"")</f>
        <v/>
      </c>
      <c r="Z27" s="76" t="str">
        <f>IFERROR(VLOOKUP(Таблица43832323[[#This Row],[Столбец6]],Лист1!$A$4:$F$60,3,FALSE),"")</f>
        <v/>
      </c>
      <c r="AA27" s="76" t="str">
        <f>IFERROR(VLOOKUP(Таблица43832323[[#This Row],[Столбец7]],Лист1!$A$4:$F$60,3,FALSE),"")</f>
        <v/>
      </c>
      <c r="AB27" s="76" t="str">
        <f>IFERROR(VLOOKUP(Таблица43832323[[#This Row],[Столбец8]],Лист1!$A$4:$F$60,3,FALSE),"")</f>
        <v/>
      </c>
      <c r="AC27" s="76" t="str">
        <f>IFERROR(VLOOKUP(Таблица43832323[[#This Row],[Столбец9]],Лист1!$A$4:$F$60,3,FALSE),"")</f>
        <v/>
      </c>
      <c r="AD27" s="51" t="e">
        <f t="shared" si="0"/>
        <v>#REF!</v>
      </c>
      <c r="AE27" s="32" t="e">
        <f t="shared" si="1"/>
        <v>#REF!</v>
      </c>
      <c r="AF27" s="33" t="e">
        <f t="shared" si="2"/>
        <v>#REF!</v>
      </c>
      <c r="AG27" s="33" t="e">
        <f t="shared" si="3"/>
        <v>#REF!</v>
      </c>
      <c r="AH27" s="33" t="e">
        <f t="shared" si="4"/>
        <v>#REF!</v>
      </c>
      <c r="AI27" s="34" t="e">
        <f t="shared" si="5"/>
        <v>#REF!</v>
      </c>
      <c r="AJ27" s="34" t="e">
        <f>IF(Таблица43832323[[#This Row],[Столбец42]]=0,"000",Таблица43832323[[#This Row],[Столбец42]])</f>
        <v>#REF!</v>
      </c>
      <c r="AK27" s="34" t="e">
        <f>IF(Таблица43832323[[#This Row],[Столбец44]]=0,"000",Таблица43832323[[#This Row],[Столбец44]])</f>
        <v>#REF!</v>
      </c>
      <c r="AL27" s="52"/>
      <c r="AM27" s="77" t="e">
        <f t="shared" si="15"/>
        <v>#REF!</v>
      </c>
      <c r="AN27" s="78" t="str">
        <f>IF(ISBLANK(Таблица43832323[[#This Row],[Столбец9]]),N27&amp;O27&amp;P27&amp;Q27&amp;R27&amp;S27&amp;T27&amp;U27,N27&amp;O27&amp;P27&amp;Q27&amp;R27&amp;S27&amp;T27&amp;U27&amp;";")</f>
        <v/>
      </c>
      <c r="AO27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7" s="53">
        <f t="shared" si="13"/>
        <v>0</v>
      </c>
      <c r="AQ27" s="34">
        <f t="shared" si="14"/>
        <v>0</v>
      </c>
      <c r="AR27" s="47"/>
      <c r="AS27" s="79" t="e">
        <f t="shared" si="16"/>
        <v>#REF!</v>
      </c>
      <c r="AT27" s="80" t="e">
        <f t="shared" si="17"/>
        <v>#REF!</v>
      </c>
      <c r="AU27" s="81">
        <f t="shared" si="18"/>
        <v>0</v>
      </c>
      <c r="AV27" s="82">
        <f t="shared" si="19"/>
        <v>0</v>
      </c>
      <c r="AW27" s="82" t="str">
        <f t="shared" si="20"/>
        <v>-</v>
      </c>
      <c r="AX27" s="52"/>
      <c r="AY27" s="193" t="e">
        <f>Таблица43832323[[#This Row],[Адрес дефекта, км +]]</f>
        <v>#REF!</v>
      </c>
      <c r="AZ27" s="194" t="str">
        <f>Таблица43832323[[#This Row],[Столбец55]]</f>
        <v>-</v>
      </c>
      <c r="BA27" s="195">
        <f>Таблица43832323[[#This Row],[Столбец59]]</f>
        <v>0.5</v>
      </c>
      <c r="BB27" s="101"/>
      <c r="BC27" s="52"/>
      <c r="BD27" s="77" t="e">
        <f>Таблица43832323[[#This Row],[Адрес дефекта, км +]]</f>
        <v>#REF!</v>
      </c>
      <c r="BE27" s="83">
        <f>ROUND(1-((5-Таблица43832323[[#This Row],[Балл минимальный]])/10),2)</f>
        <v>0.5</v>
      </c>
      <c r="BF27" s="81">
        <f t="shared" si="21"/>
        <v>110</v>
      </c>
    </row>
    <row r="28" spans="1:58" ht="18" x14ac:dyDescent="0.2">
      <c r="A28" s="73"/>
      <c r="B28" s="73"/>
      <c r="C28" s="74">
        <f t="shared" si="12"/>
        <v>0</v>
      </c>
      <c r="D28" s="192"/>
      <c r="E28" s="54"/>
      <c r="F28" s="54"/>
      <c r="G28" s="54"/>
      <c r="H28" s="54"/>
      <c r="I28" s="54"/>
      <c r="J28" s="54"/>
      <c r="K28" s="54"/>
      <c r="L28" s="54"/>
      <c r="M28" s="156"/>
      <c r="N28" s="75" t="str">
        <f>IFERROR(VLOOKUP(Таблица43832323[[#This Row],[Деф 1]],Лист1!$A$4:$F$60,2,FALSE),"")</f>
        <v/>
      </c>
      <c r="O28" s="75" t="str">
        <f>IFERROR(VLOOKUP(Таблица43832323[[#This Row],[Деф 2]],Лист1!$A$4:$F$60,2,FALSE),"")</f>
        <v/>
      </c>
      <c r="P28" s="75" t="str">
        <f>IFERROR(VLOOKUP(Таблица43832323[[#This Row],[Столбец4]],Лист1!$A$4:$F$60,2,FALSE),"")</f>
        <v/>
      </c>
      <c r="Q28" s="75" t="str">
        <f>IFERROR(VLOOKUP(Таблица43832323[[#This Row],[Столбец5]],Лист1!$A$4:$F$60,2,FALSE),"")</f>
        <v/>
      </c>
      <c r="R28" s="75" t="str">
        <f>IFERROR(VLOOKUP(Таблица43832323[[#This Row],[Столбец6]],Лист1!$A$4:$F$60,2,FALSE),"")</f>
        <v/>
      </c>
      <c r="S28" s="75" t="str">
        <f>IFERROR(VLOOKUP(Таблица43832323[[#This Row],[Столбец7]],Лист1!$A$4:$F$60,2,FALSE),"")</f>
        <v/>
      </c>
      <c r="T28" s="75" t="str">
        <f>IFERROR(VLOOKUP(Таблица43832323[[#This Row],[Столбец8]],Лист1!$A$4:$F$60,2,FALSE),"")</f>
        <v/>
      </c>
      <c r="U28" s="75" t="str">
        <f>IFERROR(VLOOKUP(Таблица43832323[[#This Row],[Столбец9]],Лист1!$A$4:$F$60,2,FALSE),"")</f>
        <v/>
      </c>
      <c r="V28" s="76" t="str">
        <f>IFERROR(VLOOKUP(Таблица43832323[[#This Row],[Деф 1]],Лист1!$A$4:$F$60,3,FALSE),"")</f>
        <v/>
      </c>
      <c r="W28" s="76" t="str">
        <f>IFERROR(VLOOKUP(Таблица43832323[[#This Row],[Деф 2]],Лист1!$A$4:$F$60,3,FALSE),"")</f>
        <v/>
      </c>
      <c r="X28" s="76" t="str">
        <f>IFERROR(VLOOKUP(Таблица43832323[[#This Row],[Столбец4]],Лист1!$A$4:$F$60,3,FALSE),"")</f>
        <v/>
      </c>
      <c r="Y28" s="76" t="str">
        <f>IFERROR(VLOOKUP(Таблица43832323[[#This Row],[Столбец5]],Лист1!$A$4:$F$60,3,FALSE),"")</f>
        <v/>
      </c>
      <c r="Z28" s="76" t="str">
        <f>IFERROR(VLOOKUP(Таблица43832323[[#This Row],[Столбец6]],Лист1!$A$4:$F$60,3,FALSE),"")</f>
        <v/>
      </c>
      <c r="AA28" s="76" t="str">
        <f>IFERROR(VLOOKUP(Таблица43832323[[#This Row],[Столбец7]],Лист1!$A$4:$F$60,3,FALSE),"")</f>
        <v/>
      </c>
      <c r="AB28" s="76" t="str">
        <f>IFERROR(VLOOKUP(Таблица43832323[[#This Row],[Столбец8]],Лист1!$A$4:$F$60,3,FALSE),"")</f>
        <v/>
      </c>
      <c r="AC28" s="76" t="str">
        <f>IFERROR(VLOOKUP(Таблица43832323[[#This Row],[Столбец9]],Лист1!$A$4:$F$60,3,FALSE),"")</f>
        <v/>
      </c>
      <c r="AD28" s="51" t="e">
        <f t="shared" si="0"/>
        <v>#REF!</v>
      </c>
      <c r="AE28" s="32" t="e">
        <f t="shared" si="1"/>
        <v>#REF!</v>
      </c>
      <c r="AF28" s="33" t="e">
        <f t="shared" si="2"/>
        <v>#REF!</v>
      </c>
      <c r="AG28" s="33" t="e">
        <f t="shared" si="3"/>
        <v>#REF!</v>
      </c>
      <c r="AH28" s="33" t="e">
        <f t="shared" si="4"/>
        <v>#REF!</v>
      </c>
      <c r="AI28" s="34" t="e">
        <f t="shared" si="5"/>
        <v>#REF!</v>
      </c>
      <c r="AJ28" s="34" t="e">
        <f>IF(Таблица43832323[[#This Row],[Столбец42]]=0,"000",Таблица43832323[[#This Row],[Столбец42]])</f>
        <v>#REF!</v>
      </c>
      <c r="AK28" s="34" t="e">
        <f>IF(Таблица43832323[[#This Row],[Столбец44]]=0,"000",Таблица43832323[[#This Row],[Столбец44]])</f>
        <v>#REF!</v>
      </c>
      <c r="AL28" s="52"/>
      <c r="AM28" s="77" t="e">
        <f t="shared" si="15"/>
        <v>#REF!</v>
      </c>
      <c r="AN28" s="78" t="str">
        <f>IF(ISBLANK(Таблица43832323[[#This Row],[Столбец9]]),N28&amp;O28&amp;P28&amp;Q28&amp;R28&amp;S28&amp;T28&amp;U28,N28&amp;O28&amp;P28&amp;Q28&amp;R28&amp;S28&amp;T28&amp;U28&amp;";")</f>
        <v/>
      </c>
      <c r="AO28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8" s="53">
        <f t="shared" si="13"/>
        <v>0</v>
      </c>
      <c r="AQ28" s="34">
        <f t="shared" si="14"/>
        <v>0</v>
      </c>
      <c r="AR28" s="47"/>
      <c r="AS28" s="79" t="e">
        <f t="shared" si="16"/>
        <v>#REF!</v>
      </c>
      <c r="AT28" s="80" t="e">
        <f t="shared" si="17"/>
        <v>#REF!</v>
      </c>
      <c r="AU28" s="81">
        <f t="shared" si="18"/>
        <v>0</v>
      </c>
      <c r="AV28" s="82">
        <f t="shared" si="19"/>
        <v>0</v>
      </c>
      <c r="AW28" s="82" t="str">
        <f t="shared" si="20"/>
        <v>-</v>
      </c>
      <c r="AX28" s="52"/>
      <c r="AY28" s="193" t="e">
        <f>Таблица43832323[[#This Row],[Адрес дефекта, км +]]</f>
        <v>#REF!</v>
      </c>
      <c r="AZ28" s="194" t="str">
        <f>Таблица43832323[[#This Row],[Столбец55]]</f>
        <v>-</v>
      </c>
      <c r="BA28" s="195">
        <f>Таблица43832323[[#This Row],[Столбец59]]</f>
        <v>0.5</v>
      </c>
      <c r="BB28" s="101"/>
      <c r="BC28" s="52"/>
      <c r="BD28" s="77" t="e">
        <f>Таблица43832323[[#This Row],[Адрес дефекта, км +]]</f>
        <v>#REF!</v>
      </c>
      <c r="BE28" s="83">
        <f>ROUND(1-((5-Таблица43832323[[#This Row],[Балл минимальный]])/10),2)</f>
        <v>0.5</v>
      </c>
      <c r="BF28" s="81">
        <f t="shared" si="21"/>
        <v>110</v>
      </c>
    </row>
    <row r="29" spans="1:58" ht="18" x14ac:dyDescent="0.2">
      <c r="A29" s="73"/>
      <c r="B29" s="73"/>
      <c r="C29" s="74">
        <f t="shared" si="12"/>
        <v>0</v>
      </c>
      <c r="D29" s="192"/>
      <c r="E29" s="54"/>
      <c r="F29" s="54"/>
      <c r="G29" s="54"/>
      <c r="H29" s="54"/>
      <c r="I29" s="54"/>
      <c r="J29" s="54"/>
      <c r="K29" s="54"/>
      <c r="L29" s="54"/>
      <c r="M29" s="156"/>
      <c r="N29" s="75" t="str">
        <f>IFERROR(VLOOKUP(Таблица43832323[[#This Row],[Деф 1]],Лист1!$A$4:$F$60,2,FALSE),"")</f>
        <v/>
      </c>
      <c r="O29" s="75" t="str">
        <f>IFERROR(VLOOKUP(Таблица43832323[[#This Row],[Деф 2]],Лист1!$A$4:$F$60,2,FALSE),"")</f>
        <v/>
      </c>
      <c r="P29" s="75" t="str">
        <f>IFERROR(VLOOKUP(Таблица43832323[[#This Row],[Столбец4]],Лист1!$A$4:$F$60,2,FALSE),"")</f>
        <v/>
      </c>
      <c r="Q29" s="75" t="str">
        <f>IFERROR(VLOOKUP(Таблица43832323[[#This Row],[Столбец5]],Лист1!$A$4:$F$60,2,FALSE),"")</f>
        <v/>
      </c>
      <c r="R29" s="75" t="str">
        <f>IFERROR(VLOOKUP(Таблица43832323[[#This Row],[Столбец6]],Лист1!$A$4:$F$60,2,FALSE),"")</f>
        <v/>
      </c>
      <c r="S29" s="75" t="str">
        <f>IFERROR(VLOOKUP(Таблица43832323[[#This Row],[Столбец7]],Лист1!$A$4:$F$60,2,FALSE),"")</f>
        <v/>
      </c>
      <c r="T29" s="75" t="str">
        <f>IFERROR(VLOOKUP(Таблица43832323[[#This Row],[Столбец8]],Лист1!$A$4:$F$60,2,FALSE),"")</f>
        <v/>
      </c>
      <c r="U29" s="75" t="str">
        <f>IFERROR(VLOOKUP(Таблица43832323[[#This Row],[Столбец9]],Лист1!$A$4:$F$60,2,FALSE),"")</f>
        <v/>
      </c>
      <c r="V29" s="76" t="str">
        <f>IFERROR(VLOOKUP(Таблица43832323[[#This Row],[Деф 1]],Лист1!$A$4:$F$60,3,FALSE),"")</f>
        <v/>
      </c>
      <c r="W29" s="76" t="str">
        <f>IFERROR(VLOOKUP(Таблица43832323[[#This Row],[Деф 2]],Лист1!$A$4:$F$60,3,FALSE),"")</f>
        <v/>
      </c>
      <c r="X29" s="76" t="str">
        <f>IFERROR(VLOOKUP(Таблица43832323[[#This Row],[Столбец4]],Лист1!$A$4:$F$60,3,FALSE),"")</f>
        <v/>
      </c>
      <c r="Y29" s="76" t="str">
        <f>IFERROR(VLOOKUP(Таблица43832323[[#This Row],[Столбец5]],Лист1!$A$4:$F$60,3,FALSE),"")</f>
        <v/>
      </c>
      <c r="Z29" s="76" t="str">
        <f>IFERROR(VLOOKUP(Таблица43832323[[#This Row],[Столбец6]],Лист1!$A$4:$F$60,3,FALSE),"")</f>
        <v/>
      </c>
      <c r="AA29" s="76" t="str">
        <f>IFERROR(VLOOKUP(Таблица43832323[[#This Row],[Столбец7]],Лист1!$A$4:$F$60,3,FALSE),"")</f>
        <v/>
      </c>
      <c r="AB29" s="76" t="str">
        <f>IFERROR(VLOOKUP(Таблица43832323[[#This Row],[Столбец8]],Лист1!$A$4:$F$60,3,FALSE),"")</f>
        <v/>
      </c>
      <c r="AC29" s="76" t="str">
        <f>IFERROR(VLOOKUP(Таблица43832323[[#This Row],[Столбец9]],Лист1!$A$4:$F$60,3,FALSE),"")</f>
        <v/>
      </c>
      <c r="AD29" s="51" t="e">
        <f t="shared" si="0"/>
        <v>#REF!</v>
      </c>
      <c r="AE29" s="32" t="e">
        <f t="shared" si="1"/>
        <v>#REF!</v>
      </c>
      <c r="AF29" s="33" t="e">
        <f t="shared" si="2"/>
        <v>#REF!</v>
      </c>
      <c r="AG29" s="33" t="e">
        <f t="shared" si="3"/>
        <v>#REF!</v>
      </c>
      <c r="AH29" s="33" t="e">
        <f t="shared" si="4"/>
        <v>#REF!</v>
      </c>
      <c r="AI29" s="34" t="e">
        <f t="shared" si="5"/>
        <v>#REF!</v>
      </c>
      <c r="AJ29" s="34" t="e">
        <f>IF(Таблица43832323[[#This Row],[Столбец42]]=0,"000",Таблица43832323[[#This Row],[Столбец42]])</f>
        <v>#REF!</v>
      </c>
      <c r="AK29" s="34" t="e">
        <f>IF(Таблица43832323[[#This Row],[Столбец44]]=0,"000",Таблица43832323[[#This Row],[Столбец44]])</f>
        <v>#REF!</v>
      </c>
      <c r="AL29" s="52"/>
      <c r="AM29" s="77" t="e">
        <f t="shared" si="15"/>
        <v>#REF!</v>
      </c>
      <c r="AN29" s="78" t="str">
        <f>IF(ISBLANK(Таблица43832323[[#This Row],[Столбец9]]),N29&amp;O29&amp;P29&amp;Q29&amp;R29&amp;S29&amp;T29&amp;U29,N29&amp;O29&amp;P29&amp;Q29&amp;R29&amp;S29&amp;T29&amp;U29&amp;";")</f>
        <v/>
      </c>
      <c r="AO29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9" s="53">
        <f t="shared" si="13"/>
        <v>0</v>
      </c>
      <c r="AQ29" s="34">
        <f t="shared" si="14"/>
        <v>0</v>
      </c>
      <c r="AR29" s="47"/>
      <c r="AS29" s="79" t="e">
        <f t="shared" si="16"/>
        <v>#REF!</v>
      </c>
      <c r="AT29" s="80" t="e">
        <f t="shared" si="17"/>
        <v>#REF!</v>
      </c>
      <c r="AU29" s="81">
        <f t="shared" si="18"/>
        <v>0</v>
      </c>
      <c r="AV29" s="82">
        <f t="shared" si="19"/>
        <v>0</v>
      </c>
      <c r="AW29" s="82" t="str">
        <f t="shared" si="20"/>
        <v>-</v>
      </c>
      <c r="AX29" s="52"/>
      <c r="AY29" s="193" t="e">
        <f>Таблица43832323[[#This Row],[Адрес дефекта, км +]]</f>
        <v>#REF!</v>
      </c>
      <c r="AZ29" s="194" t="str">
        <f>Таблица43832323[[#This Row],[Столбец55]]</f>
        <v>-</v>
      </c>
      <c r="BA29" s="195">
        <f>Таблица43832323[[#This Row],[Столбец59]]</f>
        <v>0.5</v>
      </c>
      <c r="BB29" s="101"/>
      <c r="BC29" s="52"/>
      <c r="BD29" s="77" t="e">
        <f>Таблица43832323[[#This Row],[Адрес дефекта, км +]]</f>
        <v>#REF!</v>
      </c>
      <c r="BE29" s="83">
        <f>ROUND(1-((5-Таблица43832323[[#This Row],[Балл минимальный]])/10),2)</f>
        <v>0.5</v>
      </c>
      <c r="BF29" s="81">
        <f t="shared" si="21"/>
        <v>110</v>
      </c>
    </row>
    <row r="30" spans="1:58" ht="18" x14ac:dyDescent="0.2">
      <c r="A30" s="73"/>
      <c r="B30" s="73"/>
      <c r="C30" s="74">
        <f t="shared" si="12"/>
        <v>0</v>
      </c>
      <c r="D30" s="192"/>
      <c r="E30" s="54"/>
      <c r="F30" s="54"/>
      <c r="G30" s="54"/>
      <c r="H30" s="54"/>
      <c r="I30" s="54"/>
      <c r="J30" s="54"/>
      <c r="K30" s="54"/>
      <c r="L30" s="54"/>
      <c r="M30" s="156"/>
      <c r="N30" s="75" t="str">
        <f>IFERROR(VLOOKUP(Таблица43832323[[#This Row],[Деф 1]],Лист1!$A$4:$F$60,2,FALSE),"")</f>
        <v/>
      </c>
      <c r="O30" s="75" t="str">
        <f>IFERROR(VLOOKUP(Таблица43832323[[#This Row],[Деф 2]],Лист1!$A$4:$F$60,2,FALSE),"")</f>
        <v/>
      </c>
      <c r="P30" s="75" t="str">
        <f>IFERROR(VLOOKUP(Таблица43832323[[#This Row],[Столбец4]],Лист1!$A$4:$F$60,2,FALSE),"")</f>
        <v/>
      </c>
      <c r="Q30" s="75" t="str">
        <f>IFERROR(VLOOKUP(Таблица43832323[[#This Row],[Столбец5]],Лист1!$A$4:$F$60,2,FALSE),"")</f>
        <v/>
      </c>
      <c r="R30" s="75" t="str">
        <f>IFERROR(VLOOKUP(Таблица43832323[[#This Row],[Столбец6]],Лист1!$A$4:$F$60,2,FALSE),"")</f>
        <v/>
      </c>
      <c r="S30" s="75" t="str">
        <f>IFERROR(VLOOKUP(Таблица43832323[[#This Row],[Столбец7]],Лист1!$A$4:$F$60,2,FALSE),"")</f>
        <v/>
      </c>
      <c r="T30" s="75" t="str">
        <f>IFERROR(VLOOKUP(Таблица43832323[[#This Row],[Столбец8]],Лист1!$A$4:$F$60,2,FALSE),"")</f>
        <v/>
      </c>
      <c r="U30" s="75" t="str">
        <f>IFERROR(VLOOKUP(Таблица43832323[[#This Row],[Столбец9]],Лист1!$A$4:$F$60,2,FALSE),"")</f>
        <v/>
      </c>
      <c r="V30" s="76" t="str">
        <f>IFERROR(VLOOKUP(Таблица43832323[[#This Row],[Деф 1]],Лист1!$A$4:$F$60,3,FALSE),"")</f>
        <v/>
      </c>
      <c r="W30" s="76" t="str">
        <f>IFERROR(VLOOKUP(Таблица43832323[[#This Row],[Деф 2]],Лист1!$A$4:$F$60,3,FALSE),"")</f>
        <v/>
      </c>
      <c r="X30" s="76" t="str">
        <f>IFERROR(VLOOKUP(Таблица43832323[[#This Row],[Столбец4]],Лист1!$A$4:$F$60,3,FALSE),"")</f>
        <v/>
      </c>
      <c r="Y30" s="76" t="str">
        <f>IFERROR(VLOOKUP(Таблица43832323[[#This Row],[Столбец5]],Лист1!$A$4:$F$60,3,FALSE),"")</f>
        <v/>
      </c>
      <c r="Z30" s="76" t="str">
        <f>IFERROR(VLOOKUP(Таблица43832323[[#This Row],[Столбец6]],Лист1!$A$4:$F$60,3,FALSE),"")</f>
        <v/>
      </c>
      <c r="AA30" s="76" t="str">
        <f>IFERROR(VLOOKUP(Таблица43832323[[#This Row],[Столбец7]],Лист1!$A$4:$F$60,3,FALSE),"")</f>
        <v/>
      </c>
      <c r="AB30" s="76" t="str">
        <f>IFERROR(VLOOKUP(Таблица43832323[[#This Row],[Столбец8]],Лист1!$A$4:$F$60,3,FALSE),"")</f>
        <v/>
      </c>
      <c r="AC30" s="76" t="str">
        <f>IFERROR(VLOOKUP(Таблица43832323[[#This Row],[Столбец9]],Лист1!$A$4:$F$60,3,FALSE),"")</f>
        <v/>
      </c>
      <c r="AD30" s="51" t="e">
        <f t="shared" si="0"/>
        <v>#REF!</v>
      </c>
      <c r="AE30" s="32" t="e">
        <f t="shared" si="1"/>
        <v>#REF!</v>
      </c>
      <c r="AF30" s="33" t="e">
        <f t="shared" si="2"/>
        <v>#REF!</v>
      </c>
      <c r="AG30" s="33" t="e">
        <f t="shared" si="3"/>
        <v>#REF!</v>
      </c>
      <c r="AH30" s="33" t="e">
        <f t="shared" si="4"/>
        <v>#REF!</v>
      </c>
      <c r="AI30" s="34" t="e">
        <f t="shared" si="5"/>
        <v>#REF!</v>
      </c>
      <c r="AJ30" s="34" t="e">
        <f>IF(Таблица43832323[[#This Row],[Столбец42]]=0,"000",Таблица43832323[[#This Row],[Столбец42]])</f>
        <v>#REF!</v>
      </c>
      <c r="AK30" s="34" t="e">
        <f>IF(Таблица43832323[[#This Row],[Столбец44]]=0,"000",Таблица43832323[[#This Row],[Столбец44]])</f>
        <v>#REF!</v>
      </c>
      <c r="AL30" s="52"/>
      <c r="AM30" s="77" t="e">
        <f t="shared" si="15"/>
        <v>#REF!</v>
      </c>
      <c r="AN30" s="78" t="str">
        <f>IF(ISBLANK(Таблица43832323[[#This Row],[Столбец9]]),N30&amp;O30&amp;P30&amp;Q30&amp;R30&amp;S30&amp;T30&amp;U30,N30&amp;O30&amp;P30&amp;Q30&amp;R30&amp;S30&amp;T30&amp;U30&amp;";")</f>
        <v/>
      </c>
      <c r="AO30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30" s="53">
        <f t="shared" si="13"/>
        <v>0</v>
      </c>
      <c r="AQ30" s="34">
        <f t="shared" si="14"/>
        <v>0</v>
      </c>
      <c r="AR30" s="47"/>
      <c r="AS30" s="79" t="e">
        <f t="shared" si="16"/>
        <v>#REF!</v>
      </c>
      <c r="AT30" s="80" t="e">
        <f t="shared" si="17"/>
        <v>#REF!</v>
      </c>
      <c r="AU30" s="81">
        <f t="shared" si="18"/>
        <v>0</v>
      </c>
      <c r="AV30" s="82">
        <f t="shared" si="19"/>
        <v>0</v>
      </c>
      <c r="AW30" s="82" t="str">
        <f t="shared" si="20"/>
        <v>-</v>
      </c>
      <c r="AX30" s="52"/>
      <c r="AY30" s="193" t="e">
        <f>Таблица43832323[[#This Row],[Адрес дефекта, км +]]</f>
        <v>#REF!</v>
      </c>
      <c r="AZ30" s="194" t="str">
        <f>Таблица43832323[[#This Row],[Столбец55]]</f>
        <v>-</v>
      </c>
      <c r="BA30" s="195">
        <f>Таблица43832323[[#This Row],[Столбец59]]</f>
        <v>0.5</v>
      </c>
      <c r="BB30" s="101"/>
      <c r="BC30" s="52"/>
      <c r="BD30" s="77" t="e">
        <f>Таблица43832323[[#This Row],[Адрес дефекта, км +]]</f>
        <v>#REF!</v>
      </c>
      <c r="BE30" s="83">
        <f>ROUND(1-((5-Таблица43832323[[#This Row],[Балл минимальный]])/10),2)</f>
        <v>0.5</v>
      </c>
      <c r="BF30" s="81">
        <f t="shared" si="21"/>
        <v>110</v>
      </c>
    </row>
    <row r="31" spans="1:58" ht="18" x14ac:dyDescent="0.2">
      <c r="A31" s="73"/>
      <c r="B31" s="73"/>
      <c r="C31" s="74">
        <f t="shared" si="12"/>
        <v>0</v>
      </c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 t="str">
        <f>IFERROR(VLOOKUP(Таблица43832323[[#This Row],[Деф 1]],Лист1!$A$4:$F$60,2,FALSE),"")</f>
        <v/>
      </c>
      <c r="O31" s="75" t="str">
        <f>IFERROR(VLOOKUP(Таблица43832323[[#This Row],[Деф 2]],Лист1!$A$4:$F$60,2,FALSE),"")</f>
        <v/>
      </c>
      <c r="P31" s="75" t="str">
        <f>IFERROR(VLOOKUP(Таблица43832323[[#This Row],[Столбец4]],Лист1!$A$4:$F$60,2,FALSE),"")</f>
        <v/>
      </c>
      <c r="Q31" s="75" t="str">
        <f>IFERROR(VLOOKUP(Таблица43832323[[#This Row],[Столбец5]],Лист1!$A$4:$F$60,2,FALSE),"")</f>
        <v/>
      </c>
      <c r="R31" s="75" t="str">
        <f>IFERROR(VLOOKUP(Таблица43832323[[#This Row],[Столбец6]],Лист1!$A$4:$F$60,2,FALSE),"")</f>
        <v/>
      </c>
      <c r="S31" s="75" t="str">
        <f>IFERROR(VLOOKUP(Таблица43832323[[#This Row],[Столбец7]],Лист1!$A$4:$F$60,2,FALSE),"")</f>
        <v/>
      </c>
      <c r="T31" s="75" t="str">
        <f>IFERROR(VLOOKUP(Таблица43832323[[#This Row],[Столбец8]],Лист1!$A$4:$F$60,2,FALSE),"")</f>
        <v/>
      </c>
      <c r="U31" s="75" t="str">
        <f>IFERROR(VLOOKUP(Таблица43832323[[#This Row],[Столбец9]],Лист1!$A$4:$F$60,2,FALSE),"")</f>
        <v/>
      </c>
      <c r="V31" s="76" t="str">
        <f>IFERROR(VLOOKUP(Таблица43832323[[#This Row],[Деф 1]],Лист1!$A$4:$F$60,3,FALSE),"")</f>
        <v/>
      </c>
      <c r="W31" s="76" t="str">
        <f>IFERROR(VLOOKUP(Таблица43832323[[#This Row],[Деф 2]],Лист1!$A$4:$F$60,3,FALSE),"")</f>
        <v/>
      </c>
      <c r="X31" s="76" t="str">
        <f>IFERROR(VLOOKUP(Таблица43832323[[#This Row],[Столбец4]],Лист1!$A$4:$F$60,3,FALSE),"")</f>
        <v/>
      </c>
      <c r="Y31" s="76" t="str">
        <f>IFERROR(VLOOKUP(Таблица43832323[[#This Row],[Столбец5]],Лист1!$A$4:$F$60,3,FALSE),"")</f>
        <v/>
      </c>
      <c r="Z31" s="76" t="str">
        <f>IFERROR(VLOOKUP(Таблица43832323[[#This Row],[Столбец6]],Лист1!$A$4:$F$60,3,FALSE),"")</f>
        <v/>
      </c>
      <c r="AA31" s="76" t="str">
        <f>IFERROR(VLOOKUP(Таблица43832323[[#This Row],[Столбец7]],Лист1!$A$4:$F$60,3,FALSE),"")</f>
        <v/>
      </c>
      <c r="AB31" s="76" t="str">
        <f>IFERROR(VLOOKUP(Таблица43832323[[#This Row],[Столбец8]],Лист1!$A$4:$F$60,3,FALSE),"")</f>
        <v/>
      </c>
      <c r="AC31" s="76" t="str">
        <f>IFERROR(VLOOKUP(Таблица43832323[[#This Row],[Столбец9]],Лист1!$A$4:$F$60,3,FALSE),"")</f>
        <v/>
      </c>
      <c r="AD31" s="51" t="e">
        <f t="shared" si="0"/>
        <v>#REF!</v>
      </c>
      <c r="AE31" s="32" t="e">
        <f t="shared" si="1"/>
        <v>#REF!</v>
      </c>
      <c r="AF31" s="33" t="e">
        <f t="shared" si="2"/>
        <v>#REF!</v>
      </c>
      <c r="AG31" s="33" t="e">
        <f t="shared" si="3"/>
        <v>#REF!</v>
      </c>
      <c r="AH31" s="33" t="e">
        <f t="shared" si="4"/>
        <v>#REF!</v>
      </c>
      <c r="AI31" s="34" t="e">
        <f t="shared" si="5"/>
        <v>#REF!</v>
      </c>
      <c r="AJ31" s="34" t="e">
        <f>IF(Таблица43832323[[#This Row],[Столбец42]]=0,"000",Таблица43832323[[#This Row],[Столбец42]])</f>
        <v>#REF!</v>
      </c>
      <c r="AK31" s="34" t="e">
        <f>IF(Таблица43832323[[#This Row],[Столбец44]]=0,"000",Таблица43832323[[#This Row],[Столбец44]])</f>
        <v>#REF!</v>
      </c>
      <c r="AL31" s="52"/>
      <c r="AM31" s="77" t="e">
        <f t="shared" si="15"/>
        <v>#REF!</v>
      </c>
      <c r="AN31" s="78" t="str">
        <f>IF(ISBLANK(Таблица43832323[[#This Row],[Столбец9]]),N31&amp;O31&amp;P31&amp;Q31&amp;R31&amp;S31&amp;T31&amp;U31,N31&amp;O31&amp;P31&amp;Q31&amp;R31&amp;S31&amp;T31&amp;U31&amp;";")</f>
        <v/>
      </c>
      <c r="AO31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31" s="53">
        <f t="shared" si="13"/>
        <v>0</v>
      </c>
      <c r="AQ31" s="34">
        <f t="shared" si="14"/>
        <v>0</v>
      </c>
      <c r="AR31" s="47"/>
      <c r="AS31" s="79" t="e">
        <f t="shared" si="16"/>
        <v>#REF!</v>
      </c>
      <c r="AT31" s="80" t="e">
        <f t="shared" si="17"/>
        <v>#REF!</v>
      </c>
      <c r="AU31" s="81">
        <f t="shared" si="18"/>
        <v>0</v>
      </c>
      <c r="AV31" s="82">
        <f t="shared" si="19"/>
        <v>0</v>
      </c>
      <c r="AW31" s="82" t="str">
        <f t="shared" si="20"/>
        <v>-</v>
      </c>
      <c r="AX31" s="52"/>
      <c r="AY31" s="193" t="e">
        <f>Таблица43832323[[#This Row],[Адрес дефекта, км +]]</f>
        <v>#REF!</v>
      </c>
      <c r="AZ31" s="194" t="str">
        <f>Таблица43832323[[#This Row],[Столбец55]]</f>
        <v>-</v>
      </c>
      <c r="BA31" s="195">
        <f>Таблица43832323[[#This Row],[Столбец59]]</f>
        <v>0.5</v>
      </c>
      <c r="BB31" s="101"/>
      <c r="BC31" s="52"/>
      <c r="BD31" s="77" t="e">
        <f>Таблица43832323[[#This Row],[Адрес дефекта, км +]]</f>
        <v>#REF!</v>
      </c>
      <c r="BE31" s="83">
        <f>ROUND(1-((5-Таблица43832323[[#This Row],[Балл минимальный]])/10),2)</f>
        <v>0.5</v>
      </c>
      <c r="BF31" s="81">
        <f t="shared" si="21"/>
        <v>110</v>
      </c>
    </row>
    <row r="32" spans="1:58" ht="18" x14ac:dyDescent="0.2">
      <c r="A32" s="185"/>
      <c r="B32" s="185"/>
      <c r="C32" s="36">
        <f t="shared" ref="C32:C64" si="22">B32-A32</f>
        <v>0</v>
      </c>
      <c r="D32" s="186"/>
      <c r="E32" s="29"/>
      <c r="F32" s="29"/>
      <c r="G32" s="29"/>
      <c r="H32" s="29"/>
      <c r="I32" s="29"/>
      <c r="J32" s="29"/>
      <c r="K32" s="29"/>
      <c r="L32" s="29"/>
      <c r="M32" s="155"/>
      <c r="N32" s="30" t="str">
        <f>IFERROR(VLOOKUP(Таблица43832323[[#This Row],[Деф 1]],Лист1!$A$4:$F$60,2,FALSE),"")</f>
        <v/>
      </c>
      <c r="O32" s="30" t="str">
        <f>IFERROR(VLOOKUP(Таблица43832323[[#This Row],[Деф 2]],Лист1!$A$4:$F$60,2,FALSE),"")</f>
        <v/>
      </c>
      <c r="P32" s="30" t="str">
        <f>IFERROR(VLOOKUP(Таблица43832323[[#This Row],[Столбец4]],Лист1!$A$4:$F$60,2,FALSE),"")</f>
        <v/>
      </c>
      <c r="Q32" s="30" t="str">
        <f>IFERROR(VLOOKUP(Таблица43832323[[#This Row],[Столбец5]],Лист1!$A$4:$F$60,2,FALSE),"")</f>
        <v/>
      </c>
      <c r="R32" s="30" t="str">
        <f>IFERROR(VLOOKUP(Таблица43832323[[#This Row],[Столбец6]],Лист1!$A$4:$F$60,2,FALSE),"")</f>
        <v/>
      </c>
      <c r="S32" s="30" t="str">
        <f>IFERROR(VLOOKUP(Таблица43832323[[#This Row],[Столбец7]],Лист1!$A$4:$F$60,2,FALSE),"")</f>
        <v/>
      </c>
      <c r="T32" s="30" t="str">
        <f>IFERROR(VLOOKUP(Таблица43832323[[#This Row],[Столбец8]],Лист1!$A$4:$F$60,2,FALSE),"")</f>
        <v/>
      </c>
      <c r="U32" s="30" t="str">
        <f>IFERROR(VLOOKUP(Таблица43832323[[#This Row],[Столбец9]],Лист1!$A$4:$F$60,2,FALSE),"")</f>
        <v/>
      </c>
      <c r="V32" s="31" t="str">
        <f>IFERROR(VLOOKUP(Таблица43832323[[#This Row],[Деф 1]],Лист1!$A$4:$F$60,3,FALSE),"")</f>
        <v/>
      </c>
      <c r="W32" s="31" t="str">
        <f>IFERROR(VLOOKUP(Таблица43832323[[#This Row],[Деф 2]],Лист1!$A$4:$F$60,3,FALSE),"")</f>
        <v/>
      </c>
      <c r="X32" s="31" t="str">
        <f>IFERROR(VLOOKUP(Таблица43832323[[#This Row],[Столбец4]],Лист1!$A$4:$F$60,3,FALSE),"")</f>
        <v/>
      </c>
      <c r="Y32" s="31" t="str">
        <f>IFERROR(VLOOKUP(Таблица43832323[[#This Row],[Столбец5]],Лист1!$A$4:$F$60,3,FALSE),"")</f>
        <v/>
      </c>
      <c r="Z32" s="31" t="str">
        <f>IFERROR(VLOOKUP(Таблица43832323[[#This Row],[Столбец6]],Лист1!$A$4:$F$60,3,FALSE),"")</f>
        <v/>
      </c>
      <c r="AA32" s="31" t="str">
        <f>IFERROR(VLOOKUP(Таблица43832323[[#This Row],[Столбец7]],Лист1!$A$4:$F$60,3,FALSE),"")</f>
        <v/>
      </c>
      <c r="AB32" s="31" t="str">
        <f>IFERROR(VLOOKUP(Таблица43832323[[#This Row],[Столбец8]],Лист1!$A$4:$F$60,3,FALSE),"")</f>
        <v/>
      </c>
      <c r="AC32" s="31" t="str">
        <f>IFERROR(VLOOKUP(Таблица43832323[[#This Row],[Столбец9]],Лист1!$A$4:$F$60,3,FALSE),"")</f>
        <v/>
      </c>
      <c r="AD32" s="51" t="e">
        <f t="shared" si="0"/>
        <v>#REF!</v>
      </c>
      <c r="AE32" s="32" t="e">
        <f t="shared" si="1"/>
        <v>#REF!</v>
      </c>
      <c r="AF32" s="33" t="e">
        <f t="shared" si="2"/>
        <v>#REF!</v>
      </c>
      <c r="AG32" s="33" t="e">
        <f t="shared" si="3"/>
        <v>#REF!</v>
      </c>
      <c r="AH32" s="33" t="e">
        <f t="shared" si="4"/>
        <v>#REF!</v>
      </c>
      <c r="AI32" s="34" t="e">
        <f t="shared" si="5"/>
        <v>#REF!</v>
      </c>
      <c r="AJ32" s="34" t="e">
        <f>IF(Таблица43832323[[#This Row],[Столбец42]]=0,"000",Таблица43832323[[#This Row],[Столбец42]])</f>
        <v>#REF!</v>
      </c>
      <c r="AK32" s="34" t="e">
        <f>IF(Таблица43832323[[#This Row],[Столбец44]]=0,"000",Таблица43832323[[#This Row],[Столбец44]])</f>
        <v>#REF!</v>
      </c>
      <c r="AL32" s="52"/>
      <c r="AM32" s="187" t="e">
        <f t="shared" ref="AM32:AM64" si="23">CONCATENATE("км ",AF32,"+",AJ32," - км ",AH32,"+",AK32)</f>
        <v>#REF!</v>
      </c>
      <c r="AN32" s="44" t="str">
        <f>IF(ISBLANK(Таблица43832323[[#This Row],[Столбец9]]),N32&amp;O32&amp;P32&amp;Q32&amp;R32&amp;S32&amp;T32&amp;U32,N32&amp;O32&amp;P32&amp;Q32&amp;R32&amp;S32&amp;T32&amp;U32&amp;";")</f>
        <v/>
      </c>
      <c r="AO32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2" s="53">
        <f t="shared" ref="AP32:AP64" si="24">MIN(V32:AC32)</f>
        <v>0</v>
      </c>
      <c r="AQ32" s="34">
        <f t="shared" ref="AQ32:AQ64" si="25">AP32*C32</f>
        <v>0</v>
      </c>
      <c r="AR32" s="47"/>
      <c r="AS32" s="188" t="e">
        <f t="shared" ref="AS32:AT64" si="26">AD32</f>
        <v>#REF!</v>
      </c>
      <c r="AT32" s="42" t="e">
        <f t="shared" si="26"/>
        <v>#REF!</v>
      </c>
      <c r="AU32" s="40">
        <f t="shared" ref="AU32:AU64" si="27">E32</f>
        <v>0</v>
      </c>
      <c r="AV32" s="43">
        <f t="shared" ref="AV32:AV64" si="28">D32</f>
        <v>0</v>
      </c>
      <c r="AW32" s="43" t="str">
        <f t="shared" ref="AW32:AW64" si="29">IF(AP32=0,"-",AP32)</f>
        <v>-</v>
      </c>
      <c r="AX32" s="52"/>
      <c r="AY32" s="189" t="e">
        <f>Таблица43832323[[#This Row],[Адрес дефекта, км +]]</f>
        <v>#REF!</v>
      </c>
      <c r="AZ32" s="190" t="str">
        <f>Таблица43832323[[#This Row],[Столбец55]]</f>
        <v>-</v>
      </c>
      <c r="BA32" s="191">
        <f>Таблица43832323[[#This Row],[Столбец59]]</f>
        <v>0.5</v>
      </c>
      <c r="BB32" s="101"/>
      <c r="BC32" s="52"/>
      <c r="BD32" s="187" t="e">
        <f>Таблица43832323[[#This Row],[Адрес дефекта, км +]]</f>
        <v>#REF!</v>
      </c>
      <c r="BE32" s="41">
        <f>ROUND(1-((5-Таблица43832323[[#This Row],[Балл минимальный]])/10),2)</f>
        <v>0.5</v>
      </c>
      <c r="BF32" s="40">
        <f t="shared" ref="BF32:BF64" si="30">ROUND(BE32*$N$4,0)</f>
        <v>110</v>
      </c>
    </row>
    <row r="33" spans="1:58" ht="18" x14ac:dyDescent="0.2">
      <c r="A33" s="185"/>
      <c r="B33" s="185"/>
      <c r="C33" s="36">
        <f t="shared" si="22"/>
        <v>0</v>
      </c>
      <c r="D33" s="186"/>
      <c r="E33" s="29"/>
      <c r="F33" s="29"/>
      <c r="G33" s="29"/>
      <c r="H33" s="29"/>
      <c r="I33" s="29"/>
      <c r="J33" s="29"/>
      <c r="K33" s="29"/>
      <c r="L33" s="29"/>
      <c r="M33" s="155"/>
      <c r="N33" s="30" t="str">
        <f>IFERROR(VLOOKUP(Таблица43832323[[#This Row],[Деф 1]],Лист1!$A$4:$F$60,2,FALSE),"")</f>
        <v/>
      </c>
      <c r="O33" s="30" t="str">
        <f>IFERROR(VLOOKUP(Таблица43832323[[#This Row],[Деф 2]],Лист1!$A$4:$F$60,2,FALSE),"")</f>
        <v/>
      </c>
      <c r="P33" s="30" t="str">
        <f>IFERROR(VLOOKUP(Таблица43832323[[#This Row],[Столбец4]],Лист1!$A$4:$F$60,2,FALSE),"")</f>
        <v/>
      </c>
      <c r="Q33" s="30" t="str">
        <f>IFERROR(VLOOKUP(Таблица43832323[[#This Row],[Столбец5]],Лист1!$A$4:$F$60,2,FALSE),"")</f>
        <v/>
      </c>
      <c r="R33" s="30" t="str">
        <f>IFERROR(VLOOKUP(Таблица43832323[[#This Row],[Столбец6]],Лист1!$A$4:$F$60,2,FALSE),"")</f>
        <v/>
      </c>
      <c r="S33" s="30" t="str">
        <f>IFERROR(VLOOKUP(Таблица43832323[[#This Row],[Столбец7]],Лист1!$A$4:$F$60,2,FALSE),"")</f>
        <v/>
      </c>
      <c r="T33" s="30" t="str">
        <f>IFERROR(VLOOKUP(Таблица43832323[[#This Row],[Столбец8]],Лист1!$A$4:$F$60,2,FALSE),"")</f>
        <v/>
      </c>
      <c r="U33" s="30" t="str">
        <f>IFERROR(VLOOKUP(Таблица43832323[[#This Row],[Столбец9]],Лист1!$A$4:$F$60,2,FALSE),"")</f>
        <v/>
      </c>
      <c r="V33" s="31" t="str">
        <f>IFERROR(VLOOKUP(Таблица43832323[[#This Row],[Деф 1]],Лист1!$A$4:$F$60,3,FALSE),"")</f>
        <v/>
      </c>
      <c r="W33" s="31" t="str">
        <f>IFERROR(VLOOKUP(Таблица43832323[[#This Row],[Деф 2]],Лист1!$A$4:$F$60,3,FALSE),"")</f>
        <v/>
      </c>
      <c r="X33" s="31" t="str">
        <f>IFERROR(VLOOKUP(Таблица43832323[[#This Row],[Столбец4]],Лист1!$A$4:$F$60,3,FALSE),"")</f>
        <v/>
      </c>
      <c r="Y33" s="31" t="str">
        <f>IFERROR(VLOOKUP(Таблица43832323[[#This Row],[Столбец5]],Лист1!$A$4:$F$60,3,FALSE),"")</f>
        <v/>
      </c>
      <c r="Z33" s="31" t="str">
        <f>IFERROR(VLOOKUP(Таблица43832323[[#This Row],[Столбец6]],Лист1!$A$4:$F$60,3,FALSE),"")</f>
        <v/>
      </c>
      <c r="AA33" s="31" t="str">
        <f>IFERROR(VLOOKUP(Таблица43832323[[#This Row],[Столбец7]],Лист1!$A$4:$F$60,3,FALSE),"")</f>
        <v/>
      </c>
      <c r="AB33" s="31" t="str">
        <f>IFERROR(VLOOKUP(Таблица43832323[[#This Row],[Столбец8]],Лист1!$A$4:$F$60,3,FALSE),"")</f>
        <v/>
      </c>
      <c r="AC33" s="31" t="str">
        <f>IFERROR(VLOOKUP(Таблица43832323[[#This Row],[Столбец9]],Лист1!$A$4:$F$60,3,FALSE),"")</f>
        <v/>
      </c>
      <c r="AD33" s="51" t="e">
        <f t="shared" si="0"/>
        <v>#REF!</v>
      </c>
      <c r="AE33" s="32" t="e">
        <f t="shared" si="1"/>
        <v>#REF!</v>
      </c>
      <c r="AF33" s="33" t="e">
        <f t="shared" si="2"/>
        <v>#REF!</v>
      </c>
      <c r="AG33" s="33" t="e">
        <f t="shared" si="3"/>
        <v>#REF!</v>
      </c>
      <c r="AH33" s="33" t="e">
        <f t="shared" si="4"/>
        <v>#REF!</v>
      </c>
      <c r="AI33" s="34" t="e">
        <f t="shared" si="5"/>
        <v>#REF!</v>
      </c>
      <c r="AJ33" s="34" t="e">
        <f>IF(Таблица43832323[[#This Row],[Столбец42]]=0,"000",Таблица43832323[[#This Row],[Столбец42]])</f>
        <v>#REF!</v>
      </c>
      <c r="AK33" s="34" t="e">
        <f>IF(Таблица43832323[[#This Row],[Столбец44]]=0,"000",Таблица43832323[[#This Row],[Столбец44]])</f>
        <v>#REF!</v>
      </c>
      <c r="AL33" s="52"/>
      <c r="AM33" s="187" t="e">
        <f t="shared" si="23"/>
        <v>#REF!</v>
      </c>
      <c r="AN33" s="44" t="str">
        <f>IF(ISBLANK(Таблица43832323[[#This Row],[Столбец9]]),N33&amp;O33&amp;P33&amp;Q33&amp;R33&amp;S33&amp;T33&amp;U33,N33&amp;O33&amp;P33&amp;Q33&amp;R33&amp;S33&amp;T33&amp;U33&amp;";")</f>
        <v/>
      </c>
      <c r="AO33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3" s="53">
        <f t="shared" si="24"/>
        <v>0</v>
      </c>
      <c r="AQ33" s="34">
        <f t="shared" si="25"/>
        <v>0</v>
      </c>
      <c r="AR33" s="47"/>
      <c r="AS33" s="188" t="e">
        <f t="shared" si="26"/>
        <v>#REF!</v>
      </c>
      <c r="AT33" s="42" t="e">
        <f t="shared" si="26"/>
        <v>#REF!</v>
      </c>
      <c r="AU33" s="40">
        <f t="shared" si="27"/>
        <v>0</v>
      </c>
      <c r="AV33" s="43">
        <f t="shared" si="28"/>
        <v>0</v>
      </c>
      <c r="AW33" s="43" t="str">
        <f t="shared" si="29"/>
        <v>-</v>
      </c>
      <c r="AX33" s="52"/>
      <c r="AY33" s="189" t="e">
        <f>Таблица43832323[[#This Row],[Адрес дефекта, км +]]</f>
        <v>#REF!</v>
      </c>
      <c r="AZ33" s="190" t="str">
        <f>Таблица43832323[[#This Row],[Столбец55]]</f>
        <v>-</v>
      </c>
      <c r="BA33" s="191">
        <f>Таблица43832323[[#This Row],[Столбец59]]</f>
        <v>0.5</v>
      </c>
      <c r="BB33" s="101"/>
      <c r="BC33" s="52"/>
      <c r="BD33" s="187" t="e">
        <f>Таблица43832323[[#This Row],[Адрес дефекта, км +]]</f>
        <v>#REF!</v>
      </c>
      <c r="BE33" s="41">
        <f>ROUND(1-((5-Таблица43832323[[#This Row],[Балл минимальный]])/10),2)</f>
        <v>0.5</v>
      </c>
      <c r="BF33" s="40">
        <f t="shared" si="30"/>
        <v>110</v>
      </c>
    </row>
    <row r="34" spans="1:58" ht="18" x14ac:dyDescent="0.2">
      <c r="A34" s="185"/>
      <c r="B34" s="185"/>
      <c r="C34" s="36">
        <f t="shared" si="22"/>
        <v>0</v>
      </c>
      <c r="D34" s="186"/>
      <c r="E34" s="29"/>
      <c r="F34" s="29"/>
      <c r="G34" s="29"/>
      <c r="H34" s="29"/>
      <c r="I34" s="29"/>
      <c r="J34" s="29"/>
      <c r="K34" s="29"/>
      <c r="L34" s="29"/>
      <c r="M34" s="155"/>
      <c r="N34" s="30" t="str">
        <f>IFERROR(VLOOKUP(Таблица43832323[[#This Row],[Деф 1]],Лист1!$A$4:$F$60,2,FALSE),"")</f>
        <v/>
      </c>
      <c r="O34" s="30" t="str">
        <f>IFERROR(VLOOKUP(Таблица43832323[[#This Row],[Деф 2]],Лист1!$A$4:$F$60,2,FALSE),"")</f>
        <v/>
      </c>
      <c r="P34" s="30" t="str">
        <f>IFERROR(VLOOKUP(Таблица43832323[[#This Row],[Столбец4]],Лист1!$A$4:$F$60,2,FALSE),"")</f>
        <v/>
      </c>
      <c r="Q34" s="30" t="str">
        <f>IFERROR(VLOOKUP(Таблица43832323[[#This Row],[Столбец5]],Лист1!$A$4:$F$60,2,FALSE),"")</f>
        <v/>
      </c>
      <c r="R34" s="30" t="str">
        <f>IFERROR(VLOOKUP(Таблица43832323[[#This Row],[Столбец6]],Лист1!$A$4:$F$60,2,FALSE),"")</f>
        <v/>
      </c>
      <c r="S34" s="30" t="str">
        <f>IFERROR(VLOOKUP(Таблица43832323[[#This Row],[Столбец7]],Лист1!$A$4:$F$60,2,FALSE),"")</f>
        <v/>
      </c>
      <c r="T34" s="30" t="str">
        <f>IFERROR(VLOOKUP(Таблица43832323[[#This Row],[Столбец8]],Лист1!$A$4:$F$60,2,FALSE),"")</f>
        <v/>
      </c>
      <c r="U34" s="30" t="str">
        <f>IFERROR(VLOOKUP(Таблица43832323[[#This Row],[Столбец9]],Лист1!$A$4:$F$60,2,FALSE),"")</f>
        <v/>
      </c>
      <c r="V34" s="31" t="str">
        <f>IFERROR(VLOOKUP(Таблица43832323[[#This Row],[Деф 1]],Лист1!$A$4:$F$60,3,FALSE),"")</f>
        <v/>
      </c>
      <c r="W34" s="31" t="str">
        <f>IFERROR(VLOOKUP(Таблица43832323[[#This Row],[Деф 2]],Лист1!$A$4:$F$60,3,FALSE),"")</f>
        <v/>
      </c>
      <c r="X34" s="31" t="str">
        <f>IFERROR(VLOOKUP(Таблица43832323[[#This Row],[Столбец4]],Лист1!$A$4:$F$60,3,FALSE),"")</f>
        <v/>
      </c>
      <c r="Y34" s="31" t="str">
        <f>IFERROR(VLOOKUP(Таблица43832323[[#This Row],[Столбец5]],Лист1!$A$4:$F$60,3,FALSE),"")</f>
        <v/>
      </c>
      <c r="Z34" s="31" t="str">
        <f>IFERROR(VLOOKUP(Таблица43832323[[#This Row],[Столбец6]],Лист1!$A$4:$F$60,3,FALSE),"")</f>
        <v/>
      </c>
      <c r="AA34" s="31" t="str">
        <f>IFERROR(VLOOKUP(Таблица43832323[[#This Row],[Столбец7]],Лист1!$A$4:$F$60,3,FALSE),"")</f>
        <v/>
      </c>
      <c r="AB34" s="31" t="str">
        <f>IFERROR(VLOOKUP(Таблица43832323[[#This Row],[Столбец8]],Лист1!$A$4:$F$60,3,FALSE),"")</f>
        <v/>
      </c>
      <c r="AC34" s="31" t="str">
        <f>IFERROR(VLOOKUP(Таблица43832323[[#This Row],[Столбец9]],Лист1!$A$4:$F$60,3,FALSE),"")</f>
        <v/>
      </c>
      <c r="AD34" s="51" t="e">
        <f t="shared" si="0"/>
        <v>#REF!</v>
      </c>
      <c r="AE34" s="32" t="e">
        <f t="shared" si="1"/>
        <v>#REF!</v>
      </c>
      <c r="AF34" s="33" t="e">
        <f t="shared" si="2"/>
        <v>#REF!</v>
      </c>
      <c r="AG34" s="33" t="e">
        <f t="shared" si="3"/>
        <v>#REF!</v>
      </c>
      <c r="AH34" s="33" t="e">
        <f t="shared" si="4"/>
        <v>#REF!</v>
      </c>
      <c r="AI34" s="34" t="e">
        <f t="shared" si="5"/>
        <v>#REF!</v>
      </c>
      <c r="AJ34" s="34" t="e">
        <f>IF(Таблица43832323[[#This Row],[Столбец42]]=0,"000",Таблица43832323[[#This Row],[Столбец42]])</f>
        <v>#REF!</v>
      </c>
      <c r="AK34" s="34" t="e">
        <f>IF(Таблица43832323[[#This Row],[Столбец44]]=0,"000",Таблица43832323[[#This Row],[Столбец44]])</f>
        <v>#REF!</v>
      </c>
      <c r="AL34" s="52"/>
      <c r="AM34" s="187" t="e">
        <f t="shared" si="23"/>
        <v>#REF!</v>
      </c>
      <c r="AN34" s="44" t="str">
        <f>IF(ISBLANK(Таблица43832323[[#This Row],[Столбец9]]),N34&amp;O34&amp;P34&amp;Q34&amp;R34&amp;S34&amp;T34&amp;U34,N34&amp;O34&amp;P34&amp;Q34&amp;R34&amp;S34&amp;T34&amp;U34&amp;";")</f>
        <v/>
      </c>
      <c r="AO34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4" s="53">
        <f t="shared" si="24"/>
        <v>0</v>
      </c>
      <c r="AQ34" s="34">
        <f t="shared" si="25"/>
        <v>0</v>
      </c>
      <c r="AR34" s="47"/>
      <c r="AS34" s="188" t="e">
        <f t="shared" si="26"/>
        <v>#REF!</v>
      </c>
      <c r="AT34" s="42" t="e">
        <f t="shared" si="26"/>
        <v>#REF!</v>
      </c>
      <c r="AU34" s="40">
        <f t="shared" si="27"/>
        <v>0</v>
      </c>
      <c r="AV34" s="43">
        <f t="shared" si="28"/>
        <v>0</v>
      </c>
      <c r="AW34" s="43" t="str">
        <f t="shared" si="29"/>
        <v>-</v>
      </c>
      <c r="AX34" s="52"/>
      <c r="AY34" s="189" t="e">
        <f>Таблица43832323[[#This Row],[Адрес дефекта, км +]]</f>
        <v>#REF!</v>
      </c>
      <c r="AZ34" s="190" t="str">
        <f>Таблица43832323[[#This Row],[Столбец55]]</f>
        <v>-</v>
      </c>
      <c r="BA34" s="191">
        <f>Таблица43832323[[#This Row],[Столбец59]]</f>
        <v>0.5</v>
      </c>
      <c r="BB34" s="101"/>
      <c r="BC34" s="52"/>
      <c r="BD34" s="187" t="e">
        <f>Таблица43832323[[#This Row],[Адрес дефекта, км +]]</f>
        <v>#REF!</v>
      </c>
      <c r="BE34" s="41">
        <f>ROUND(1-((5-Таблица43832323[[#This Row],[Балл минимальный]])/10),2)</f>
        <v>0.5</v>
      </c>
      <c r="BF34" s="40">
        <f t="shared" si="30"/>
        <v>110</v>
      </c>
    </row>
    <row r="35" spans="1:58" ht="18" x14ac:dyDescent="0.2">
      <c r="A35" s="185"/>
      <c r="B35" s="185"/>
      <c r="C35" s="36">
        <f t="shared" si="22"/>
        <v>0</v>
      </c>
      <c r="D35" s="186"/>
      <c r="E35" s="29"/>
      <c r="F35" s="29"/>
      <c r="G35" s="29"/>
      <c r="H35" s="29"/>
      <c r="I35" s="29"/>
      <c r="J35" s="29"/>
      <c r="K35" s="29"/>
      <c r="L35" s="29"/>
      <c r="M35" s="155"/>
      <c r="N35" s="30" t="str">
        <f>IFERROR(VLOOKUP(Таблица43832323[[#This Row],[Деф 1]],Лист1!$A$4:$F$60,2,FALSE),"")</f>
        <v/>
      </c>
      <c r="O35" s="30" t="str">
        <f>IFERROR(VLOOKUP(Таблица43832323[[#This Row],[Деф 2]],Лист1!$A$4:$F$60,2,FALSE),"")</f>
        <v/>
      </c>
      <c r="P35" s="30" t="str">
        <f>IFERROR(VLOOKUP(Таблица43832323[[#This Row],[Столбец4]],Лист1!$A$4:$F$60,2,FALSE),"")</f>
        <v/>
      </c>
      <c r="Q35" s="30" t="str">
        <f>IFERROR(VLOOKUP(Таблица43832323[[#This Row],[Столбец5]],Лист1!$A$4:$F$60,2,FALSE),"")</f>
        <v/>
      </c>
      <c r="R35" s="30" t="str">
        <f>IFERROR(VLOOKUP(Таблица43832323[[#This Row],[Столбец6]],Лист1!$A$4:$F$60,2,FALSE),"")</f>
        <v/>
      </c>
      <c r="S35" s="30" t="str">
        <f>IFERROR(VLOOKUP(Таблица43832323[[#This Row],[Столбец7]],Лист1!$A$4:$F$60,2,FALSE),"")</f>
        <v/>
      </c>
      <c r="T35" s="30" t="str">
        <f>IFERROR(VLOOKUP(Таблица43832323[[#This Row],[Столбец8]],Лист1!$A$4:$F$60,2,FALSE),"")</f>
        <v/>
      </c>
      <c r="U35" s="30" t="str">
        <f>IFERROR(VLOOKUP(Таблица43832323[[#This Row],[Столбец9]],Лист1!$A$4:$F$60,2,FALSE),"")</f>
        <v/>
      </c>
      <c r="V35" s="31" t="str">
        <f>IFERROR(VLOOKUP(Таблица43832323[[#This Row],[Деф 1]],Лист1!$A$4:$F$60,3,FALSE),"")</f>
        <v/>
      </c>
      <c r="W35" s="31" t="str">
        <f>IFERROR(VLOOKUP(Таблица43832323[[#This Row],[Деф 2]],Лист1!$A$4:$F$60,3,FALSE),"")</f>
        <v/>
      </c>
      <c r="X35" s="31" t="str">
        <f>IFERROR(VLOOKUP(Таблица43832323[[#This Row],[Столбец4]],Лист1!$A$4:$F$60,3,FALSE),"")</f>
        <v/>
      </c>
      <c r="Y35" s="31" t="str">
        <f>IFERROR(VLOOKUP(Таблица43832323[[#This Row],[Столбец5]],Лист1!$A$4:$F$60,3,FALSE),"")</f>
        <v/>
      </c>
      <c r="Z35" s="31" t="str">
        <f>IFERROR(VLOOKUP(Таблица43832323[[#This Row],[Столбец6]],Лист1!$A$4:$F$60,3,FALSE),"")</f>
        <v/>
      </c>
      <c r="AA35" s="31" t="str">
        <f>IFERROR(VLOOKUP(Таблица43832323[[#This Row],[Столбец7]],Лист1!$A$4:$F$60,3,FALSE),"")</f>
        <v/>
      </c>
      <c r="AB35" s="31" t="str">
        <f>IFERROR(VLOOKUP(Таблица43832323[[#This Row],[Столбец8]],Лист1!$A$4:$F$60,3,FALSE),"")</f>
        <v/>
      </c>
      <c r="AC35" s="31" t="str">
        <f>IFERROR(VLOOKUP(Таблица43832323[[#This Row],[Столбец9]],Лист1!$A$4:$F$60,3,FALSE),"")</f>
        <v/>
      </c>
      <c r="AD35" s="51" t="e">
        <f t="shared" si="0"/>
        <v>#REF!</v>
      </c>
      <c r="AE35" s="32" t="e">
        <f t="shared" si="1"/>
        <v>#REF!</v>
      </c>
      <c r="AF35" s="95" t="e">
        <f t="shared" si="2"/>
        <v>#REF!</v>
      </c>
      <c r="AG35" s="95" t="e">
        <f t="shared" si="3"/>
        <v>#REF!</v>
      </c>
      <c r="AH35" s="95" t="e">
        <f t="shared" si="4"/>
        <v>#REF!</v>
      </c>
      <c r="AI35" s="96" t="e">
        <f t="shared" si="5"/>
        <v>#REF!</v>
      </c>
      <c r="AJ35" s="96" t="e">
        <f>IF(Таблица43832323[[#This Row],[Столбец42]]=0,"000",Таблица43832323[[#This Row],[Столбец42]])</f>
        <v>#REF!</v>
      </c>
      <c r="AK35" s="96" t="e">
        <f>IF(Таблица43832323[[#This Row],[Столбец44]]=0,"000",Таблица43832323[[#This Row],[Столбец44]])</f>
        <v>#REF!</v>
      </c>
      <c r="AL35" s="52"/>
      <c r="AM35" s="187" t="e">
        <f t="shared" si="23"/>
        <v>#REF!</v>
      </c>
      <c r="AN35" s="44" t="str">
        <f>IF(ISBLANK(Таблица43832323[[#This Row],[Столбец9]]),N35&amp;O35&amp;P35&amp;Q35&amp;R35&amp;S35&amp;T35&amp;U35,N35&amp;O35&amp;P35&amp;Q35&amp;R35&amp;S35&amp;T35&amp;U35&amp;";")</f>
        <v/>
      </c>
      <c r="AO35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5" s="53">
        <f t="shared" si="24"/>
        <v>0</v>
      </c>
      <c r="AQ35" s="34">
        <f t="shared" si="25"/>
        <v>0</v>
      </c>
      <c r="AR35" s="47"/>
      <c r="AS35" s="188" t="e">
        <f t="shared" si="26"/>
        <v>#REF!</v>
      </c>
      <c r="AT35" s="42" t="e">
        <f t="shared" si="26"/>
        <v>#REF!</v>
      </c>
      <c r="AU35" s="40">
        <f t="shared" si="27"/>
        <v>0</v>
      </c>
      <c r="AV35" s="43">
        <f t="shared" si="28"/>
        <v>0</v>
      </c>
      <c r="AW35" s="43" t="str">
        <f t="shared" si="29"/>
        <v>-</v>
      </c>
      <c r="AX35" s="52"/>
      <c r="AY35" s="189" t="e">
        <f>Таблица43832323[[#This Row],[Адрес дефекта, км +]]</f>
        <v>#REF!</v>
      </c>
      <c r="AZ35" s="190" t="str">
        <f>Таблица43832323[[#This Row],[Столбец55]]</f>
        <v>-</v>
      </c>
      <c r="BA35" s="191">
        <f>Таблица43832323[[#This Row],[Столбец59]]</f>
        <v>0.5</v>
      </c>
      <c r="BB35" s="101"/>
      <c r="BC35" s="52"/>
      <c r="BD35" s="187" t="e">
        <f>Таблица43832323[[#This Row],[Адрес дефекта, км +]]</f>
        <v>#REF!</v>
      </c>
      <c r="BE35" s="41">
        <f>ROUND(1-((5-Таблица43832323[[#This Row],[Балл минимальный]])/10),2)</f>
        <v>0.5</v>
      </c>
      <c r="BF35" s="40">
        <f t="shared" si="30"/>
        <v>110</v>
      </c>
    </row>
    <row r="36" spans="1:58" ht="18" x14ac:dyDescent="0.2">
      <c r="A36" s="185"/>
      <c r="B36" s="185"/>
      <c r="C36" s="36">
        <f t="shared" si="22"/>
        <v>0</v>
      </c>
      <c r="D36" s="186"/>
      <c r="E36" s="29"/>
      <c r="F36" s="29"/>
      <c r="G36" s="29"/>
      <c r="H36" s="29"/>
      <c r="I36" s="29"/>
      <c r="J36" s="29"/>
      <c r="K36" s="29"/>
      <c r="L36" s="29"/>
      <c r="M36" s="155"/>
      <c r="N36" s="30" t="str">
        <f>IFERROR(VLOOKUP(Таблица43832323[[#This Row],[Деф 1]],Лист1!$A$4:$F$60,2,FALSE),"")</f>
        <v/>
      </c>
      <c r="O36" s="30" t="str">
        <f>IFERROR(VLOOKUP(Таблица43832323[[#This Row],[Деф 2]],Лист1!$A$4:$F$60,2,FALSE),"")</f>
        <v/>
      </c>
      <c r="P36" s="30" t="str">
        <f>IFERROR(VLOOKUP(Таблица43832323[[#This Row],[Столбец4]],Лист1!$A$4:$F$60,2,FALSE),"")</f>
        <v/>
      </c>
      <c r="Q36" s="30" t="str">
        <f>IFERROR(VLOOKUP(Таблица43832323[[#This Row],[Столбец5]],Лист1!$A$4:$F$60,2,FALSE),"")</f>
        <v/>
      </c>
      <c r="R36" s="30" t="str">
        <f>IFERROR(VLOOKUP(Таблица43832323[[#This Row],[Столбец6]],Лист1!$A$4:$F$60,2,FALSE),"")</f>
        <v/>
      </c>
      <c r="S36" s="30" t="str">
        <f>IFERROR(VLOOKUP(Таблица43832323[[#This Row],[Столбец7]],Лист1!$A$4:$F$60,2,FALSE),"")</f>
        <v/>
      </c>
      <c r="T36" s="30" t="str">
        <f>IFERROR(VLOOKUP(Таблица43832323[[#This Row],[Столбец8]],Лист1!$A$4:$F$60,2,FALSE),"")</f>
        <v/>
      </c>
      <c r="U36" s="30" t="str">
        <f>IFERROR(VLOOKUP(Таблица43832323[[#This Row],[Столбец9]],Лист1!$A$4:$F$60,2,FALSE),"")</f>
        <v/>
      </c>
      <c r="V36" s="31" t="str">
        <f>IFERROR(VLOOKUP(Таблица43832323[[#This Row],[Деф 1]],Лист1!$A$4:$F$60,3,FALSE),"")</f>
        <v/>
      </c>
      <c r="W36" s="31" t="str">
        <f>IFERROR(VLOOKUP(Таблица43832323[[#This Row],[Деф 2]],Лист1!$A$4:$F$60,3,FALSE),"")</f>
        <v/>
      </c>
      <c r="X36" s="31" t="str">
        <f>IFERROR(VLOOKUP(Таблица43832323[[#This Row],[Столбец4]],Лист1!$A$4:$F$60,3,FALSE),"")</f>
        <v/>
      </c>
      <c r="Y36" s="31" t="str">
        <f>IFERROR(VLOOKUP(Таблица43832323[[#This Row],[Столбец5]],Лист1!$A$4:$F$60,3,FALSE),"")</f>
        <v/>
      </c>
      <c r="Z36" s="31" t="str">
        <f>IFERROR(VLOOKUP(Таблица43832323[[#This Row],[Столбец6]],Лист1!$A$4:$F$60,3,FALSE),"")</f>
        <v/>
      </c>
      <c r="AA36" s="31" t="str">
        <f>IFERROR(VLOOKUP(Таблица43832323[[#This Row],[Столбец7]],Лист1!$A$4:$F$60,3,FALSE),"")</f>
        <v/>
      </c>
      <c r="AB36" s="31" t="str">
        <f>IFERROR(VLOOKUP(Таблица43832323[[#This Row],[Столбец8]],Лист1!$A$4:$F$60,3,FALSE),"")</f>
        <v/>
      </c>
      <c r="AC36" s="31" t="str">
        <f>IFERROR(VLOOKUP(Таблица43832323[[#This Row],[Столбец9]],Лист1!$A$4:$F$60,3,FALSE),"")</f>
        <v/>
      </c>
      <c r="AD36" s="51" t="e">
        <f t="shared" si="0"/>
        <v>#REF!</v>
      </c>
      <c r="AE36" s="32" t="e">
        <f t="shared" si="1"/>
        <v>#REF!</v>
      </c>
      <c r="AF36" s="95" t="e">
        <f t="shared" si="2"/>
        <v>#REF!</v>
      </c>
      <c r="AG36" s="95" t="e">
        <f t="shared" si="3"/>
        <v>#REF!</v>
      </c>
      <c r="AH36" s="95" t="e">
        <f t="shared" si="4"/>
        <v>#REF!</v>
      </c>
      <c r="AI36" s="96" t="e">
        <f t="shared" si="5"/>
        <v>#REF!</v>
      </c>
      <c r="AJ36" s="96" t="e">
        <f>IF(Таблица43832323[[#This Row],[Столбец42]]=0,"000",Таблица43832323[[#This Row],[Столбец42]])</f>
        <v>#REF!</v>
      </c>
      <c r="AK36" s="96" t="e">
        <f>IF(Таблица43832323[[#This Row],[Столбец44]]=0,"000",Таблица43832323[[#This Row],[Столбец44]])</f>
        <v>#REF!</v>
      </c>
      <c r="AL36" s="52"/>
      <c r="AM36" s="187" t="e">
        <f t="shared" si="23"/>
        <v>#REF!</v>
      </c>
      <c r="AN36" s="44" t="str">
        <f>IF(ISBLANK(Таблица43832323[[#This Row],[Столбец9]]),N36&amp;O36&amp;P36&amp;Q36&amp;R36&amp;S36&amp;T36&amp;U36,N36&amp;O36&amp;P36&amp;Q36&amp;R36&amp;S36&amp;T36&amp;U36&amp;";")</f>
        <v/>
      </c>
      <c r="AO36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6" s="53">
        <f t="shared" si="24"/>
        <v>0</v>
      </c>
      <c r="AQ36" s="34">
        <f t="shared" si="25"/>
        <v>0</v>
      </c>
      <c r="AR36" s="47"/>
      <c r="AS36" s="188" t="e">
        <f t="shared" si="26"/>
        <v>#REF!</v>
      </c>
      <c r="AT36" s="42" t="e">
        <f t="shared" si="26"/>
        <v>#REF!</v>
      </c>
      <c r="AU36" s="40">
        <f t="shared" si="27"/>
        <v>0</v>
      </c>
      <c r="AV36" s="43">
        <f t="shared" si="28"/>
        <v>0</v>
      </c>
      <c r="AW36" s="43" t="str">
        <f t="shared" si="29"/>
        <v>-</v>
      </c>
      <c r="AX36" s="52"/>
      <c r="AY36" s="189" t="e">
        <f>Таблица43832323[[#This Row],[Адрес дефекта, км +]]</f>
        <v>#REF!</v>
      </c>
      <c r="AZ36" s="190" t="str">
        <f>Таблица43832323[[#This Row],[Столбец55]]</f>
        <v>-</v>
      </c>
      <c r="BA36" s="191">
        <f>Таблица43832323[[#This Row],[Столбец59]]</f>
        <v>0.5</v>
      </c>
      <c r="BB36" s="101"/>
      <c r="BC36" s="52"/>
      <c r="BD36" s="187" t="e">
        <f>Таблица43832323[[#This Row],[Адрес дефекта, км +]]</f>
        <v>#REF!</v>
      </c>
      <c r="BE36" s="41">
        <f>ROUND(1-((5-Таблица43832323[[#This Row],[Балл минимальный]])/10),2)</f>
        <v>0.5</v>
      </c>
      <c r="BF36" s="40">
        <f t="shared" si="30"/>
        <v>110</v>
      </c>
    </row>
    <row r="37" spans="1:58" ht="18" x14ac:dyDescent="0.2">
      <c r="A37" s="185"/>
      <c r="B37" s="185"/>
      <c r="C37" s="36">
        <f t="shared" si="22"/>
        <v>0</v>
      </c>
      <c r="D37" s="186"/>
      <c r="E37" s="29"/>
      <c r="F37" s="29"/>
      <c r="G37" s="29"/>
      <c r="H37" s="29"/>
      <c r="I37" s="29"/>
      <c r="J37" s="29"/>
      <c r="K37" s="29"/>
      <c r="L37" s="29"/>
      <c r="M37" s="155"/>
      <c r="N37" s="30" t="str">
        <f>IFERROR(VLOOKUP(Таблица43832323[[#This Row],[Деф 1]],Лист1!$A$4:$F$60,2,FALSE),"")</f>
        <v/>
      </c>
      <c r="O37" s="30" t="str">
        <f>IFERROR(VLOOKUP(Таблица43832323[[#This Row],[Деф 2]],Лист1!$A$4:$F$60,2,FALSE),"")</f>
        <v/>
      </c>
      <c r="P37" s="30" t="str">
        <f>IFERROR(VLOOKUP(Таблица43832323[[#This Row],[Столбец4]],Лист1!$A$4:$F$60,2,FALSE),"")</f>
        <v/>
      </c>
      <c r="Q37" s="30" t="str">
        <f>IFERROR(VLOOKUP(Таблица43832323[[#This Row],[Столбец5]],Лист1!$A$4:$F$60,2,FALSE),"")</f>
        <v/>
      </c>
      <c r="R37" s="30" t="str">
        <f>IFERROR(VLOOKUP(Таблица43832323[[#This Row],[Столбец6]],Лист1!$A$4:$F$60,2,FALSE),"")</f>
        <v/>
      </c>
      <c r="S37" s="30" t="str">
        <f>IFERROR(VLOOKUP(Таблица43832323[[#This Row],[Столбец7]],Лист1!$A$4:$F$60,2,FALSE),"")</f>
        <v/>
      </c>
      <c r="T37" s="30" t="str">
        <f>IFERROR(VLOOKUP(Таблица43832323[[#This Row],[Столбец8]],Лист1!$A$4:$F$60,2,FALSE),"")</f>
        <v/>
      </c>
      <c r="U37" s="30" t="str">
        <f>IFERROR(VLOOKUP(Таблица43832323[[#This Row],[Столбец9]],Лист1!$A$4:$F$60,2,FALSE),"")</f>
        <v/>
      </c>
      <c r="V37" s="31" t="str">
        <f>IFERROR(VLOOKUP(Таблица43832323[[#This Row],[Деф 1]],Лист1!$A$4:$F$60,3,FALSE),"")</f>
        <v/>
      </c>
      <c r="W37" s="31" t="str">
        <f>IFERROR(VLOOKUP(Таблица43832323[[#This Row],[Деф 2]],Лист1!$A$4:$F$60,3,FALSE),"")</f>
        <v/>
      </c>
      <c r="X37" s="31" t="str">
        <f>IFERROR(VLOOKUP(Таблица43832323[[#This Row],[Столбец4]],Лист1!$A$4:$F$60,3,FALSE),"")</f>
        <v/>
      </c>
      <c r="Y37" s="31" t="str">
        <f>IFERROR(VLOOKUP(Таблица43832323[[#This Row],[Столбец5]],Лист1!$A$4:$F$60,3,FALSE),"")</f>
        <v/>
      </c>
      <c r="Z37" s="31" t="str">
        <f>IFERROR(VLOOKUP(Таблица43832323[[#This Row],[Столбец6]],Лист1!$A$4:$F$60,3,FALSE),"")</f>
        <v/>
      </c>
      <c r="AA37" s="31" t="str">
        <f>IFERROR(VLOOKUP(Таблица43832323[[#This Row],[Столбец7]],Лист1!$A$4:$F$60,3,FALSE),"")</f>
        <v/>
      </c>
      <c r="AB37" s="31" t="str">
        <f>IFERROR(VLOOKUP(Таблица43832323[[#This Row],[Столбец8]],Лист1!$A$4:$F$60,3,FALSE),"")</f>
        <v/>
      </c>
      <c r="AC37" s="31" t="str">
        <f>IFERROR(VLOOKUP(Таблица43832323[[#This Row],[Столбец9]],Лист1!$A$4:$F$60,3,FALSE),"")</f>
        <v/>
      </c>
      <c r="AD37" s="51" t="e">
        <f t="shared" si="0"/>
        <v>#REF!</v>
      </c>
      <c r="AE37" s="32" t="e">
        <f t="shared" si="1"/>
        <v>#REF!</v>
      </c>
      <c r="AF37" s="95" t="e">
        <f t="shared" si="2"/>
        <v>#REF!</v>
      </c>
      <c r="AG37" s="95" t="e">
        <f t="shared" si="3"/>
        <v>#REF!</v>
      </c>
      <c r="AH37" s="95" t="e">
        <f t="shared" si="4"/>
        <v>#REF!</v>
      </c>
      <c r="AI37" s="96" t="e">
        <f t="shared" si="5"/>
        <v>#REF!</v>
      </c>
      <c r="AJ37" s="96" t="e">
        <f>IF(Таблица43832323[[#This Row],[Столбец42]]=0,"000",Таблица43832323[[#This Row],[Столбец42]])</f>
        <v>#REF!</v>
      </c>
      <c r="AK37" s="96" t="e">
        <f>IF(Таблица43832323[[#This Row],[Столбец44]]=0,"000",Таблица43832323[[#This Row],[Столбец44]])</f>
        <v>#REF!</v>
      </c>
      <c r="AL37" s="52"/>
      <c r="AM37" s="187" t="e">
        <f t="shared" si="23"/>
        <v>#REF!</v>
      </c>
      <c r="AN37" s="44" t="str">
        <f>IF(ISBLANK(Таблица43832323[[#This Row],[Столбец9]]),N37&amp;O37&amp;P37&amp;Q37&amp;R37&amp;S37&amp;T37&amp;U37,N37&amp;O37&amp;P37&amp;Q37&amp;R37&amp;S37&amp;T37&amp;U37&amp;";")</f>
        <v/>
      </c>
      <c r="AO37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7" s="53">
        <f t="shared" si="24"/>
        <v>0</v>
      </c>
      <c r="AQ37" s="34">
        <f t="shared" si="25"/>
        <v>0</v>
      </c>
      <c r="AR37" s="47"/>
      <c r="AS37" s="188" t="e">
        <f t="shared" si="26"/>
        <v>#REF!</v>
      </c>
      <c r="AT37" s="42" t="e">
        <f t="shared" si="26"/>
        <v>#REF!</v>
      </c>
      <c r="AU37" s="40">
        <f t="shared" si="27"/>
        <v>0</v>
      </c>
      <c r="AV37" s="43">
        <f t="shared" si="28"/>
        <v>0</v>
      </c>
      <c r="AW37" s="43" t="str">
        <f t="shared" si="29"/>
        <v>-</v>
      </c>
      <c r="AX37" s="52"/>
      <c r="AY37" s="189" t="e">
        <f>Таблица43832323[[#This Row],[Адрес дефекта, км +]]</f>
        <v>#REF!</v>
      </c>
      <c r="AZ37" s="190" t="str">
        <f>Таблица43832323[[#This Row],[Столбец55]]</f>
        <v>-</v>
      </c>
      <c r="BA37" s="191">
        <f>Таблица43832323[[#This Row],[Столбец59]]</f>
        <v>0.5</v>
      </c>
      <c r="BB37" s="101"/>
      <c r="BC37" s="52"/>
      <c r="BD37" s="187" t="e">
        <f>Таблица43832323[[#This Row],[Адрес дефекта, км +]]</f>
        <v>#REF!</v>
      </c>
      <c r="BE37" s="41">
        <f>ROUND(1-((5-Таблица43832323[[#This Row],[Балл минимальный]])/10),2)</f>
        <v>0.5</v>
      </c>
      <c r="BF37" s="40">
        <f t="shared" si="30"/>
        <v>110</v>
      </c>
    </row>
    <row r="38" spans="1:58" ht="18" x14ac:dyDescent="0.2">
      <c r="A38" s="185"/>
      <c r="B38" s="185"/>
      <c r="C38" s="36">
        <f t="shared" si="22"/>
        <v>0</v>
      </c>
      <c r="D38" s="186"/>
      <c r="E38" s="29"/>
      <c r="F38" s="29"/>
      <c r="G38" s="29"/>
      <c r="H38" s="29"/>
      <c r="I38" s="29"/>
      <c r="J38" s="29"/>
      <c r="K38" s="29"/>
      <c r="L38" s="29"/>
      <c r="M38" s="155"/>
      <c r="N38" s="30" t="str">
        <f>IFERROR(VLOOKUP(Таблица43832323[[#This Row],[Деф 1]],Лист1!$A$4:$F$60,2,FALSE),"")</f>
        <v/>
      </c>
      <c r="O38" s="30" t="str">
        <f>IFERROR(VLOOKUP(Таблица43832323[[#This Row],[Деф 2]],Лист1!$A$4:$F$60,2,FALSE),"")</f>
        <v/>
      </c>
      <c r="P38" s="30" t="str">
        <f>IFERROR(VLOOKUP(Таблица43832323[[#This Row],[Столбец4]],Лист1!$A$4:$F$60,2,FALSE),"")</f>
        <v/>
      </c>
      <c r="Q38" s="30" t="str">
        <f>IFERROR(VLOOKUP(Таблица43832323[[#This Row],[Столбец5]],Лист1!$A$4:$F$60,2,FALSE),"")</f>
        <v/>
      </c>
      <c r="R38" s="30" t="str">
        <f>IFERROR(VLOOKUP(Таблица43832323[[#This Row],[Столбец6]],Лист1!$A$4:$F$60,2,FALSE),"")</f>
        <v/>
      </c>
      <c r="S38" s="30" t="str">
        <f>IFERROR(VLOOKUP(Таблица43832323[[#This Row],[Столбец7]],Лист1!$A$4:$F$60,2,FALSE),"")</f>
        <v/>
      </c>
      <c r="T38" s="30" t="str">
        <f>IFERROR(VLOOKUP(Таблица43832323[[#This Row],[Столбец8]],Лист1!$A$4:$F$60,2,FALSE),"")</f>
        <v/>
      </c>
      <c r="U38" s="30" t="str">
        <f>IFERROR(VLOOKUP(Таблица43832323[[#This Row],[Столбец9]],Лист1!$A$4:$F$60,2,FALSE),"")</f>
        <v/>
      </c>
      <c r="V38" s="31" t="str">
        <f>IFERROR(VLOOKUP(Таблица43832323[[#This Row],[Деф 1]],Лист1!$A$4:$F$60,3,FALSE),"")</f>
        <v/>
      </c>
      <c r="W38" s="31" t="str">
        <f>IFERROR(VLOOKUP(Таблица43832323[[#This Row],[Деф 2]],Лист1!$A$4:$F$60,3,FALSE),"")</f>
        <v/>
      </c>
      <c r="X38" s="31" t="str">
        <f>IFERROR(VLOOKUP(Таблица43832323[[#This Row],[Столбец4]],Лист1!$A$4:$F$60,3,FALSE),"")</f>
        <v/>
      </c>
      <c r="Y38" s="31" t="str">
        <f>IFERROR(VLOOKUP(Таблица43832323[[#This Row],[Столбец5]],Лист1!$A$4:$F$60,3,FALSE),"")</f>
        <v/>
      </c>
      <c r="Z38" s="31" t="str">
        <f>IFERROR(VLOOKUP(Таблица43832323[[#This Row],[Столбец6]],Лист1!$A$4:$F$60,3,FALSE),"")</f>
        <v/>
      </c>
      <c r="AA38" s="31" t="str">
        <f>IFERROR(VLOOKUP(Таблица43832323[[#This Row],[Столбец7]],Лист1!$A$4:$F$60,3,FALSE),"")</f>
        <v/>
      </c>
      <c r="AB38" s="31" t="str">
        <f>IFERROR(VLOOKUP(Таблица43832323[[#This Row],[Столбец8]],Лист1!$A$4:$F$60,3,FALSE),"")</f>
        <v/>
      </c>
      <c r="AC38" s="31" t="str">
        <f>IFERROR(VLOOKUP(Таблица43832323[[#This Row],[Столбец9]],Лист1!$A$4:$F$60,3,FALSE),"")</f>
        <v/>
      </c>
      <c r="AD38" s="51" t="e">
        <f t="shared" si="0"/>
        <v>#REF!</v>
      </c>
      <c r="AE38" s="32" t="e">
        <f t="shared" si="1"/>
        <v>#REF!</v>
      </c>
      <c r="AF38" s="33" t="e">
        <f t="shared" si="2"/>
        <v>#REF!</v>
      </c>
      <c r="AG38" s="33" t="e">
        <f t="shared" si="3"/>
        <v>#REF!</v>
      </c>
      <c r="AH38" s="33" t="e">
        <f t="shared" si="4"/>
        <v>#REF!</v>
      </c>
      <c r="AI38" s="34" t="e">
        <f t="shared" si="5"/>
        <v>#REF!</v>
      </c>
      <c r="AJ38" s="34" t="e">
        <f>IF(Таблица43832323[[#This Row],[Столбец42]]=0,"000",Таблица43832323[[#This Row],[Столбец42]])</f>
        <v>#REF!</v>
      </c>
      <c r="AK38" s="34" t="e">
        <f>IF(Таблица43832323[[#This Row],[Столбец44]]=0,"000",Таблица43832323[[#This Row],[Столбец44]])</f>
        <v>#REF!</v>
      </c>
      <c r="AL38" s="52"/>
      <c r="AM38" s="187" t="e">
        <f t="shared" si="23"/>
        <v>#REF!</v>
      </c>
      <c r="AN38" s="44" t="str">
        <f>IF(ISBLANK(Таблица43832323[[#This Row],[Столбец9]]),N38&amp;O38&amp;P38&amp;Q38&amp;R38&amp;S38&amp;T38&amp;U38,N38&amp;O38&amp;P38&amp;Q38&amp;R38&amp;S38&amp;T38&amp;U38&amp;";")</f>
        <v/>
      </c>
      <c r="AO38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8" s="53">
        <f t="shared" si="24"/>
        <v>0</v>
      </c>
      <c r="AQ38" s="34">
        <f t="shared" si="25"/>
        <v>0</v>
      </c>
      <c r="AR38" s="47"/>
      <c r="AS38" s="188" t="e">
        <f t="shared" si="26"/>
        <v>#REF!</v>
      </c>
      <c r="AT38" s="42" t="e">
        <f t="shared" si="26"/>
        <v>#REF!</v>
      </c>
      <c r="AU38" s="40">
        <f t="shared" si="27"/>
        <v>0</v>
      </c>
      <c r="AV38" s="43">
        <f t="shared" si="28"/>
        <v>0</v>
      </c>
      <c r="AW38" s="43" t="str">
        <f t="shared" si="29"/>
        <v>-</v>
      </c>
      <c r="AX38" s="52"/>
      <c r="AY38" s="189" t="e">
        <f>Таблица43832323[[#This Row],[Адрес дефекта, км +]]</f>
        <v>#REF!</v>
      </c>
      <c r="AZ38" s="190" t="str">
        <f>Таблица43832323[[#This Row],[Столбец55]]</f>
        <v>-</v>
      </c>
      <c r="BA38" s="191">
        <f>Таблица43832323[[#This Row],[Столбец59]]</f>
        <v>0.5</v>
      </c>
      <c r="BB38" s="101"/>
      <c r="BC38" s="52"/>
      <c r="BD38" s="187" t="e">
        <f>Таблица43832323[[#This Row],[Адрес дефекта, км +]]</f>
        <v>#REF!</v>
      </c>
      <c r="BE38" s="41">
        <f>ROUND(1-((5-Таблица43832323[[#This Row],[Балл минимальный]])/10),2)</f>
        <v>0.5</v>
      </c>
      <c r="BF38" s="40">
        <f t="shared" si="30"/>
        <v>110</v>
      </c>
    </row>
    <row r="39" spans="1:58" ht="18" x14ac:dyDescent="0.2">
      <c r="A39" s="185"/>
      <c r="B39" s="185"/>
      <c r="C39" s="36">
        <f t="shared" si="22"/>
        <v>0</v>
      </c>
      <c r="D39" s="186"/>
      <c r="E39" s="29"/>
      <c r="F39" s="29"/>
      <c r="G39" s="29"/>
      <c r="H39" s="29"/>
      <c r="I39" s="29"/>
      <c r="J39" s="29"/>
      <c r="K39" s="29"/>
      <c r="L39" s="29"/>
      <c r="M39" s="155"/>
      <c r="N39" s="30" t="str">
        <f>IFERROR(VLOOKUP(Таблица43832323[[#This Row],[Деф 1]],Лист1!$A$4:$F$60,2,FALSE),"")</f>
        <v/>
      </c>
      <c r="O39" s="30" t="str">
        <f>IFERROR(VLOOKUP(Таблица43832323[[#This Row],[Деф 2]],Лист1!$A$4:$F$60,2,FALSE),"")</f>
        <v/>
      </c>
      <c r="P39" s="30" t="str">
        <f>IFERROR(VLOOKUP(Таблица43832323[[#This Row],[Столбец4]],Лист1!$A$4:$F$60,2,FALSE),"")</f>
        <v/>
      </c>
      <c r="Q39" s="30" t="str">
        <f>IFERROR(VLOOKUP(Таблица43832323[[#This Row],[Столбец5]],Лист1!$A$4:$F$60,2,FALSE),"")</f>
        <v/>
      </c>
      <c r="R39" s="30" t="str">
        <f>IFERROR(VLOOKUP(Таблица43832323[[#This Row],[Столбец6]],Лист1!$A$4:$F$60,2,FALSE),"")</f>
        <v/>
      </c>
      <c r="S39" s="30" t="str">
        <f>IFERROR(VLOOKUP(Таблица43832323[[#This Row],[Столбец7]],Лист1!$A$4:$F$60,2,FALSE),"")</f>
        <v/>
      </c>
      <c r="T39" s="30" t="str">
        <f>IFERROR(VLOOKUP(Таблица43832323[[#This Row],[Столбец8]],Лист1!$A$4:$F$60,2,FALSE),"")</f>
        <v/>
      </c>
      <c r="U39" s="30" t="str">
        <f>IFERROR(VLOOKUP(Таблица43832323[[#This Row],[Столбец9]],Лист1!$A$4:$F$60,2,FALSE),"")</f>
        <v/>
      </c>
      <c r="V39" s="31" t="str">
        <f>IFERROR(VLOOKUP(Таблица43832323[[#This Row],[Деф 1]],Лист1!$A$4:$F$60,3,FALSE),"")</f>
        <v/>
      </c>
      <c r="W39" s="31" t="str">
        <f>IFERROR(VLOOKUP(Таблица43832323[[#This Row],[Деф 2]],Лист1!$A$4:$F$60,3,FALSE),"")</f>
        <v/>
      </c>
      <c r="X39" s="31" t="str">
        <f>IFERROR(VLOOKUP(Таблица43832323[[#This Row],[Столбец4]],Лист1!$A$4:$F$60,3,FALSE),"")</f>
        <v/>
      </c>
      <c r="Y39" s="31" t="str">
        <f>IFERROR(VLOOKUP(Таблица43832323[[#This Row],[Столбец5]],Лист1!$A$4:$F$60,3,FALSE),"")</f>
        <v/>
      </c>
      <c r="Z39" s="31" t="str">
        <f>IFERROR(VLOOKUP(Таблица43832323[[#This Row],[Столбец6]],Лист1!$A$4:$F$60,3,FALSE),"")</f>
        <v/>
      </c>
      <c r="AA39" s="31" t="str">
        <f>IFERROR(VLOOKUP(Таблица43832323[[#This Row],[Столбец7]],Лист1!$A$4:$F$60,3,FALSE),"")</f>
        <v/>
      </c>
      <c r="AB39" s="31" t="str">
        <f>IFERROR(VLOOKUP(Таблица43832323[[#This Row],[Столбец8]],Лист1!$A$4:$F$60,3,FALSE),"")</f>
        <v/>
      </c>
      <c r="AC39" s="31" t="str">
        <f>IFERROR(VLOOKUP(Таблица43832323[[#This Row],[Столбец9]],Лист1!$A$4:$F$60,3,FALSE),"")</f>
        <v/>
      </c>
      <c r="AD39" s="51" t="e">
        <f t="shared" si="0"/>
        <v>#REF!</v>
      </c>
      <c r="AE39" s="32" t="e">
        <f t="shared" si="1"/>
        <v>#REF!</v>
      </c>
      <c r="AF39" s="33" t="e">
        <f t="shared" si="2"/>
        <v>#REF!</v>
      </c>
      <c r="AG39" s="33" t="e">
        <f t="shared" si="3"/>
        <v>#REF!</v>
      </c>
      <c r="AH39" s="33" t="e">
        <f t="shared" si="4"/>
        <v>#REF!</v>
      </c>
      <c r="AI39" s="34" t="e">
        <f t="shared" si="5"/>
        <v>#REF!</v>
      </c>
      <c r="AJ39" s="34" t="e">
        <f>IF(Таблица43832323[[#This Row],[Столбец42]]=0,"000",Таблица43832323[[#This Row],[Столбец42]])</f>
        <v>#REF!</v>
      </c>
      <c r="AK39" s="34" t="e">
        <f>IF(Таблица43832323[[#This Row],[Столбец44]]=0,"000",Таблица43832323[[#This Row],[Столбец44]])</f>
        <v>#REF!</v>
      </c>
      <c r="AL39" s="52"/>
      <c r="AM39" s="187" t="e">
        <f t="shared" si="23"/>
        <v>#REF!</v>
      </c>
      <c r="AN39" s="44" t="str">
        <f>IF(ISBLANK(Таблица43832323[[#This Row],[Столбец9]]),N39&amp;O39&amp;P39&amp;Q39&amp;R39&amp;S39&amp;T39&amp;U39,N39&amp;O39&amp;P39&amp;Q39&amp;R39&amp;S39&amp;T39&amp;U39&amp;";")</f>
        <v/>
      </c>
      <c r="AO39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9" s="53">
        <f t="shared" si="24"/>
        <v>0</v>
      </c>
      <c r="AQ39" s="34">
        <f t="shared" si="25"/>
        <v>0</v>
      </c>
      <c r="AR39" s="47"/>
      <c r="AS39" s="188" t="e">
        <f t="shared" si="26"/>
        <v>#REF!</v>
      </c>
      <c r="AT39" s="42" t="e">
        <f t="shared" si="26"/>
        <v>#REF!</v>
      </c>
      <c r="AU39" s="40">
        <f t="shared" si="27"/>
        <v>0</v>
      </c>
      <c r="AV39" s="43">
        <f t="shared" si="28"/>
        <v>0</v>
      </c>
      <c r="AW39" s="43" t="str">
        <f t="shared" si="29"/>
        <v>-</v>
      </c>
      <c r="AX39" s="52"/>
      <c r="AY39" s="189" t="e">
        <f>Таблица43832323[[#This Row],[Адрес дефекта, км +]]</f>
        <v>#REF!</v>
      </c>
      <c r="AZ39" s="190" t="str">
        <f>Таблица43832323[[#This Row],[Столбец55]]</f>
        <v>-</v>
      </c>
      <c r="BA39" s="191">
        <f>Таблица43832323[[#This Row],[Столбец59]]</f>
        <v>0.5</v>
      </c>
      <c r="BB39" s="101"/>
      <c r="BC39" s="52"/>
      <c r="BD39" s="187" t="e">
        <f>Таблица43832323[[#This Row],[Адрес дефекта, км +]]</f>
        <v>#REF!</v>
      </c>
      <c r="BE39" s="41">
        <f>ROUND(1-((5-Таблица43832323[[#This Row],[Балл минимальный]])/10),2)</f>
        <v>0.5</v>
      </c>
      <c r="BF39" s="40">
        <f t="shared" si="30"/>
        <v>110</v>
      </c>
    </row>
    <row r="40" spans="1:58" ht="18" x14ac:dyDescent="0.2">
      <c r="A40" s="185"/>
      <c r="B40" s="185"/>
      <c r="C40" s="36">
        <f t="shared" si="22"/>
        <v>0</v>
      </c>
      <c r="D40" s="186"/>
      <c r="E40" s="29"/>
      <c r="F40" s="29"/>
      <c r="G40" s="29"/>
      <c r="H40" s="29"/>
      <c r="I40" s="29"/>
      <c r="J40" s="29"/>
      <c r="K40" s="29"/>
      <c r="L40" s="29"/>
      <c r="M40" s="155"/>
      <c r="N40" s="30" t="str">
        <f>IFERROR(VLOOKUP(Таблица43832323[[#This Row],[Деф 1]],Лист1!$A$4:$F$60,2,FALSE),"")</f>
        <v/>
      </c>
      <c r="O40" s="30" t="str">
        <f>IFERROR(VLOOKUP(Таблица43832323[[#This Row],[Деф 2]],Лист1!$A$4:$F$60,2,FALSE),"")</f>
        <v/>
      </c>
      <c r="P40" s="30" t="str">
        <f>IFERROR(VLOOKUP(Таблица43832323[[#This Row],[Столбец4]],Лист1!$A$4:$F$60,2,FALSE),"")</f>
        <v/>
      </c>
      <c r="Q40" s="30" t="str">
        <f>IFERROR(VLOOKUP(Таблица43832323[[#This Row],[Столбец5]],Лист1!$A$4:$F$60,2,FALSE),"")</f>
        <v/>
      </c>
      <c r="R40" s="30" t="str">
        <f>IFERROR(VLOOKUP(Таблица43832323[[#This Row],[Столбец6]],Лист1!$A$4:$F$60,2,FALSE),"")</f>
        <v/>
      </c>
      <c r="S40" s="30" t="str">
        <f>IFERROR(VLOOKUP(Таблица43832323[[#This Row],[Столбец7]],Лист1!$A$4:$F$60,2,FALSE),"")</f>
        <v/>
      </c>
      <c r="T40" s="30" t="str">
        <f>IFERROR(VLOOKUP(Таблица43832323[[#This Row],[Столбец8]],Лист1!$A$4:$F$60,2,FALSE),"")</f>
        <v/>
      </c>
      <c r="U40" s="30" t="str">
        <f>IFERROR(VLOOKUP(Таблица43832323[[#This Row],[Столбец9]],Лист1!$A$4:$F$60,2,FALSE),"")</f>
        <v/>
      </c>
      <c r="V40" s="31" t="str">
        <f>IFERROR(VLOOKUP(Таблица43832323[[#This Row],[Деф 1]],Лист1!$A$4:$F$60,3,FALSE),"")</f>
        <v/>
      </c>
      <c r="W40" s="31" t="str">
        <f>IFERROR(VLOOKUP(Таблица43832323[[#This Row],[Деф 2]],Лист1!$A$4:$F$60,3,FALSE),"")</f>
        <v/>
      </c>
      <c r="X40" s="31" t="str">
        <f>IFERROR(VLOOKUP(Таблица43832323[[#This Row],[Столбец4]],Лист1!$A$4:$F$60,3,FALSE),"")</f>
        <v/>
      </c>
      <c r="Y40" s="31" t="str">
        <f>IFERROR(VLOOKUP(Таблица43832323[[#This Row],[Столбец5]],Лист1!$A$4:$F$60,3,FALSE),"")</f>
        <v/>
      </c>
      <c r="Z40" s="31" t="str">
        <f>IFERROR(VLOOKUP(Таблица43832323[[#This Row],[Столбец6]],Лист1!$A$4:$F$60,3,FALSE),"")</f>
        <v/>
      </c>
      <c r="AA40" s="31" t="str">
        <f>IFERROR(VLOOKUP(Таблица43832323[[#This Row],[Столбец7]],Лист1!$A$4:$F$60,3,FALSE),"")</f>
        <v/>
      </c>
      <c r="AB40" s="31" t="str">
        <f>IFERROR(VLOOKUP(Таблица43832323[[#This Row],[Столбец8]],Лист1!$A$4:$F$60,3,FALSE),"")</f>
        <v/>
      </c>
      <c r="AC40" s="31" t="str">
        <f>IFERROR(VLOOKUP(Таблица43832323[[#This Row],[Столбец9]],Лист1!$A$4:$F$60,3,FALSE),"")</f>
        <v/>
      </c>
      <c r="AD40" s="51" t="e">
        <f t="shared" si="0"/>
        <v>#REF!</v>
      </c>
      <c r="AE40" s="32" t="e">
        <f t="shared" si="1"/>
        <v>#REF!</v>
      </c>
      <c r="AF40" s="33" t="e">
        <f t="shared" si="2"/>
        <v>#REF!</v>
      </c>
      <c r="AG40" s="33" t="e">
        <f t="shared" si="3"/>
        <v>#REF!</v>
      </c>
      <c r="AH40" s="33" t="e">
        <f t="shared" si="4"/>
        <v>#REF!</v>
      </c>
      <c r="AI40" s="34" t="e">
        <f t="shared" si="5"/>
        <v>#REF!</v>
      </c>
      <c r="AJ40" s="34" t="e">
        <f>IF(Таблица43832323[[#This Row],[Столбец42]]=0,"000",Таблица43832323[[#This Row],[Столбец42]])</f>
        <v>#REF!</v>
      </c>
      <c r="AK40" s="34" t="e">
        <f>IF(Таблица43832323[[#This Row],[Столбец44]]=0,"000",Таблица43832323[[#This Row],[Столбец44]])</f>
        <v>#REF!</v>
      </c>
      <c r="AL40" s="52"/>
      <c r="AM40" s="187" t="e">
        <f t="shared" si="23"/>
        <v>#REF!</v>
      </c>
      <c r="AN40" s="44" t="str">
        <f>IF(ISBLANK(Таблица43832323[[#This Row],[Столбец9]]),N40&amp;O40&amp;P40&amp;Q40&amp;R40&amp;S40&amp;T40&amp;U40,N40&amp;O40&amp;P40&amp;Q40&amp;R40&amp;S40&amp;T40&amp;U40&amp;";")</f>
        <v/>
      </c>
      <c r="AO40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0" s="53">
        <f t="shared" si="24"/>
        <v>0</v>
      </c>
      <c r="AQ40" s="34">
        <f t="shared" si="25"/>
        <v>0</v>
      </c>
      <c r="AR40" s="47"/>
      <c r="AS40" s="188" t="e">
        <f t="shared" si="26"/>
        <v>#REF!</v>
      </c>
      <c r="AT40" s="42" t="e">
        <f t="shared" si="26"/>
        <v>#REF!</v>
      </c>
      <c r="AU40" s="40">
        <f t="shared" si="27"/>
        <v>0</v>
      </c>
      <c r="AV40" s="43">
        <f t="shared" si="28"/>
        <v>0</v>
      </c>
      <c r="AW40" s="43" t="str">
        <f t="shared" si="29"/>
        <v>-</v>
      </c>
      <c r="AX40" s="52"/>
      <c r="AY40" s="189" t="e">
        <f>Таблица43832323[[#This Row],[Адрес дефекта, км +]]</f>
        <v>#REF!</v>
      </c>
      <c r="AZ40" s="190" t="str">
        <f>Таблица43832323[[#This Row],[Столбец55]]</f>
        <v>-</v>
      </c>
      <c r="BA40" s="191">
        <f>Таблица43832323[[#This Row],[Столбец59]]</f>
        <v>0.5</v>
      </c>
      <c r="BB40" s="101"/>
      <c r="BC40" s="52"/>
      <c r="BD40" s="187" t="e">
        <f>Таблица43832323[[#This Row],[Адрес дефекта, км +]]</f>
        <v>#REF!</v>
      </c>
      <c r="BE40" s="41">
        <f>ROUND(1-((5-Таблица43832323[[#This Row],[Балл минимальный]])/10),2)</f>
        <v>0.5</v>
      </c>
      <c r="BF40" s="40">
        <f t="shared" si="30"/>
        <v>110</v>
      </c>
    </row>
    <row r="41" spans="1:58" ht="18" x14ac:dyDescent="0.2">
      <c r="A41" s="185"/>
      <c r="B41" s="185"/>
      <c r="C41" s="36">
        <f t="shared" si="22"/>
        <v>0</v>
      </c>
      <c r="D41" s="186"/>
      <c r="E41" s="29"/>
      <c r="F41" s="29"/>
      <c r="G41" s="29"/>
      <c r="H41" s="29"/>
      <c r="I41" s="29"/>
      <c r="J41" s="29"/>
      <c r="K41" s="29"/>
      <c r="L41" s="29"/>
      <c r="M41" s="155"/>
      <c r="N41" s="30" t="str">
        <f>IFERROR(VLOOKUP(Таблица43832323[[#This Row],[Деф 1]],Лист1!$A$4:$F$60,2,FALSE),"")</f>
        <v/>
      </c>
      <c r="O41" s="30" t="str">
        <f>IFERROR(VLOOKUP(Таблица43832323[[#This Row],[Деф 2]],Лист1!$A$4:$F$60,2,FALSE),"")</f>
        <v/>
      </c>
      <c r="P41" s="30" t="str">
        <f>IFERROR(VLOOKUP(Таблица43832323[[#This Row],[Столбец4]],Лист1!$A$4:$F$60,2,FALSE),"")</f>
        <v/>
      </c>
      <c r="Q41" s="30" t="str">
        <f>IFERROR(VLOOKUP(Таблица43832323[[#This Row],[Столбец5]],Лист1!$A$4:$F$60,2,FALSE),"")</f>
        <v/>
      </c>
      <c r="R41" s="30" t="str">
        <f>IFERROR(VLOOKUP(Таблица43832323[[#This Row],[Столбец6]],Лист1!$A$4:$F$60,2,FALSE),"")</f>
        <v/>
      </c>
      <c r="S41" s="30" t="str">
        <f>IFERROR(VLOOKUP(Таблица43832323[[#This Row],[Столбец7]],Лист1!$A$4:$F$60,2,FALSE),"")</f>
        <v/>
      </c>
      <c r="T41" s="30" t="str">
        <f>IFERROR(VLOOKUP(Таблица43832323[[#This Row],[Столбец8]],Лист1!$A$4:$F$60,2,FALSE),"")</f>
        <v/>
      </c>
      <c r="U41" s="30" t="str">
        <f>IFERROR(VLOOKUP(Таблица43832323[[#This Row],[Столбец9]],Лист1!$A$4:$F$60,2,FALSE),"")</f>
        <v/>
      </c>
      <c r="V41" s="31" t="str">
        <f>IFERROR(VLOOKUP(Таблица43832323[[#This Row],[Деф 1]],Лист1!$A$4:$F$60,3,FALSE),"")</f>
        <v/>
      </c>
      <c r="W41" s="31" t="str">
        <f>IFERROR(VLOOKUP(Таблица43832323[[#This Row],[Деф 2]],Лист1!$A$4:$F$60,3,FALSE),"")</f>
        <v/>
      </c>
      <c r="X41" s="31" t="str">
        <f>IFERROR(VLOOKUP(Таблица43832323[[#This Row],[Столбец4]],Лист1!$A$4:$F$60,3,FALSE),"")</f>
        <v/>
      </c>
      <c r="Y41" s="31" t="str">
        <f>IFERROR(VLOOKUP(Таблица43832323[[#This Row],[Столбец5]],Лист1!$A$4:$F$60,3,FALSE),"")</f>
        <v/>
      </c>
      <c r="Z41" s="31" t="str">
        <f>IFERROR(VLOOKUP(Таблица43832323[[#This Row],[Столбец6]],Лист1!$A$4:$F$60,3,FALSE),"")</f>
        <v/>
      </c>
      <c r="AA41" s="31" t="str">
        <f>IFERROR(VLOOKUP(Таблица43832323[[#This Row],[Столбец7]],Лист1!$A$4:$F$60,3,FALSE),"")</f>
        <v/>
      </c>
      <c r="AB41" s="31" t="str">
        <f>IFERROR(VLOOKUP(Таблица43832323[[#This Row],[Столбец8]],Лист1!$A$4:$F$60,3,FALSE),"")</f>
        <v/>
      </c>
      <c r="AC41" s="31" t="str">
        <f>IFERROR(VLOOKUP(Таблица43832323[[#This Row],[Столбец9]],Лист1!$A$4:$F$60,3,FALSE),"")</f>
        <v/>
      </c>
      <c r="AD41" s="51" t="e">
        <f t="shared" si="0"/>
        <v>#REF!</v>
      </c>
      <c r="AE41" s="32" t="e">
        <f t="shared" si="1"/>
        <v>#REF!</v>
      </c>
      <c r="AF41" s="33" t="e">
        <f t="shared" si="2"/>
        <v>#REF!</v>
      </c>
      <c r="AG41" s="33" t="e">
        <f t="shared" si="3"/>
        <v>#REF!</v>
      </c>
      <c r="AH41" s="33" t="e">
        <f t="shared" si="4"/>
        <v>#REF!</v>
      </c>
      <c r="AI41" s="34" t="e">
        <f t="shared" si="5"/>
        <v>#REF!</v>
      </c>
      <c r="AJ41" s="34" t="e">
        <f>IF(Таблица43832323[[#This Row],[Столбец42]]=0,"000",Таблица43832323[[#This Row],[Столбец42]])</f>
        <v>#REF!</v>
      </c>
      <c r="AK41" s="34" t="e">
        <f>IF(Таблица43832323[[#This Row],[Столбец44]]=0,"000",Таблица43832323[[#This Row],[Столбец44]])</f>
        <v>#REF!</v>
      </c>
      <c r="AL41" s="52"/>
      <c r="AM41" s="187" t="e">
        <f t="shared" si="23"/>
        <v>#REF!</v>
      </c>
      <c r="AN41" s="44" t="str">
        <f>IF(ISBLANK(Таблица43832323[[#This Row],[Столбец9]]),N41&amp;O41&amp;P41&amp;Q41&amp;R41&amp;S41&amp;T41&amp;U41,N41&amp;O41&amp;P41&amp;Q41&amp;R41&amp;S41&amp;T41&amp;U41&amp;";")</f>
        <v/>
      </c>
      <c r="AO41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1" s="53">
        <f t="shared" si="24"/>
        <v>0</v>
      </c>
      <c r="AQ41" s="34">
        <f t="shared" si="25"/>
        <v>0</v>
      </c>
      <c r="AR41" s="47"/>
      <c r="AS41" s="188" t="e">
        <f t="shared" si="26"/>
        <v>#REF!</v>
      </c>
      <c r="AT41" s="42" t="e">
        <f t="shared" si="26"/>
        <v>#REF!</v>
      </c>
      <c r="AU41" s="40">
        <f t="shared" si="27"/>
        <v>0</v>
      </c>
      <c r="AV41" s="43">
        <f t="shared" si="28"/>
        <v>0</v>
      </c>
      <c r="AW41" s="43" t="str">
        <f t="shared" si="29"/>
        <v>-</v>
      </c>
      <c r="AX41" s="52"/>
      <c r="AY41" s="189" t="e">
        <f>Таблица43832323[[#This Row],[Адрес дефекта, км +]]</f>
        <v>#REF!</v>
      </c>
      <c r="AZ41" s="190" t="str">
        <f>Таблица43832323[[#This Row],[Столбец55]]</f>
        <v>-</v>
      </c>
      <c r="BA41" s="191">
        <f>Таблица43832323[[#This Row],[Столбец59]]</f>
        <v>0.5</v>
      </c>
      <c r="BB41" s="101"/>
      <c r="BC41" s="52"/>
      <c r="BD41" s="187" t="e">
        <f>Таблица43832323[[#This Row],[Адрес дефекта, км +]]</f>
        <v>#REF!</v>
      </c>
      <c r="BE41" s="41">
        <f>ROUND(1-((5-Таблица43832323[[#This Row],[Балл минимальный]])/10),2)</f>
        <v>0.5</v>
      </c>
      <c r="BF41" s="40">
        <f t="shared" si="30"/>
        <v>110</v>
      </c>
    </row>
    <row r="42" spans="1:58" ht="18" x14ac:dyDescent="0.2">
      <c r="A42" s="185"/>
      <c r="B42" s="185"/>
      <c r="C42" s="36">
        <f t="shared" si="22"/>
        <v>0</v>
      </c>
      <c r="D42" s="186"/>
      <c r="E42" s="29"/>
      <c r="F42" s="29"/>
      <c r="G42" s="29"/>
      <c r="H42" s="29"/>
      <c r="I42" s="29"/>
      <c r="J42" s="29"/>
      <c r="K42" s="29"/>
      <c r="L42" s="29"/>
      <c r="M42" s="155"/>
      <c r="N42" s="30" t="str">
        <f>IFERROR(VLOOKUP(Таблица43832323[[#This Row],[Деф 1]],Лист1!$A$4:$F$60,2,FALSE),"")</f>
        <v/>
      </c>
      <c r="O42" s="30" t="str">
        <f>IFERROR(VLOOKUP(Таблица43832323[[#This Row],[Деф 2]],Лист1!$A$4:$F$60,2,FALSE),"")</f>
        <v/>
      </c>
      <c r="P42" s="30" t="str">
        <f>IFERROR(VLOOKUP(Таблица43832323[[#This Row],[Столбец4]],Лист1!$A$4:$F$60,2,FALSE),"")</f>
        <v/>
      </c>
      <c r="Q42" s="30" t="str">
        <f>IFERROR(VLOOKUP(Таблица43832323[[#This Row],[Столбец5]],Лист1!$A$4:$F$60,2,FALSE),"")</f>
        <v/>
      </c>
      <c r="R42" s="30" t="str">
        <f>IFERROR(VLOOKUP(Таблица43832323[[#This Row],[Столбец6]],Лист1!$A$4:$F$60,2,FALSE),"")</f>
        <v/>
      </c>
      <c r="S42" s="30" t="str">
        <f>IFERROR(VLOOKUP(Таблица43832323[[#This Row],[Столбец7]],Лист1!$A$4:$F$60,2,FALSE),"")</f>
        <v/>
      </c>
      <c r="T42" s="30" t="str">
        <f>IFERROR(VLOOKUP(Таблица43832323[[#This Row],[Столбец8]],Лист1!$A$4:$F$60,2,FALSE),"")</f>
        <v/>
      </c>
      <c r="U42" s="30" t="str">
        <f>IFERROR(VLOOKUP(Таблица43832323[[#This Row],[Столбец9]],Лист1!$A$4:$F$60,2,FALSE),"")</f>
        <v/>
      </c>
      <c r="V42" s="31" t="str">
        <f>IFERROR(VLOOKUP(Таблица43832323[[#This Row],[Деф 1]],Лист1!$A$4:$F$60,3,FALSE),"")</f>
        <v/>
      </c>
      <c r="W42" s="31" t="str">
        <f>IFERROR(VLOOKUP(Таблица43832323[[#This Row],[Деф 2]],Лист1!$A$4:$F$60,3,FALSE),"")</f>
        <v/>
      </c>
      <c r="X42" s="31" t="str">
        <f>IFERROR(VLOOKUP(Таблица43832323[[#This Row],[Столбец4]],Лист1!$A$4:$F$60,3,FALSE),"")</f>
        <v/>
      </c>
      <c r="Y42" s="31" t="str">
        <f>IFERROR(VLOOKUP(Таблица43832323[[#This Row],[Столбец5]],Лист1!$A$4:$F$60,3,FALSE),"")</f>
        <v/>
      </c>
      <c r="Z42" s="31" t="str">
        <f>IFERROR(VLOOKUP(Таблица43832323[[#This Row],[Столбец6]],Лист1!$A$4:$F$60,3,FALSE),"")</f>
        <v/>
      </c>
      <c r="AA42" s="31" t="str">
        <f>IFERROR(VLOOKUP(Таблица43832323[[#This Row],[Столбец7]],Лист1!$A$4:$F$60,3,FALSE),"")</f>
        <v/>
      </c>
      <c r="AB42" s="31" t="str">
        <f>IFERROR(VLOOKUP(Таблица43832323[[#This Row],[Столбец8]],Лист1!$A$4:$F$60,3,FALSE),"")</f>
        <v/>
      </c>
      <c r="AC42" s="31" t="str">
        <f>IFERROR(VLOOKUP(Таблица43832323[[#This Row],[Столбец9]],Лист1!$A$4:$F$60,3,FALSE),"")</f>
        <v/>
      </c>
      <c r="AD42" s="51" t="e">
        <f t="shared" si="0"/>
        <v>#REF!</v>
      </c>
      <c r="AE42" s="32" t="e">
        <f t="shared" si="1"/>
        <v>#REF!</v>
      </c>
      <c r="AF42" s="33" t="e">
        <f t="shared" si="2"/>
        <v>#REF!</v>
      </c>
      <c r="AG42" s="33" t="e">
        <f t="shared" si="3"/>
        <v>#REF!</v>
      </c>
      <c r="AH42" s="33" t="e">
        <f t="shared" si="4"/>
        <v>#REF!</v>
      </c>
      <c r="AI42" s="34" t="e">
        <f t="shared" si="5"/>
        <v>#REF!</v>
      </c>
      <c r="AJ42" s="34" t="e">
        <f>IF(Таблица43832323[[#This Row],[Столбец42]]=0,"000",Таблица43832323[[#This Row],[Столбец42]])</f>
        <v>#REF!</v>
      </c>
      <c r="AK42" s="34" t="e">
        <f>IF(Таблица43832323[[#This Row],[Столбец44]]=0,"000",Таблица43832323[[#This Row],[Столбец44]])</f>
        <v>#REF!</v>
      </c>
      <c r="AL42" s="52"/>
      <c r="AM42" s="187" t="e">
        <f t="shared" si="23"/>
        <v>#REF!</v>
      </c>
      <c r="AN42" s="44" t="str">
        <f>IF(ISBLANK(Таблица43832323[[#This Row],[Столбец9]]),N42&amp;O42&amp;P42&amp;Q42&amp;R42&amp;S42&amp;T42&amp;U42,N42&amp;O42&amp;P42&amp;Q42&amp;R42&amp;S42&amp;T42&amp;U42&amp;";")</f>
        <v/>
      </c>
      <c r="AO42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2" s="53">
        <f t="shared" si="24"/>
        <v>0</v>
      </c>
      <c r="AQ42" s="34">
        <f t="shared" si="25"/>
        <v>0</v>
      </c>
      <c r="AR42" s="47"/>
      <c r="AS42" s="188" t="e">
        <f t="shared" si="26"/>
        <v>#REF!</v>
      </c>
      <c r="AT42" s="42" t="e">
        <f t="shared" si="26"/>
        <v>#REF!</v>
      </c>
      <c r="AU42" s="40">
        <f t="shared" si="27"/>
        <v>0</v>
      </c>
      <c r="AV42" s="43">
        <f t="shared" si="28"/>
        <v>0</v>
      </c>
      <c r="AW42" s="43" t="str">
        <f t="shared" si="29"/>
        <v>-</v>
      </c>
      <c r="AX42" s="52"/>
      <c r="AY42" s="189" t="e">
        <f>Таблица43832323[[#This Row],[Адрес дефекта, км +]]</f>
        <v>#REF!</v>
      </c>
      <c r="AZ42" s="190" t="str">
        <f>Таблица43832323[[#This Row],[Столбец55]]</f>
        <v>-</v>
      </c>
      <c r="BA42" s="191">
        <f>Таблица43832323[[#This Row],[Столбец59]]</f>
        <v>0.5</v>
      </c>
      <c r="BB42" s="101"/>
      <c r="BC42" s="52"/>
      <c r="BD42" s="187" t="e">
        <f>Таблица43832323[[#This Row],[Адрес дефекта, км +]]</f>
        <v>#REF!</v>
      </c>
      <c r="BE42" s="41">
        <f>ROUND(1-((5-Таблица43832323[[#This Row],[Балл минимальный]])/10),2)</f>
        <v>0.5</v>
      </c>
      <c r="BF42" s="40">
        <f t="shared" si="30"/>
        <v>110</v>
      </c>
    </row>
    <row r="43" spans="1:58" ht="18" x14ac:dyDescent="0.2">
      <c r="A43" s="185"/>
      <c r="B43" s="185"/>
      <c r="C43" s="36">
        <f t="shared" si="22"/>
        <v>0</v>
      </c>
      <c r="D43" s="186"/>
      <c r="E43" s="29"/>
      <c r="F43" s="29"/>
      <c r="G43" s="29"/>
      <c r="H43" s="29"/>
      <c r="I43" s="29"/>
      <c r="J43" s="29"/>
      <c r="K43" s="29"/>
      <c r="L43" s="29"/>
      <c r="M43" s="155"/>
      <c r="N43" s="30" t="str">
        <f>IFERROR(VLOOKUP(Таблица43832323[[#This Row],[Деф 1]],Лист1!$A$4:$F$60,2,FALSE),"")</f>
        <v/>
      </c>
      <c r="O43" s="30" t="str">
        <f>IFERROR(VLOOKUP(Таблица43832323[[#This Row],[Деф 2]],Лист1!$A$4:$F$60,2,FALSE),"")</f>
        <v/>
      </c>
      <c r="P43" s="30" t="str">
        <f>IFERROR(VLOOKUP(Таблица43832323[[#This Row],[Столбец4]],Лист1!$A$4:$F$60,2,FALSE),"")</f>
        <v/>
      </c>
      <c r="Q43" s="30" t="str">
        <f>IFERROR(VLOOKUP(Таблица43832323[[#This Row],[Столбец5]],Лист1!$A$4:$F$60,2,FALSE),"")</f>
        <v/>
      </c>
      <c r="R43" s="30" t="str">
        <f>IFERROR(VLOOKUP(Таблица43832323[[#This Row],[Столбец6]],Лист1!$A$4:$F$60,2,FALSE),"")</f>
        <v/>
      </c>
      <c r="S43" s="30" t="str">
        <f>IFERROR(VLOOKUP(Таблица43832323[[#This Row],[Столбец7]],Лист1!$A$4:$F$60,2,FALSE),"")</f>
        <v/>
      </c>
      <c r="T43" s="30" t="str">
        <f>IFERROR(VLOOKUP(Таблица43832323[[#This Row],[Столбец8]],Лист1!$A$4:$F$60,2,FALSE),"")</f>
        <v/>
      </c>
      <c r="U43" s="30" t="str">
        <f>IFERROR(VLOOKUP(Таблица43832323[[#This Row],[Столбец9]],Лист1!$A$4:$F$60,2,FALSE),"")</f>
        <v/>
      </c>
      <c r="V43" s="31" t="str">
        <f>IFERROR(VLOOKUP(Таблица43832323[[#This Row],[Деф 1]],Лист1!$A$4:$F$60,3,FALSE),"")</f>
        <v/>
      </c>
      <c r="W43" s="31" t="str">
        <f>IFERROR(VLOOKUP(Таблица43832323[[#This Row],[Деф 2]],Лист1!$A$4:$F$60,3,FALSE),"")</f>
        <v/>
      </c>
      <c r="X43" s="31" t="str">
        <f>IFERROR(VLOOKUP(Таблица43832323[[#This Row],[Столбец4]],Лист1!$A$4:$F$60,3,FALSE),"")</f>
        <v/>
      </c>
      <c r="Y43" s="31" t="str">
        <f>IFERROR(VLOOKUP(Таблица43832323[[#This Row],[Столбец5]],Лист1!$A$4:$F$60,3,FALSE),"")</f>
        <v/>
      </c>
      <c r="Z43" s="31" t="str">
        <f>IFERROR(VLOOKUP(Таблица43832323[[#This Row],[Столбец6]],Лист1!$A$4:$F$60,3,FALSE),"")</f>
        <v/>
      </c>
      <c r="AA43" s="31" t="str">
        <f>IFERROR(VLOOKUP(Таблица43832323[[#This Row],[Столбец7]],Лист1!$A$4:$F$60,3,FALSE),"")</f>
        <v/>
      </c>
      <c r="AB43" s="31" t="str">
        <f>IFERROR(VLOOKUP(Таблица43832323[[#This Row],[Столбец8]],Лист1!$A$4:$F$60,3,FALSE),"")</f>
        <v/>
      </c>
      <c r="AC43" s="31" t="str">
        <f>IFERROR(VLOOKUP(Таблица43832323[[#This Row],[Столбец9]],Лист1!$A$4:$F$60,3,FALSE),"")</f>
        <v/>
      </c>
      <c r="AD43" s="51" t="e">
        <f t="shared" si="0"/>
        <v>#REF!</v>
      </c>
      <c r="AE43" s="32" t="e">
        <f t="shared" si="1"/>
        <v>#REF!</v>
      </c>
      <c r="AF43" s="33" t="e">
        <f t="shared" si="2"/>
        <v>#REF!</v>
      </c>
      <c r="AG43" s="33" t="e">
        <f t="shared" si="3"/>
        <v>#REF!</v>
      </c>
      <c r="AH43" s="33" t="e">
        <f t="shared" si="4"/>
        <v>#REF!</v>
      </c>
      <c r="AI43" s="34" t="e">
        <f t="shared" si="5"/>
        <v>#REF!</v>
      </c>
      <c r="AJ43" s="34" t="e">
        <f>IF(Таблица43832323[[#This Row],[Столбец42]]=0,"000",Таблица43832323[[#This Row],[Столбец42]])</f>
        <v>#REF!</v>
      </c>
      <c r="AK43" s="34" t="e">
        <f>IF(Таблица43832323[[#This Row],[Столбец44]]=0,"000",Таблица43832323[[#This Row],[Столбец44]])</f>
        <v>#REF!</v>
      </c>
      <c r="AL43" s="52"/>
      <c r="AM43" s="187" t="e">
        <f t="shared" si="23"/>
        <v>#REF!</v>
      </c>
      <c r="AN43" s="44" t="str">
        <f>IF(ISBLANK(Таблица43832323[[#This Row],[Столбец9]]),N43&amp;O43&amp;P43&amp;Q43&amp;R43&amp;S43&amp;T43&amp;U43,N43&amp;O43&amp;P43&amp;Q43&amp;R43&amp;S43&amp;T43&amp;U43&amp;";")</f>
        <v/>
      </c>
      <c r="AO43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3" s="53">
        <f t="shared" si="24"/>
        <v>0</v>
      </c>
      <c r="AQ43" s="34">
        <f t="shared" si="25"/>
        <v>0</v>
      </c>
      <c r="AR43" s="47"/>
      <c r="AS43" s="188" t="e">
        <f t="shared" si="26"/>
        <v>#REF!</v>
      </c>
      <c r="AT43" s="42" t="e">
        <f t="shared" si="26"/>
        <v>#REF!</v>
      </c>
      <c r="AU43" s="40">
        <f t="shared" si="27"/>
        <v>0</v>
      </c>
      <c r="AV43" s="43">
        <f t="shared" si="28"/>
        <v>0</v>
      </c>
      <c r="AW43" s="43" t="str">
        <f t="shared" si="29"/>
        <v>-</v>
      </c>
      <c r="AX43" s="52"/>
      <c r="AY43" s="189" t="e">
        <f>Таблица43832323[[#This Row],[Адрес дефекта, км +]]</f>
        <v>#REF!</v>
      </c>
      <c r="AZ43" s="190" t="str">
        <f>Таблица43832323[[#This Row],[Столбец55]]</f>
        <v>-</v>
      </c>
      <c r="BA43" s="191">
        <f>Таблица43832323[[#This Row],[Столбец59]]</f>
        <v>0.5</v>
      </c>
      <c r="BB43" s="101"/>
      <c r="BC43" s="52"/>
      <c r="BD43" s="187" t="e">
        <f>Таблица43832323[[#This Row],[Адрес дефекта, км +]]</f>
        <v>#REF!</v>
      </c>
      <c r="BE43" s="41">
        <f>ROUND(1-((5-Таблица43832323[[#This Row],[Балл минимальный]])/10),2)</f>
        <v>0.5</v>
      </c>
      <c r="BF43" s="40">
        <f t="shared" si="30"/>
        <v>110</v>
      </c>
    </row>
    <row r="44" spans="1:58" ht="18" x14ac:dyDescent="0.2">
      <c r="A44" s="185"/>
      <c r="B44" s="185"/>
      <c r="C44" s="36">
        <f t="shared" si="22"/>
        <v>0</v>
      </c>
      <c r="D44" s="186"/>
      <c r="E44" s="29"/>
      <c r="F44" s="29"/>
      <c r="G44" s="29"/>
      <c r="H44" s="29"/>
      <c r="I44" s="29"/>
      <c r="J44" s="29"/>
      <c r="K44" s="29"/>
      <c r="L44" s="29"/>
      <c r="M44" s="155"/>
      <c r="N44" s="30" t="str">
        <f>IFERROR(VLOOKUP(Таблица43832323[[#This Row],[Деф 1]],Лист1!$A$4:$F$60,2,FALSE),"")</f>
        <v/>
      </c>
      <c r="O44" s="30" t="str">
        <f>IFERROR(VLOOKUP(Таблица43832323[[#This Row],[Деф 2]],Лист1!$A$4:$F$60,2,FALSE),"")</f>
        <v/>
      </c>
      <c r="P44" s="30" t="str">
        <f>IFERROR(VLOOKUP(Таблица43832323[[#This Row],[Столбец4]],Лист1!$A$4:$F$60,2,FALSE),"")</f>
        <v/>
      </c>
      <c r="Q44" s="30" t="str">
        <f>IFERROR(VLOOKUP(Таблица43832323[[#This Row],[Столбец5]],Лист1!$A$4:$F$60,2,FALSE),"")</f>
        <v/>
      </c>
      <c r="R44" s="30" t="str">
        <f>IFERROR(VLOOKUP(Таблица43832323[[#This Row],[Столбец6]],Лист1!$A$4:$F$60,2,FALSE),"")</f>
        <v/>
      </c>
      <c r="S44" s="30" t="str">
        <f>IFERROR(VLOOKUP(Таблица43832323[[#This Row],[Столбец7]],Лист1!$A$4:$F$60,2,FALSE),"")</f>
        <v/>
      </c>
      <c r="T44" s="30" t="str">
        <f>IFERROR(VLOOKUP(Таблица43832323[[#This Row],[Столбец8]],Лист1!$A$4:$F$60,2,FALSE),"")</f>
        <v/>
      </c>
      <c r="U44" s="30" t="str">
        <f>IFERROR(VLOOKUP(Таблица43832323[[#This Row],[Столбец9]],Лист1!$A$4:$F$60,2,FALSE),"")</f>
        <v/>
      </c>
      <c r="V44" s="31" t="str">
        <f>IFERROR(VLOOKUP(Таблица43832323[[#This Row],[Деф 1]],Лист1!$A$4:$F$60,3,FALSE),"")</f>
        <v/>
      </c>
      <c r="W44" s="31" t="str">
        <f>IFERROR(VLOOKUP(Таблица43832323[[#This Row],[Деф 2]],Лист1!$A$4:$F$60,3,FALSE),"")</f>
        <v/>
      </c>
      <c r="X44" s="31" t="str">
        <f>IFERROR(VLOOKUP(Таблица43832323[[#This Row],[Столбец4]],Лист1!$A$4:$F$60,3,FALSE),"")</f>
        <v/>
      </c>
      <c r="Y44" s="31" t="str">
        <f>IFERROR(VLOOKUP(Таблица43832323[[#This Row],[Столбец5]],Лист1!$A$4:$F$60,3,FALSE),"")</f>
        <v/>
      </c>
      <c r="Z44" s="31" t="str">
        <f>IFERROR(VLOOKUP(Таблица43832323[[#This Row],[Столбец6]],Лист1!$A$4:$F$60,3,FALSE),"")</f>
        <v/>
      </c>
      <c r="AA44" s="31" t="str">
        <f>IFERROR(VLOOKUP(Таблица43832323[[#This Row],[Столбец7]],Лист1!$A$4:$F$60,3,FALSE),"")</f>
        <v/>
      </c>
      <c r="AB44" s="31" t="str">
        <f>IFERROR(VLOOKUP(Таблица43832323[[#This Row],[Столбец8]],Лист1!$A$4:$F$60,3,FALSE),"")</f>
        <v/>
      </c>
      <c r="AC44" s="31" t="str">
        <f>IFERROR(VLOOKUP(Таблица43832323[[#This Row],[Столбец9]],Лист1!$A$4:$F$60,3,FALSE),"")</f>
        <v/>
      </c>
      <c r="AD44" s="51" t="e">
        <f t="shared" si="0"/>
        <v>#REF!</v>
      </c>
      <c r="AE44" s="32" t="e">
        <f t="shared" si="1"/>
        <v>#REF!</v>
      </c>
      <c r="AF44" s="33" t="e">
        <f t="shared" si="2"/>
        <v>#REF!</v>
      </c>
      <c r="AG44" s="33" t="e">
        <f t="shared" si="3"/>
        <v>#REF!</v>
      </c>
      <c r="AH44" s="33" t="e">
        <f t="shared" si="4"/>
        <v>#REF!</v>
      </c>
      <c r="AI44" s="34" t="e">
        <f t="shared" si="5"/>
        <v>#REF!</v>
      </c>
      <c r="AJ44" s="34" t="e">
        <f>IF(Таблица43832323[[#This Row],[Столбец42]]=0,"000",Таблица43832323[[#This Row],[Столбец42]])</f>
        <v>#REF!</v>
      </c>
      <c r="AK44" s="34" t="e">
        <f>IF(Таблица43832323[[#This Row],[Столбец44]]=0,"000",Таблица43832323[[#This Row],[Столбец44]])</f>
        <v>#REF!</v>
      </c>
      <c r="AL44" s="52"/>
      <c r="AM44" s="187" t="e">
        <f t="shared" si="23"/>
        <v>#REF!</v>
      </c>
      <c r="AN44" s="44" t="str">
        <f>IF(ISBLANK(Таблица43832323[[#This Row],[Столбец9]]),N44&amp;O44&amp;P44&amp;Q44&amp;R44&amp;S44&amp;T44&amp;U44,N44&amp;O44&amp;P44&amp;Q44&amp;R44&amp;S44&amp;T44&amp;U44&amp;";")</f>
        <v/>
      </c>
      <c r="AO44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4" s="53">
        <f t="shared" si="24"/>
        <v>0</v>
      </c>
      <c r="AQ44" s="34">
        <f t="shared" si="25"/>
        <v>0</v>
      </c>
      <c r="AR44" s="47"/>
      <c r="AS44" s="188" t="e">
        <f t="shared" si="26"/>
        <v>#REF!</v>
      </c>
      <c r="AT44" s="42" t="e">
        <f t="shared" si="26"/>
        <v>#REF!</v>
      </c>
      <c r="AU44" s="40">
        <f t="shared" si="27"/>
        <v>0</v>
      </c>
      <c r="AV44" s="43">
        <f t="shared" si="28"/>
        <v>0</v>
      </c>
      <c r="AW44" s="43" t="str">
        <f t="shared" si="29"/>
        <v>-</v>
      </c>
      <c r="AX44" s="52"/>
      <c r="AY44" s="189" t="e">
        <f>Таблица43832323[[#This Row],[Адрес дефекта, км +]]</f>
        <v>#REF!</v>
      </c>
      <c r="AZ44" s="190" t="str">
        <f>Таблица43832323[[#This Row],[Столбец55]]</f>
        <v>-</v>
      </c>
      <c r="BA44" s="191">
        <f>Таблица43832323[[#This Row],[Столбец59]]</f>
        <v>0.5</v>
      </c>
      <c r="BB44" s="101"/>
      <c r="BC44" s="52"/>
      <c r="BD44" s="187" t="e">
        <f>Таблица43832323[[#This Row],[Адрес дефекта, км +]]</f>
        <v>#REF!</v>
      </c>
      <c r="BE44" s="41">
        <f>ROUND(1-((5-Таблица43832323[[#This Row],[Балл минимальный]])/10),2)</f>
        <v>0.5</v>
      </c>
      <c r="BF44" s="40">
        <f t="shared" si="30"/>
        <v>110</v>
      </c>
    </row>
    <row r="45" spans="1:58" ht="18" x14ac:dyDescent="0.2">
      <c r="A45" s="185"/>
      <c r="B45" s="185"/>
      <c r="C45" s="36">
        <f t="shared" si="22"/>
        <v>0</v>
      </c>
      <c r="D45" s="186"/>
      <c r="E45" s="29"/>
      <c r="F45" s="29"/>
      <c r="G45" s="29"/>
      <c r="H45" s="29"/>
      <c r="I45" s="29"/>
      <c r="J45" s="29"/>
      <c r="K45" s="29"/>
      <c r="L45" s="29"/>
      <c r="M45" s="155"/>
      <c r="N45" s="30" t="str">
        <f>IFERROR(VLOOKUP(Таблица43832323[[#This Row],[Деф 1]],Лист1!$A$4:$F$60,2,FALSE),"")</f>
        <v/>
      </c>
      <c r="O45" s="30" t="str">
        <f>IFERROR(VLOOKUP(Таблица43832323[[#This Row],[Деф 2]],Лист1!$A$4:$F$60,2,FALSE),"")</f>
        <v/>
      </c>
      <c r="P45" s="30" t="str">
        <f>IFERROR(VLOOKUP(Таблица43832323[[#This Row],[Столбец4]],Лист1!$A$4:$F$60,2,FALSE),"")</f>
        <v/>
      </c>
      <c r="Q45" s="30" t="str">
        <f>IFERROR(VLOOKUP(Таблица43832323[[#This Row],[Столбец5]],Лист1!$A$4:$F$60,2,FALSE),"")</f>
        <v/>
      </c>
      <c r="R45" s="30" t="str">
        <f>IFERROR(VLOOKUP(Таблица43832323[[#This Row],[Столбец6]],Лист1!$A$4:$F$60,2,FALSE),"")</f>
        <v/>
      </c>
      <c r="S45" s="30" t="str">
        <f>IFERROR(VLOOKUP(Таблица43832323[[#This Row],[Столбец7]],Лист1!$A$4:$F$60,2,FALSE),"")</f>
        <v/>
      </c>
      <c r="T45" s="30" t="str">
        <f>IFERROR(VLOOKUP(Таблица43832323[[#This Row],[Столбец8]],Лист1!$A$4:$F$60,2,FALSE),"")</f>
        <v/>
      </c>
      <c r="U45" s="30" t="str">
        <f>IFERROR(VLOOKUP(Таблица43832323[[#This Row],[Столбец9]],Лист1!$A$4:$F$60,2,FALSE),"")</f>
        <v/>
      </c>
      <c r="V45" s="31" t="str">
        <f>IFERROR(VLOOKUP(Таблица43832323[[#This Row],[Деф 1]],Лист1!$A$4:$F$60,3,FALSE),"")</f>
        <v/>
      </c>
      <c r="W45" s="31" t="str">
        <f>IFERROR(VLOOKUP(Таблица43832323[[#This Row],[Деф 2]],Лист1!$A$4:$F$60,3,FALSE),"")</f>
        <v/>
      </c>
      <c r="X45" s="31" t="str">
        <f>IFERROR(VLOOKUP(Таблица43832323[[#This Row],[Столбец4]],Лист1!$A$4:$F$60,3,FALSE),"")</f>
        <v/>
      </c>
      <c r="Y45" s="31" t="str">
        <f>IFERROR(VLOOKUP(Таблица43832323[[#This Row],[Столбец5]],Лист1!$A$4:$F$60,3,FALSE),"")</f>
        <v/>
      </c>
      <c r="Z45" s="31" t="str">
        <f>IFERROR(VLOOKUP(Таблица43832323[[#This Row],[Столбец6]],Лист1!$A$4:$F$60,3,FALSE),"")</f>
        <v/>
      </c>
      <c r="AA45" s="31" t="str">
        <f>IFERROR(VLOOKUP(Таблица43832323[[#This Row],[Столбец7]],Лист1!$A$4:$F$60,3,FALSE),"")</f>
        <v/>
      </c>
      <c r="AB45" s="31" t="str">
        <f>IFERROR(VLOOKUP(Таблица43832323[[#This Row],[Столбец8]],Лист1!$A$4:$F$60,3,FALSE),"")</f>
        <v/>
      </c>
      <c r="AC45" s="31" t="str">
        <f>IFERROR(VLOOKUP(Таблица43832323[[#This Row],[Столбец9]],Лист1!$A$4:$F$60,3,FALSE),"")</f>
        <v/>
      </c>
      <c r="AD45" s="51" t="e">
        <f t="shared" si="0"/>
        <v>#REF!</v>
      </c>
      <c r="AE45" s="32" t="e">
        <f t="shared" si="1"/>
        <v>#REF!</v>
      </c>
      <c r="AF45" s="33" t="e">
        <f t="shared" si="2"/>
        <v>#REF!</v>
      </c>
      <c r="AG45" s="33" t="e">
        <f t="shared" si="3"/>
        <v>#REF!</v>
      </c>
      <c r="AH45" s="33" t="e">
        <f t="shared" si="4"/>
        <v>#REF!</v>
      </c>
      <c r="AI45" s="34" t="e">
        <f t="shared" si="5"/>
        <v>#REF!</v>
      </c>
      <c r="AJ45" s="34" t="e">
        <f>IF(Таблица43832323[[#This Row],[Столбец42]]=0,"000",Таблица43832323[[#This Row],[Столбец42]])</f>
        <v>#REF!</v>
      </c>
      <c r="AK45" s="34" t="e">
        <f>IF(Таблица43832323[[#This Row],[Столбец44]]=0,"000",Таблица43832323[[#This Row],[Столбец44]])</f>
        <v>#REF!</v>
      </c>
      <c r="AL45" s="52"/>
      <c r="AM45" s="187" t="e">
        <f t="shared" si="23"/>
        <v>#REF!</v>
      </c>
      <c r="AN45" s="44" t="str">
        <f>IF(ISBLANK(Таблица43832323[[#This Row],[Столбец9]]),N45&amp;O45&amp;P45&amp;Q45&amp;R45&amp;S45&amp;T45&amp;U45,N45&amp;O45&amp;P45&amp;Q45&amp;R45&amp;S45&amp;T45&amp;U45&amp;";")</f>
        <v/>
      </c>
      <c r="AO45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5" s="53">
        <f t="shared" si="24"/>
        <v>0</v>
      </c>
      <c r="AQ45" s="34">
        <f t="shared" si="25"/>
        <v>0</v>
      </c>
      <c r="AR45" s="47"/>
      <c r="AS45" s="188" t="e">
        <f t="shared" si="26"/>
        <v>#REF!</v>
      </c>
      <c r="AT45" s="42" t="e">
        <f t="shared" si="26"/>
        <v>#REF!</v>
      </c>
      <c r="AU45" s="40">
        <f t="shared" si="27"/>
        <v>0</v>
      </c>
      <c r="AV45" s="43">
        <f t="shared" si="28"/>
        <v>0</v>
      </c>
      <c r="AW45" s="43" t="str">
        <f t="shared" si="29"/>
        <v>-</v>
      </c>
      <c r="AX45" s="52"/>
      <c r="AY45" s="189" t="e">
        <f>Таблица43832323[[#This Row],[Адрес дефекта, км +]]</f>
        <v>#REF!</v>
      </c>
      <c r="AZ45" s="190" t="str">
        <f>Таблица43832323[[#This Row],[Столбец55]]</f>
        <v>-</v>
      </c>
      <c r="BA45" s="191">
        <f>Таблица43832323[[#This Row],[Столбец59]]</f>
        <v>0.5</v>
      </c>
      <c r="BB45" s="101"/>
      <c r="BC45" s="52"/>
      <c r="BD45" s="187" t="e">
        <f>Таблица43832323[[#This Row],[Адрес дефекта, км +]]</f>
        <v>#REF!</v>
      </c>
      <c r="BE45" s="41">
        <f>ROUND(1-((5-Таблица43832323[[#This Row],[Балл минимальный]])/10),2)</f>
        <v>0.5</v>
      </c>
      <c r="BF45" s="40">
        <f t="shared" si="30"/>
        <v>110</v>
      </c>
    </row>
    <row r="46" spans="1:58" ht="18" x14ac:dyDescent="0.2">
      <c r="A46" s="185"/>
      <c r="B46" s="185"/>
      <c r="C46" s="36">
        <f t="shared" si="22"/>
        <v>0</v>
      </c>
      <c r="D46" s="186"/>
      <c r="E46" s="29"/>
      <c r="F46" s="29"/>
      <c r="G46" s="29"/>
      <c r="H46" s="29"/>
      <c r="I46" s="29"/>
      <c r="J46" s="29"/>
      <c r="K46" s="29"/>
      <c r="L46" s="29"/>
      <c r="M46" s="155"/>
      <c r="N46" s="30" t="str">
        <f>IFERROR(VLOOKUP(Таблица43832323[[#This Row],[Деф 1]],Лист1!$A$4:$F$60,2,FALSE),"")</f>
        <v/>
      </c>
      <c r="O46" s="30" t="str">
        <f>IFERROR(VLOOKUP(Таблица43832323[[#This Row],[Деф 2]],Лист1!$A$4:$F$60,2,FALSE),"")</f>
        <v/>
      </c>
      <c r="P46" s="30" t="str">
        <f>IFERROR(VLOOKUP(Таблица43832323[[#This Row],[Столбец4]],Лист1!$A$4:$F$60,2,FALSE),"")</f>
        <v/>
      </c>
      <c r="Q46" s="30" t="str">
        <f>IFERROR(VLOOKUP(Таблица43832323[[#This Row],[Столбец5]],Лист1!$A$4:$F$60,2,FALSE),"")</f>
        <v/>
      </c>
      <c r="R46" s="30" t="str">
        <f>IFERROR(VLOOKUP(Таблица43832323[[#This Row],[Столбец6]],Лист1!$A$4:$F$60,2,FALSE),"")</f>
        <v/>
      </c>
      <c r="S46" s="30" t="str">
        <f>IFERROR(VLOOKUP(Таблица43832323[[#This Row],[Столбец7]],Лист1!$A$4:$F$60,2,FALSE),"")</f>
        <v/>
      </c>
      <c r="T46" s="30" t="str">
        <f>IFERROR(VLOOKUP(Таблица43832323[[#This Row],[Столбец8]],Лист1!$A$4:$F$60,2,FALSE),"")</f>
        <v/>
      </c>
      <c r="U46" s="30" t="str">
        <f>IFERROR(VLOOKUP(Таблица43832323[[#This Row],[Столбец9]],Лист1!$A$4:$F$60,2,FALSE),"")</f>
        <v/>
      </c>
      <c r="V46" s="31" t="str">
        <f>IFERROR(VLOOKUP(Таблица43832323[[#This Row],[Деф 1]],Лист1!$A$4:$F$60,3,FALSE),"")</f>
        <v/>
      </c>
      <c r="W46" s="31" t="str">
        <f>IFERROR(VLOOKUP(Таблица43832323[[#This Row],[Деф 2]],Лист1!$A$4:$F$60,3,FALSE),"")</f>
        <v/>
      </c>
      <c r="X46" s="31" t="str">
        <f>IFERROR(VLOOKUP(Таблица43832323[[#This Row],[Столбец4]],Лист1!$A$4:$F$60,3,FALSE),"")</f>
        <v/>
      </c>
      <c r="Y46" s="31" t="str">
        <f>IFERROR(VLOOKUP(Таблица43832323[[#This Row],[Столбец5]],Лист1!$A$4:$F$60,3,FALSE),"")</f>
        <v/>
      </c>
      <c r="Z46" s="31" t="str">
        <f>IFERROR(VLOOKUP(Таблица43832323[[#This Row],[Столбец6]],Лист1!$A$4:$F$60,3,FALSE),"")</f>
        <v/>
      </c>
      <c r="AA46" s="31" t="str">
        <f>IFERROR(VLOOKUP(Таблица43832323[[#This Row],[Столбец7]],Лист1!$A$4:$F$60,3,FALSE),"")</f>
        <v/>
      </c>
      <c r="AB46" s="31" t="str">
        <f>IFERROR(VLOOKUP(Таблица43832323[[#This Row],[Столбец8]],Лист1!$A$4:$F$60,3,FALSE),"")</f>
        <v/>
      </c>
      <c r="AC46" s="31" t="str">
        <f>IFERROR(VLOOKUP(Таблица43832323[[#This Row],[Столбец9]],Лист1!$A$4:$F$60,3,FALSE),"")</f>
        <v/>
      </c>
      <c r="AD46" s="51" t="e">
        <f t="shared" si="0"/>
        <v>#REF!</v>
      </c>
      <c r="AE46" s="32" t="e">
        <f t="shared" si="1"/>
        <v>#REF!</v>
      </c>
      <c r="AF46" s="33" t="e">
        <f t="shared" si="2"/>
        <v>#REF!</v>
      </c>
      <c r="AG46" s="33" t="e">
        <f t="shared" si="3"/>
        <v>#REF!</v>
      </c>
      <c r="AH46" s="33" t="e">
        <f t="shared" si="4"/>
        <v>#REF!</v>
      </c>
      <c r="AI46" s="34" t="e">
        <f t="shared" si="5"/>
        <v>#REF!</v>
      </c>
      <c r="AJ46" s="34" t="e">
        <f>IF(Таблица43832323[[#This Row],[Столбец42]]=0,"000",Таблица43832323[[#This Row],[Столбец42]])</f>
        <v>#REF!</v>
      </c>
      <c r="AK46" s="34" t="e">
        <f>IF(Таблица43832323[[#This Row],[Столбец44]]=0,"000",Таблица43832323[[#This Row],[Столбец44]])</f>
        <v>#REF!</v>
      </c>
      <c r="AL46" s="52"/>
      <c r="AM46" s="187" t="e">
        <f t="shared" si="23"/>
        <v>#REF!</v>
      </c>
      <c r="AN46" s="44" t="str">
        <f>IF(ISBLANK(Таблица43832323[[#This Row],[Столбец9]]),N46&amp;O46&amp;P46&amp;Q46&amp;R46&amp;S46&amp;T46&amp;U46,N46&amp;O46&amp;P46&amp;Q46&amp;R46&amp;S46&amp;T46&amp;U46&amp;";")</f>
        <v/>
      </c>
      <c r="AO46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6" s="53">
        <f t="shared" si="24"/>
        <v>0</v>
      </c>
      <c r="AQ46" s="34">
        <f t="shared" si="25"/>
        <v>0</v>
      </c>
      <c r="AR46" s="47"/>
      <c r="AS46" s="188" t="e">
        <f t="shared" si="26"/>
        <v>#REF!</v>
      </c>
      <c r="AT46" s="42" t="e">
        <f t="shared" si="26"/>
        <v>#REF!</v>
      </c>
      <c r="AU46" s="40">
        <f t="shared" si="27"/>
        <v>0</v>
      </c>
      <c r="AV46" s="43">
        <f t="shared" si="28"/>
        <v>0</v>
      </c>
      <c r="AW46" s="43" t="str">
        <f t="shared" si="29"/>
        <v>-</v>
      </c>
      <c r="AX46" s="52"/>
      <c r="AY46" s="189" t="e">
        <f>Таблица43832323[[#This Row],[Адрес дефекта, км +]]</f>
        <v>#REF!</v>
      </c>
      <c r="AZ46" s="190" t="str">
        <f>Таблица43832323[[#This Row],[Столбец55]]</f>
        <v>-</v>
      </c>
      <c r="BA46" s="191">
        <f>Таблица43832323[[#This Row],[Столбец59]]</f>
        <v>0.5</v>
      </c>
      <c r="BB46" s="101"/>
      <c r="BC46" s="52"/>
      <c r="BD46" s="187" t="e">
        <f>Таблица43832323[[#This Row],[Адрес дефекта, км +]]</f>
        <v>#REF!</v>
      </c>
      <c r="BE46" s="41">
        <f>ROUND(1-((5-Таблица43832323[[#This Row],[Балл минимальный]])/10),2)</f>
        <v>0.5</v>
      </c>
      <c r="BF46" s="40">
        <f t="shared" si="30"/>
        <v>110</v>
      </c>
    </row>
    <row r="47" spans="1:58" ht="18" x14ac:dyDescent="0.2">
      <c r="A47" s="185"/>
      <c r="B47" s="185"/>
      <c r="C47" s="36">
        <f t="shared" si="22"/>
        <v>0</v>
      </c>
      <c r="D47" s="186"/>
      <c r="E47" s="29"/>
      <c r="F47" s="29"/>
      <c r="G47" s="29"/>
      <c r="H47" s="29"/>
      <c r="I47" s="29"/>
      <c r="J47" s="29"/>
      <c r="K47" s="29"/>
      <c r="L47" s="29"/>
      <c r="M47" s="155"/>
      <c r="N47" s="30" t="str">
        <f>IFERROR(VLOOKUP(Таблица43832323[[#This Row],[Деф 1]],Лист1!$A$4:$F$60,2,FALSE),"")</f>
        <v/>
      </c>
      <c r="O47" s="30" t="str">
        <f>IFERROR(VLOOKUP(Таблица43832323[[#This Row],[Деф 2]],Лист1!$A$4:$F$60,2,FALSE),"")</f>
        <v/>
      </c>
      <c r="P47" s="30" t="str">
        <f>IFERROR(VLOOKUP(Таблица43832323[[#This Row],[Столбец4]],Лист1!$A$4:$F$60,2,FALSE),"")</f>
        <v/>
      </c>
      <c r="Q47" s="30" t="str">
        <f>IFERROR(VLOOKUP(Таблица43832323[[#This Row],[Столбец5]],Лист1!$A$4:$F$60,2,FALSE),"")</f>
        <v/>
      </c>
      <c r="R47" s="30" t="str">
        <f>IFERROR(VLOOKUP(Таблица43832323[[#This Row],[Столбец6]],Лист1!$A$4:$F$60,2,FALSE),"")</f>
        <v/>
      </c>
      <c r="S47" s="30" t="str">
        <f>IFERROR(VLOOKUP(Таблица43832323[[#This Row],[Столбец7]],Лист1!$A$4:$F$60,2,FALSE),"")</f>
        <v/>
      </c>
      <c r="T47" s="30" t="str">
        <f>IFERROR(VLOOKUP(Таблица43832323[[#This Row],[Столбец8]],Лист1!$A$4:$F$60,2,FALSE),"")</f>
        <v/>
      </c>
      <c r="U47" s="30" t="str">
        <f>IFERROR(VLOOKUP(Таблица43832323[[#This Row],[Столбец9]],Лист1!$A$4:$F$60,2,FALSE),"")</f>
        <v/>
      </c>
      <c r="V47" s="31" t="str">
        <f>IFERROR(VLOOKUP(Таблица43832323[[#This Row],[Деф 1]],Лист1!$A$4:$F$60,3,FALSE),"")</f>
        <v/>
      </c>
      <c r="W47" s="31" t="str">
        <f>IFERROR(VLOOKUP(Таблица43832323[[#This Row],[Деф 2]],Лист1!$A$4:$F$60,3,FALSE),"")</f>
        <v/>
      </c>
      <c r="X47" s="31" t="str">
        <f>IFERROR(VLOOKUP(Таблица43832323[[#This Row],[Столбец4]],Лист1!$A$4:$F$60,3,FALSE),"")</f>
        <v/>
      </c>
      <c r="Y47" s="31" t="str">
        <f>IFERROR(VLOOKUP(Таблица43832323[[#This Row],[Столбец5]],Лист1!$A$4:$F$60,3,FALSE),"")</f>
        <v/>
      </c>
      <c r="Z47" s="31" t="str">
        <f>IFERROR(VLOOKUP(Таблица43832323[[#This Row],[Столбец6]],Лист1!$A$4:$F$60,3,FALSE),"")</f>
        <v/>
      </c>
      <c r="AA47" s="31" t="str">
        <f>IFERROR(VLOOKUP(Таблица43832323[[#This Row],[Столбец7]],Лист1!$A$4:$F$60,3,FALSE),"")</f>
        <v/>
      </c>
      <c r="AB47" s="31" t="str">
        <f>IFERROR(VLOOKUP(Таблица43832323[[#This Row],[Столбец8]],Лист1!$A$4:$F$60,3,FALSE),"")</f>
        <v/>
      </c>
      <c r="AC47" s="31" t="str">
        <f>IFERROR(VLOOKUP(Таблица43832323[[#This Row],[Столбец9]],Лист1!$A$4:$F$60,3,FALSE),"")</f>
        <v/>
      </c>
      <c r="AD47" s="51" t="e">
        <f t="shared" si="0"/>
        <v>#REF!</v>
      </c>
      <c r="AE47" s="32" t="e">
        <f t="shared" si="1"/>
        <v>#REF!</v>
      </c>
      <c r="AF47" s="33" t="e">
        <f t="shared" si="2"/>
        <v>#REF!</v>
      </c>
      <c r="AG47" s="33" t="e">
        <f t="shared" si="3"/>
        <v>#REF!</v>
      </c>
      <c r="AH47" s="33" t="e">
        <f t="shared" si="4"/>
        <v>#REF!</v>
      </c>
      <c r="AI47" s="34" t="e">
        <f t="shared" si="5"/>
        <v>#REF!</v>
      </c>
      <c r="AJ47" s="34" t="e">
        <f>IF(Таблица43832323[[#This Row],[Столбец42]]=0,"000",Таблица43832323[[#This Row],[Столбец42]])</f>
        <v>#REF!</v>
      </c>
      <c r="AK47" s="34" t="e">
        <f>IF(Таблица43832323[[#This Row],[Столбец44]]=0,"000",Таблица43832323[[#This Row],[Столбец44]])</f>
        <v>#REF!</v>
      </c>
      <c r="AL47" s="52"/>
      <c r="AM47" s="187" t="e">
        <f t="shared" si="23"/>
        <v>#REF!</v>
      </c>
      <c r="AN47" s="44" t="str">
        <f>IF(ISBLANK(Таблица43832323[[#This Row],[Столбец9]]),N47&amp;O47&amp;P47&amp;Q47&amp;R47&amp;S47&amp;T47&amp;U47,N47&amp;O47&amp;P47&amp;Q47&amp;R47&amp;S47&amp;T47&amp;U47&amp;";")</f>
        <v/>
      </c>
      <c r="AO47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7" s="53">
        <f t="shared" si="24"/>
        <v>0</v>
      </c>
      <c r="AQ47" s="34">
        <f t="shared" si="25"/>
        <v>0</v>
      </c>
      <c r="AR47" s="47"/>
      <c r="AS47" s="188" t="e">
        <f t="shared" si="26"/>
        <v>#REF!</v>
      </c>
      <c r="AT47" s="42" t="e">
        <f t="shared" si="26"/>
        <v>#REF!</v>
      </c>
      <c r="AU47" s="40">
        <f t="shared" si="27"/>
        <v>0</v>
      </c>
      <c r="AV47" s="43">
        <f t="shared" si="28"/>
        <v>0</v>
      </c>
      <c r="AW47" s="43" t="str">
        <f t="shared" si="29"/>
        <v>-</v>
      </c>
      <c r="AX47" s="52"/>
      <c r="AY47" s="189" t="e">
        <f>Таблица43832323[[#This Row],[Адрес дефекта, км +]]</f>
        <v>#REF!</v>
      </c>
      <c r="AZ47" s="190" t="str">
        <f>Таблица43832323[[#This Row],[Столбец55]]</f>
        <v>-</v>
      </c>
      <c r="BA47" s="191">
        <f>Таблица43832323[[#This Row],[Столбец59]]</f>
        <v>0.5</v>
      </c>
      <c r="BB47" s="101"/>
      <c r="BC47" s="52"/>
      <c r="BD47" s="187" t="e">
        <f>Таблица43832323[[#This Row],[Адрес дефекта, км +]]</f>
        <v>#REF!</v>
      </c>
      <c r="BE47" s="41">
        <f>ROUND(1-((5-Таблица43832323[[#This Row],[Балл минимальный]])/10),2)</f>
        <v>0.5</v>
      </c>
      <c r="BF47" s="40">
        <f t="shared" si="30"/>
        <v>110</v>
      </c>
    </row>
    <row r="48" spans="1:58" ht="18" x14ac:dyDescent="0.2">
      <c r="A48" s="185"/>
      <c r="B48" s="185"/>
      <c r="C48" s="36">
        <f t="shared" si="22"/>
        <v>0</v>
      </c>
      <c r="D48" s="186"/>
      <c r="E48" s="29"/>
      <c r="F48" s="29"/>
      <c r="G48" s="29"/>
      <c r="H48" s="29"/>
      <c r="I48" s="29"/>
      <c r="J48" s="29"/>
      <c r="K48" s="29"/>
      <c r="L48" s="29"/>
      <c r="M48" s="155"/>
      <c r="N48" s="30" t="str">
        <f>IFERROR(VLOOKUP(Таблица43832323[[#This Row],[Деф 1]],Лист1!$A$4:$F$60,2,FALSE),"")</f>
        <v/>
      </c>
      <c r="O48" s="30" t="str">
        <f>IFERROR(VLOOKUP(Таблица43832323[[#This Row],[Деф 2]],Лист1!$A$4:$F$60,2,FALSE),"")</f>
        <v/>
      </c>
      <c r="P48" s="30" t="str">
        <f>IFERROR(VLOOKUP(Таблица43832323[[#This Row],[Столбец4]],Лист1!$A$4:$F$60,2,FALSE),"")</f>
        <v/>
      </c>
      <c r="Q48" s="30" t="str">
        <f>IFERROR(VLOOKUP(Таблица43832323[[#This Row],[Столбец5]],Лист1!$A$4:$F$60,2,FALSE),"")</f>
        <v/>
      </c>
      <c r="R48" s="30" t="str">
        <f>IFERROR(VLOOKUP(Таблица43832323[[#This Row],[Столбец6]],Лист1!$A$4:$F$60,2,FALSE),"")</f>
        <v/>
      </c>
      <c r="S48" s="30" t="str">
        <f>IFERROR(VLOOKUP(Таблица43832323[[#This Row],[Столбец7]],Лист1!$A$4:$F$60,2,FALSE),"")</f>
        <v/>
      </c>
      <c r="T48" s="30" t="str">
        <f>IFERROR(VLOOKUP(Таблица43832323[[#This Row],[Столбец8]],Лист1!$A$4:$F$60,2,FALSE),"")</f>
        <v/>
      </c>
      <c r="U48" s="30" t="str">
        <f>IFERROR(VLOOKUP(Таблица43832323[[#This Row],[Столбец9]],Лист1!$A$4:$F$60,2,FALSE),"")</f>
        <v/>
      </c>
      <c r="V48" s="31" t="str">
        <f>IFERROR(VLOOKUP(Таблица43832323[[#This Row],[Деф 1]],Лист1!$A$4:$F$60,3,FALSE),"")</f>
        <v/>
      </c>
      <c r="W48" s="31" t="str">
        <f>IFERROR(VLOOKUP(Таблица43832323[[#This Row],[Деф 2]],Лист1!$A$4:$F$60,3,FALSE),"")</f>
        <v/>
      </c>
      <c r="X48" s="31" t="str">
        <f>IFERROR(VLOOKUP(Таблица43832323[[#This Row],[Столбец4]],Лист1!$A$4:$F$60,3,FALSE),"")</f>
        <v/>
      </c>
      <c r="Y48" s="31" t="str">
        <f>IFERROR(VLOOKUP(Таблица43832323[[#This Row],[Столбец5]],Лист1!$A$4:$F$60,3,FALSE),"")</f>
        <v/>
      </c>
      <c r="Z48" s="31" t="str">
        <f>IFERROR(VLOOKUP(Таблица43832323[[#This Row],[Столбец6]],Лист1!$A$4:$F$60,3,FALSE),"")</f>
        <v/>
      </c>
      <c r="AA48" s="31" t="str">
        <f>IFERROR(VLOOKUP(Таблица43832323[[#This Row],[Столбец7]],Лист1!$A$4:$F$60,3,FALSE),"")</f>
        <v/>
      </c>
      <c r="AB48" s="31" t="str">
        <f>IFERROR(VLOOKUP(Таблица43832323[[#This Row],[Столбец8]],Лист1!$A$4:$F$60,3,FALSE),"")</f>
        <v/>
      </c>
      <c r="AC48" s="31" t="str">
        <f>IFERROR(VLOOKUP(Таблица43832323[[#This Row],[Столбец9]],Лист1!$A$4:$F$60,3,FALSE),"")</f>
        <v/>
      </c>
      <c r="AD48" s="51" t="e">
        <f t="shared" si="0"/>
        <v>#REF!</v>
      </c>
      <c r="AE48" s="32" t="e">
        <f t="shared" si="1"/>
        <v>#REF!</v>
      </c>
      <c r="AF48" s="33" t="e">
        <f t="shared" si="2"/>
        <v>#REF!</v>
      </c>
      <c r="AG48" s="33" t="e">
        <f t="shared" si="3"/>
        <v>#REF!</v>
      </c>
      <c r="AH48" s="33" t="e">
        <f t="shared" si="4"/>
        <v>#REF!</v>
      </c>
      <c r="AI48" s="34" t="e">
        <f t="shared" si="5"/>
        <v>#REF!</v>
      </c>
      <c r="AJ48" s="34" t="e">
        <f>IF(Таблица43832323[[#This Row],[Столбец42]]=0,"000",Таблица43832323[[#This Row],[Столбец42]])</f>
        <v>#REF!</v>
      </c>
      <c r="AK48" s="34" t="e">
        <f>IF(Таблица43832323[[#This Row],[Столбец44]]=0,"000",Таблица43832323[[#This Row],[Столбец44]])</f>
        <v>#REF!</v>
      </c>
      <c r="AL48" s="52"/>
      <c r="AM48" s="187" t="e">
        <f t="shared" si="23"/>
        <v>#REF!</v>
      </c>
      <c r="AN48" s="44" t="str">
        <f>IF(ISBLANK(Таблица43832323[[#This Row],[Столбец9]]),N48&amp;O48&amp;P48&amp;Q48&amp;R48&amp;S48&amp;T48&amp;U48,N48&amp;O48&amp;P48&amp;Q48&amp;R48&amp;S48&amp;T48&amp;U48&amp;";")</f>
        <v/>
      </c>
      <c r="AO48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8" s="53">
        <f t="shared" si="24"/>
        <v>0</v>
      </c>
      <c r="AQ48" s="34">
        <f t="shared" si="25"/>
        <v>0</v>
      </c>
      <c r="AR48" s="47"/>
      <c r="AS48" s="188" t="e">
        <f t="shared" si="26"/>
        <v>#REF!</v>
      </c>
      <c r="AT48" s="42" t="e">
        <f t="shared" si="26"/>
        <v>#REF!</v>
      </c>
      <c r="AU48" s="40">
        <f t="shared" si="27"/>
        <v>0</v>
      </c>
      <c r="AV48" s="43">
        <f t="shared" si="28"/>
        <v>0</v>
      </c>
      <c r="AW48" s="43" t="str">
        <f t="shared" si="29"/>
        <v>-</v>
      </c>
      <c r="AX48" s="52"/>
      <c r="AY48" s="189" t="e">
        <f>Таблица43832323[[#This Row],[Адрес дефекта, км +]]</f>
        <v>#REF!</v>
      </c>
      <c r="AZ48" s="190" t="str">
        <f>Таблица43832323[[#This Row],[Столбец55]]</f>
        <v>-</v>
      </c>
      <c r="BA48" s="191">
        <f>Таблица43832323[[#This Row],[Столбец59]]</f>
        <v>0.5</v>
      </c>
      <c r="BB48" s="101"/>
      <c r="BC48" s="52"/>
      <c r="BD48" s="187" t="e">
        <f>Таблица43832323[[#This Row],[Адрес дефекта, км +]]</f>
        <v>#REF!</v>
      </c>
      <c r="BE48" s="41">
        <f>ROUND(1-((5-Таблица43832323[[#This Row],[Балл минимальный]])/10),2)</f>
        <v>0.5</v>
      </c>
      <c r="BF48" s="40">
        <f t="shared" si="30"/>
        <v>110</v>
      </c>
    </row>
    <row r="49" spans="1:58" ht="18" x14ac:dyDescent="0.2">
      <c r="A49" s="185"/>
      <c r="B49" s="185"/>
      <c r="C49" s="36">
        <f t="shared" si="22"/>
        <v>0</v>
      </c>
      <c r="D49" s="186"/>
      <c r="E49" s="29"/>
      <c r="F49" s="29"/>
      <c r="G49" s="29"/>
      <c r="H49" s="29"/>
      <c r="I49" s="29"/>
      <c r="J49" s="29"/>
      <c r="K49" s="29"/>
      <c r="L49" s="29"/>
      <c r="M49" s="155"/>
      <c r="N49" s="30" t="str">
        <f>IFERROR(VLOOKUP(Таблица43832323[[#This Row],[Деф 1]],Лист1!$A$4:$F$60,2,FALSE),"")</f>
        <v/>
      </c>
      <c r="O49" s="30" t="str">
        <f>IFERROR(VLOOKUP(Таблица43832323[[#This Row],[Деф 2]],Лист1!$A$4:$F$60,2,FALSE),"")</f>
        <v/>
      </c>
      <c r="P49" s="30" t="str">
        <f>IFERROR(VLOOKUP(Таблица43832323[[#This Row],[Столбец4]],Лист1!$A$4:$F$60,2,FALSE),"")</f>
        <v/>
      </c>
      <c r="Q49" s="30" t="str">
        <f>IFERROR(VLOOKUP(Таблица43832323[[#This Row],[Столбец5]],Лист1!$A$4:$F$60,2,FALSE),"")</f>
        <v/>
      </c>
      <c r="R49" s="30" t="str">
        <f>IFERROR(VLOOKUP(Таблица43832323[[#This Row],[Столбец6]],Лист1!$A$4:$F$60,2,FALSE),"")</f>
        <v/>
      </c>
      <c r="S49" s="30" t="str">
        <f>IFERROR(VLOOKUP(Таблица43832323[[#This Row],[Столбец7]],Лист1!$A$4:$F$60,2,FALSE),"")</f>
        <v/>
      </c>
      <c r="T49" s="30" t="str">
        <f>IFERROR(VLOOKUP(Таблица43832323[[#This Row],[Столбец8]],Лист1!$A$4:$F$60,2,FALSE),"")</f>
        <v/>
      </c>
      <c r="U49" s="30" t="str">
        <f>IFERROR(VLOOKUP(Таблица43832323[[#This Row],[Столбец9]],Лист1!$A$4:$F$60,2,FALSE),"")</f>
        <v/>
      </c>
      <c r="V49" s="31" t="str">
        <f>IFERROR(VLOOKUP(Таблица43832323[[#This Row],[Деф 1]],Лист1!$A$4:$F$60,3,FALSE),"")</f>
        <v/>
      </c>
      <c r="W49" s="31" t="str">
        <f>IFERROR(VLOOKUP(Таблица43832323[[#This Row],[Деф 2]],Лист1!$A$4:$F$60,3,FALSE),"")</f>
        <v/>
      </c>
      <c r="X49" s="31" t="str">
        <f>IFERROR(VLOOKUP(Таблица43832323[[#This Row],[Столбец4]],Лист1!$A$4:$F$60,3,FALSE),"")</f>
        <v/>
      </c>
      <c r="Y49" s="31" t="str">
        <f>IFERROR(VLOOKUP(Таблица43832323[[#This Row],[Столбец5]],Лист1!$A$4:$F$60,3,FALSE),"")</f>
        <v/>
      </c>
      <c r="Z49" s="31" t="str">
        <f>IFERROR(VLOOKUP(Таблица43832323[[#This Row],[Столбец6]],Лист1!$A$4:$F$60,3,FALSE),"")</f>
        <v/>
      </c>
      <c r="AA49" s="31" t="str">
        <f>IFERROR(VLOOKUP(Таблица43832323[[#This Row],[Столбец7]],Лист1!$A$4:$F$60,3,FALSE),"")</f>
        <v/>
      </c>
      <c r="AB49" s="31" t="str">
        <f>IFERROR(VLOOKUP(Таблица43832323[[#This Row],[Столбец8]],Лист1!$A$4:$F$60,3,FALSE),"")</f>
        <v/>
      </c>
      <c r="AC49" s="31" t="str">
        <f>IFERROR(VLOOKUP(Таблица43832323[[#This Row],[Столбец9]],Лист1!$A$4:$F$60,3,FALSE),"")</f>
        <v/>
      </c>
      <c r="AD49" s="51" t="e">
        <f t="shared" si="0"/>
        <v>#REF!</v>
      </c>
      <c r="AE49" s="32" t="e">
        <f t="shared" si="1"/>
        <v>#REF!</v>
      </c>
      <c r="AF49" s="33" t="e">
        <f t="shared" si="2"/>
        <v>#REF!</v>
      </c>
      <c r="AG49" s="33" t="e">
        <f t="shared" si="3"/>
        <v>#REF!</v>
      </c>
      <c r="AH49" s="33" t="e">
        <f t="shared" si="4"/>
        <v>#REF!</v>
      </c>
      <c r="AI49" s="34" t="e">
        <f t="shared" si="5"/>
        <v>#REF!</v>
      </c>
      <c r="AJ49" s="34" t="e">
        <f>IF(Таблица43832323[[#This Row],[Столбец42]]=0,"000",Таблица43832323[[#This Row],[Столбец42]])</f>
        <v>#REF!</v>
      </c>
      <c r="AK49" s="34" t="e">
        <f>IF(Таблица43832323[[#This Row],[Столбец44]]=0,"000",Таблица43832323[[#This Row],[Столбец44]])</f>
        <v>#REF!</v>
      </c>
      <c r="AL49" s="52"/>
      <c r="AM49" s="187" t="e">
        <f t="shared" si="23"/>
        <v>#REF!</v>
      </c>
      <c r="AN49" s="44" t="str">
        <f>IF(ISBLANK(Таблица43832323[[#This Row],[Столбец9]]),N49&amp;O49&amp;P49&amp;Q49&amp;R49&amp;S49&amp;T49&amp;U49,N49&amp;O49&amp;P49&amp;Q49&amp;R49&amp;S49&amp;T49&amp;U49&amp;";")</f>
        <v/>
      </c>
      <c r="AO49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9" s="53">
        <f t="shared" si="24"/>
        <v>0</v>
      </c>
      <c r="AQ49" s="34">
        <f t="shared" si="25"/>
        <v>0</v>
      </c>
      <c r="AR49" s="47"/>
      <c r="AS49" s="188" t="e">
        <f t="shared" si="26"/>
        <v>#REF!</v>
      </c>
      <c r="AT49" s="42" t="e">
        <f t="shared" si="26"/>
        <v>#REF!</v>
      </c>
      <c r="AU49" s="40">
        <f t="shared" si="27"/>
        <v>0</v>
      </c>
      <c r="AV49" s="43">
        <f t="shared" si="28"/>
        <v>0</v>
      </c>
      <c r="AW49" s="43" t="str">
        <f t="shared" si="29"/>
        <v>-</v>
      </c>
      <c r="AX49" s="52"/>
      <c r="AY49" s="189" t="e">
        <f>Таблица43832323[[#This Row],[Адрес дефекта, км +]]</f>
        <v>#REF!</v>
      </c>
      <c r="AZ49" s="190" t="str">
        <f>Таблица43832323[[#This Row],[Столбец55]]</f>
        <v>-</v>
      </c>
      <c r="BA49" s="191">
        <f>Таблица43832323[[#This Row],[Столбец59]]</f>
        <v>0.5</v>
      </c>
      <c r="BB49" s="101"/>
      <c r="BC49" s="52"/>
      <c r="BD49" s="187" t="e">
        <f>Таблица43832323[[#This Row],[Адрес дефекта, км +]]</f>
        <v>#REF!</v>
      </c>
      <c r="BE49" s="41">
        <f>ROUND(1-((5-Таблица43832323[[#This Row],[Балл минимальный]])/10),2)</f>
        <v>0.5</v>
      </c>
      <c r="BF49" s="40">
        <f t="shared" si="30"/>
        <v>110</v>
      </c>
    </row>
    <row r="50" spans="1:58" ht="18" x14ac:dyDescent="0.2">
      <c r="A50" s="185"/>
      <c r="B50" s="185"/>
      <c r="C50" s="36">
        <f t="shared" si="22"/>
        <v>0</v>
      </c>
      <c r="D50" s="186"/>
      <c r="E50" s="29"/>
      <c r="F50" s="29"/>
      <c r="G50" s="29"/>
      <c r="H50" s="29"/>
      <c r="I50" s="29"/>
      <c r="J50" s="29"/>
      <c r="K50" s="29"/>
      <c r="L50" s="29"/>
      <c r="M50" s="155"/>
      <c r="N50" s="30" t="str">
        <f>IFERROR(VLOOKUP(Таблица43832323[[#This Row],[Деф 1]],Лист1!$A$4:$F$60,2,FALSE),"")</f>
        <v/>
      </c>
      <c r="O50" s="30" t="str">
        <f>IFERROR(VLOOKUP(Таблица43832323[[#This Row],[Деф 2]],Лист1!$A$4:$F$60,2,FALSE),"")</f>
        <v/>
      </c>
      <c r="P50" s="30" t="str">
        <f>IFERROR(VLOOKUP(Таблица43832323[[#This Row],[Столбец4]],Лист1!$A$4:$F$60,2,FALSE),"")</f>
        <v/>
      </c>
      <c r="Q50" s="30" t="str">
        <f>IFERROR(VLOOKUP(Таблица43832323[[#This Row],[Столбец5]],Лист1!$A$4:$F$60,2,FALSE),"")</f>
        <v/>
      </c>
      <c r="R50" s="30" t="str">
        <f>IFERROR(VLOOKUP(Таблица43832323[[#This Row],[Столбец6]],Лист1!$A$4:$F$60,2,FALSE),"")</f>
        <v/>
      </c>
      <c r="S50" s="30" t="str">
        <f>IFERROR(VLOOKUP(Таблица43832323[[#This Row],[Столбец7]],Лист1!$A$4:$F$60,2,FALSE),"")</f>
        <v/>
      </c>
      <c r="T50" s="30" t="str">
        <f>IFERROR(VLOOKUP(Таблица43832323[[#This Row],[Столбец8]],Лист1!$A$4:$F$60,2,FALSE),"")</f>
        <v/>
      </c>
      <c r="U50" s="30" t="str">
        <f>IFERROR(VLOOKUP(Таблица43832323[[#This Row],[Столбец9]],Лист1!$A$4:$F$60,2,FALSE),"")</f>
        <v/>
      </c>
      <c r="V50" s="31" t="str">
        <f>IFERROR(VLOOKUP(Таблица43832323[[#This Row],[Деф 1]],Лист1!$A$4:$F$60,3,FALSE),"")</f>
        <v/>
      </c>
      <c r="W50" s="31" t="str">
        <f>IFERROR(VLOOKUP(Таблица43832323[[#This Row],[Деф 2]],Лист1!$A$4:$F$60,3,FALSE),"")</f>
        <v/>
      </c>
      <c r="X50" s="31" t="str">
        <f>IFERROR(VLOOKUP(Таблица43832323[[#This Row],[Столбец4]],Лист1!$A$4:$F$60,3,FALSE),"")</f>
        <v/>
      </c>
      <c r="Y50" s="31" t="str">
        <f>IFERROR(VLOOKUP(Таблица43832323[[#This Row],[Столбец5]],Лист1!$A$4:$F$60,3,FALSE),"")</f>
        <v/>
      </c>
      <c r="Z50" s="31" t="str">
        <f>IFERROR(VLOOKUP(Таблица43832323[[#This Row],[Столбец6]],Лист1!$A$4:$F$60,3,FALSE),"")</f>
        <v/>
      </c>
      <c r="AA50" s="31" t="str">
        <f>IFERROR(VLOOKUP(Таблица43832323[[#This Row],[Столбец7]],Лист1!$A$4:$F$60,3,FALSE),"")</f>
        <v/>
      </c>
      <c r="AB50" s="31" t="str">
        <f>IFERROR(VLOOKUP(Таблица43832323[[#This Row],[Столбец8]],Лист1!$A$4:$F$60,3,FALSE),"")</f>
        <v/>
      </c>
      <c r="AC50" s="31" t="str">
        <f>IFERROR(VLOOKUP(Таблица43832323[[#This Row],[Столбец9]],Лист1!$A$4:$F$60,3,FALSE),"")</f>
        <v/>
      </c>
      <c r="AD50" s="51" t="e">
        <f t="shared" si="0"/>
        <v>#REF!</v>
      </c>
      <c r="AE50" s="32" t="e">
        <f t="shared" si="1"/>
        <v>#REF!</v>
      </c>
      <c r="AF50" s="95" t="e">
        <f t="shared" si="2"/>
        <v>#REF!</v>
      </c>
      <c r="AG50" s="95" t="e">
        <f t="shared" si="3"/>
        <v>#REF!</v>
      </c>
      <c r="AH50" s="95" t="e">
        <f t="shared" si="4"/>
        <v>#REF!</v>
      </c>
      <c r="AI50" s="96" t="e">
        <f t="shared" si="5"/>
        <v>#REF!</v>
      </c>
      <c r="AJ50" s="96" t="e">
        <f>IF(Таблица43832323[[#This Row],[Столбец42]]=0,"000",Таблица43832323[[#This Row],[Столбец42]])</f>
        <v>#REF!</v>
      </c>
      <c r="AK50" s="96" t="e">
        <f>IF(Таблица43832323[[#This Row],[Столбец44]]=0,"000",Таблица43832323[[#This Row],[Столбец44]])</f>
        <v>#REF!</v>
      </c>
      <c r="AL50" s="52"/>
      <c r="AM50" s="187" t="e">
        <f t="shared" si="23"/>
        <v>#REF!</v>
      </c>
      <c r="AN50" s="44" t="str">
        <f>IF(ISBLANK(Таблица43832323[[#This Row],[Столбец9]]),N50&amp;O50&amp;P50&amp;Q50&amp;R50&amp;S50&amp;T50&amp;U50,N50&amp;O50&amp;P50&amp;Q50&amp;R50&amp;S50&amp;T50&amp;U50&amp;";")</f>
        <v/>
      </c>
      <c r="AO50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0" s="53">
        <f t="shared" si="24"/>
        <v>0</v>
      </c>
      <c r="AQ50" s="34">
        <f t="shared" si="25"/>
        <v>0</v>
      </c>
      <c r="AR50" s="47"/>
      <c r="AS50" s="188" t="e">
        <f t="shared" si="26"/>
        <v>#REF!</v>
      </c>
      <c r="AT50" s="42" t="e">
        <f t="shared" si="26"/>
        <v>#REF!</v>
      </c>
      <c r="AU50" s="40">
        <f t="shared" si="27"/>
        <v>0</v>
      </c>
      <c r="AV50" s="43">
        <f t="shared" si="28"/>
        <v>0</v>
      </c>
      <c r="AW50" s="43" t="str">
        <f t="shared" si="29"/>
        <v>-</v>
      </c>
      <c r="AX50" s="52"/>
      <c r="AY50" s="189" t="e">
        <f>Таблица43832323[[#This Row],[Адрес дефекта, км +]]</f>
        <v>#REF!</v>
      </c>
      <c r="AZ50" s="190" t="str">
        <f>Таблица43832323[[#This Row],[Столбец55]]</f>
        <v>-</v>
      </c>
      <c r="BA50" s="191">
        <f>Таблица43832323[[#This Row],[Столбец59]]</f>
        <v>0.5</v>
      </c>
      <c r="BB50" s="101"/>
      <c r="BC50" s="52"/>
      <c r="BD50" s="187" t="e">
        <f>Таблица43832323[[#This Row],[Адрес дефекта, км +]]</f>
        <v>#REF!</v>
      </c>
      <c r="BE50" s="41">
        <f>ROUND(1-((5-Таблица43832323[[#This Row],[Балл минимальный]])/10),2)</f>
        <v>0.5</v>
      </c>
      <c r="BF50" s="40">
        <f t="shared" si="30"/>
        <v>110</v>
      </c>
    </row>
    <row r="51" spans="1:58" ht="18" x14ac:dyDescent="0.2">
      <c r="A51" s="185"/>
      <c r="B51" s="185"/>
      <c r="C51" s="36">
        <f t="shared" si="22"/>
        <v>0</v>
      </c>
      <c r="D51" s="186"/>
      <c r="E51" s="29"/>
      <c r="F51" s="29"/>
      <c r="G51" s="29"/>
      <c r="H51" s="29"/>
      <c r="I51" s="29"/>
      <c r="J51" s="29"/>
      <c r="K51" s="29"/>
      <c r="L51" s="29"/>
      <c r="M51" s="155"/>
      <c r="N51" s="30" t="str">
        <f>IFERROR(VLOOKUP(Таблица43832323[[#This Row],[Деф 1]],Лист1!$A$4:$F$60,2,FALSE),"")</f>
        <v/>
      </c>
      <c r="O51" s="30" t="str">
        <f>IFERROR(VLOOKUP(Таблица43832323[[#This Row],[Деф 2]],Лист1!$A$4:$F$60,2,FALSE),"")</f>
        <v/>
      </c>
      <c r="P51" s="30" t="str">
        <f>IFERROR(VLOOKUP(Таблица43832323[[#This Row],[Столбец4]],Лист1!$A$4:$F$60,2,FALSE),"")</f>
        <v/>
      </c>
      <c r="Q51" s="30" t="str">
        <f>IFERROR(VLOOKUP(Таблица43832323[[#This Row],[Столбец5]],Лист1!$A$4:$F$60,2,FALSE),"")</f>
        <v/>
      </c>
      <c r="R51" s="30" t="str">
        <f>IFERROR(VLOOKUP(Таблица43832323[[#This Row],[Столбец6]],Лист1!$A$4:$F$60,2,FALSE),"")</f>
        <v/>
      </c>
      <c r="S51" s="30" t="str">
        <f>IFERROR(VLOOKUP(Таблица43832323[[#This Row],[Столбец7]],Лист1!$A$4:$F$60,2,FALSE),"")</f>
        <v/>
      </c>
      <c r="T51" s="30" t="str">
        <f>IFERROR(VLOOKUP(Таблица43832323[[#This Row],[Столбец8]],Лист1!$A$4:$F$60,2,FALSE),"")</f>
        <v/>
      </c>
      <c r="U51" s="30" t="str">
        <f>IFERROR(VLOOKUP(Таблица43832323[[#This Row],[Столбец9]],Лист1!$A$4:$F$60,2,FALSE),"")</f>
        <v/>
      </c>
      <c r="V51" s="31" t="str">
        <f>IFERROR(VLOOKUP(Таблица43832323[[#This Row],[Деф 1]],Лист1!$A$4:$F$60,3,FALSE),"")</f>
        <v/>
      </c>
      <c r="W51" s="31" t="str">
        <f>IFERROR(VLOOKUP(Таблица43832323[[#This Row],[Деф 2]],Лист1!$A$4:$F$60,3,FALSE),"")</f>
        <v/>
      </c>
      <c r="X51" s="31" t="str">
        <f>IFERROR(VLOOKUP(Таблица43832323[[#This Row],[Столбец4]],Лист1!$A$4:$F$60,3,FALSE),"")</f>
        <v/>
      </c>
      <c r="Y51" s="31" t="str">
        <f>IFERROR(VLOOKUP(Таблица43832323[[#This Row],[Столбец5]],Лист1!$A$4:$F$60,3,FALSE),"")</f>
        <v/>
      </c>
      <c r="Z51" s="31" t="str">
        <f>IFERROR(VLOOKUP(Таблица43832323[[#This Row],[Столбец6]],Лист1!$A$4:$F$60,3,FALSE),"")</f>
        <v/>
      </c>
      <c r="AA51" s="31" t="str">
        <f>IFERROR(VLOOKUP(Таблица43832323[[#This Row],[Столбец7]],Лист1!$A$4:$F$60,3,FALSE),"")</f>
        <v/>
      </c>
      <c r="AB51" s="31" t="str">
        <f>IFERROR(VLOOKUP(Таблица43832323[[#This Row],[Столбец8]],Лист1!$A$4:$F$60,3,FALSE),"")</f>
        <v/>
      </c>
      <c r="AC51" s="31" t="str">
        <f>IFERROR(VLOOKUP(Таблица43832323[[#This Row],[Столбец9]],Лист1!$A$4:$F$60,3,FALSE),"")</f>
        <v/>
      </c>
      <c r="AD51" s="51" t="e">
        <f t="shared" si="0"/>
        <v>#REF!</v>
      </c>
      <c r="AE51" s="32" t="e">
        <f t="shared" si="1"/>
        <v>#REF!</v>
      </c>
      <c r="AF51" s="95" t="e">
        <f t="shared" si="2"/>
        <v>#REF!</v>
      </c>
      <c r="AG51" s="95" t="e">
        <f t="shared" si="3"/>
        <v>#REF!</v>
      </c>
      <c r="AH51" s="95" t="e">
        <f t="shared" si="4"/>
        <v>#REF!</v>
      </c>
      <c r="AI51" s="96" t="e">
        <f t="shared" si="5"/>
        <v>#REF!</v>
      </c>
      <c r="AJ51" s="96" t="e">
        <f>IF(Таблица43832323[[#This Row],[Столбец42]]=0,"000",Таблица43832323[[#This Row],[Столбец42]])</f>
        <v>#REF!</v>
      </c>
      <c r="AK51" s="96" t="e">
        <f>IF(Таблица43832323[[#This Row],[Столбец44]]=0,"000",Таблица43832323[[#This Row],[Столбец44]])</f>
        <v>#REF!</v>
      </c>
      <c r="AL51" s="52"/>
      <c r="AM51" s="187" t="e">
        <f t="shared" si="23"/>
        <v>#REF!</v>
      </c>
      <c r="AN51" s="44" t="str">
        <f>IF(ISBLANK(Таблица43832323[[#This Row],[Столбец9]]),N51&amp;O51&amp;P51&amp;Q51&amp;R51&amp;S51&amp;T51&amp;U51,N51&amp;O51&amp;P51&amp;Q51&amp;R51&amp;S51&amp;T51&amp;U51&amp;";")</f>
        <v/>
      </c>
      <c r="AO51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1" s="53">
        <f t="shared" si="24"/>
        <v>0</v>
      </c>
      <c r="AQ51" s="34">
        <f t="shared" si="25"/>
        <v>0</v>
      </c>
      <c r="AR51" s="47"/>
      <c r="AS51" s="188" t="e">
        <f t="shared" si="26"/>
        <v>#REF!</v>
      </c>
      <c r="AT51" s="42" t="e">
        <f t="shared" si="26"/>
        <v>#REF!</v>
      </c>
      <c r="AU51" s="40">
        <f t="shared" si="27"/>
        <v>0</v>
      </c>
      <c r="AV51" s="43">
        <f t="shared" si="28"/>
        <v>0</v>
      </c>
      <c r="AW51" s="43" t="str">
        <f t="shared" si="29"/>
        <v>-</v>
      </c>
      <c r="AX51" s="52"/>
      <c r="AY51" s="189" t="e">
        <f>Таблица43832323[[#This Row],[Адрес дефекта, км +]]</f>
        <v>#REF!</v>
      </c>
      <c r="AZ51" s="190" t="str">
        <f>Таблица43832323[[#This Row],[Столбец55]]</f>
        <v>-</v>
      </c>
      <c r="BA51" s="191">
        <f>Таблица43832323[[#This Row],[Столбец59]]</f>
        <v>0.5</v>
      </c>
      <c r="BB51" s="101"/>
      <c r="BC51" s="52"/>
      <c r="BD51" s="187" t="e">
        <f>Таблица43832323[[#This Row],[Адрес дефекта, км +]]</f>
        <v>#REF!</v>
      </c>
      <c r="BE51" s="41">
        <f>ROUND(1-((5-Таблица43832323[[#This Row],[Балл минимальный]])/10),2)</f>
        <v>0.5</v>
      </c>
      <c r="BF51" s="40">
        <f t="shared" si="30"/>
        <v>110</v>
      </c>
    </row>
    <row r="52" spans="1:58" ht="18" x14ac:dyDescent="0.2">
      <c r="A52" s="185"/>
      <c r="B52" s="185"/>
      <c r="C52" s="36">
        <f t="shared" si="22"/>
        <v>0</v>
      </c>
      <c r="D52" s="186"/>
      <c r="E52" s="29"/>
      <c r="F52" s="29"/>
      <c r="G52" s="29"/>
      <c r="H52" s="29"/>
      <c r="I52" s="29"/>
      <c r="J52" s="29"/>
      <c r="K52" s="29"/>
      <c r="L52" s="29"/>
      <c r="M52" s="155"/>
      <c r="N52" s="30" t="str">
        <f>IFERROR(VLOOKUP(Таблица43832323[[#This Row],[Деф 1]],Лист1!$A$4:$F$60,2,FALSE),"")</f>
        <v/>
      </c>
      <c r="O52" s="30" t="str">
        <f>IFERROR(VLOOKUP(Таблица43832323[[#This Row],[Деф 2]],Лист1!$A$4:$F$60,2,FALSE),"")</f>
        <v/>
      </c>
      <c r="P52" s="30" t="str">
        <f>IFERROR(VLOOKUP(Таблица43832323[[#This Row],[Столбец4]],Лист1!$A$4:$F$60,2,FALSE),"")</f>
        <v/>
      </c>
      <c r="Q52" s="30" t="str">
        <f>IFERROR(VLOOKUP(Таблица43832323[[#This Row],[Столбец5]],Лист1!$A$4:$F$60,2,FALSE),"")</f>
        <v/>
      </c>
      <c r="R52" s="30" t="str">
        <f>IFERROR(VLOOKUP(Таблица43832323[[#This Row],[Столбец6]],Лист1!$A$4:$F$60,2,FALSE),"")</f>
        <v/>
      </c>
      <c r="S52" s="30" t="str">
        <f>IFERROR(VLOOKUP(Таблица43832323[[#This Row],[Столбец7]],Лист1!$A$4:$F$60,2,FALSE),"")</f>
        <v/>
      </c>
      <c r="T52" s="30" t="str">
        <f>IFERROR(VLOOKUP(Таблица43832323[[#This Row],[Столбец8]],Лист1!$A$4:$F$60,2,FALSE),"")</f>
        <v/>
      </c>
      <c r="U52" s="30" t="str">
        <f>IFERROR(VLOOKUP(Таблица43832323[[#This Row],[Столбец9]],Лист1!$A$4:$F$60,2,FALSE),"")</f>
        <v/>
      </c>
      <c r="V52" s="31" t="str">
        <f>IFERROR(VLOOKUP(Таблица43832323[[#This Row],[Деф 1]],Лист1!$A$4:$F$60,3,FALSE),"")</f>
        <v/>
      </c>
      <c r="W52" s="31" t="str">
        <f>IFERROR(VLOOKUP(Таблица43832323[[#This Row],[Деф 2]],Лист1!$A$4:$F$60,3,FALSE),"")</f>
        <v/>
      </c>
      <c r="X52" s="31" t="str">
        <f>IFERROR(VLOOKUP(Таблица43832323[[#This Row],[Столбец4]],Лист1!$A$4:$F$60,3,FALSE),"")</f>
        <v/>
      </c>
      <c r="Y52" s="31" t="str">
        <f>IFERROR(VLOOKUP(Таблица43832323[[#This Row],[Столбец5]],Лист1!$A$4:$F$60,3,FALSE),"")</f>
        <v/>
      </c>
      <c r="Z52" s="31" t="str">
        <f>IFERROR(VLOOKUP(Таблица43832323[[#This Row],[Столбец6]],Лист1!$A$4:$F$60,3,FALSE),"")</f>
        <v/>
      </c>
      <c r="AA52" s="31" t="str">
        <f>IFERROR(VLOOKUP(Таблица43832323[[#This Row],[Столбец7]],Лист1!$A$4:$F$60,3,FALSE),"")</f>
        <v/>
      </c>
      <c r="AB52" s="31" t="str">
        <f>IFERROR(VLOOKUP(Таблица43832323[[#This Row],[Столбец8]],Лист1!$A$4:$F$60,3,FALSE),"")</f>
        <v/>
      </c>
      <c r="AC52" s="31" t="str">
        <f>IFERROR(VLOOKUP(Таблица43832323[[#This Row],[Столбец9]],Лист1!$A$4:$F$60,3,FALSE),"")</f>
        <v/>
      </c>
      <c r="AD52" s="51" t="e">
        <f t="shared" si="0"/>
        <v>#REF!</v>
      </c>
      <c r="AE52" s="32" t="e">
        <f t="shared" si="1"/>
        <v>#REF!</v>
      </c>
      <c r="AF52" s="95" t="e">
        <f t="shared" si="2"/>
        <v>#REF!</v>
      </c>
      <c r="AG52" s="95" t="e">
        <f t="shared" si="3"/>
        <v>#REF!</v>
      </c>
      <c r="AH52" s="95" t="e">
        <f t="shared" si="4"/>
        <v>#REF!</v>
      </c>
      <c r="AI52" s="96" t="e">
        <f t="shared" si="5"/>
        <v>#REF!</v>
      </c>
      <c r="AJ52" s="96" t="e">
        <f>IF(Таблица43832323[[#This Row],[Столбец42]]=0,"000",Таблица43832323[[#This Row],[Столбец42]])</f>
        <v>#REF!</v>
      </c>
      <c r="AK52" s="96" t="e">
        <f>IF(Таблица43832323[[#This Row],[Столбец44]]=0,"000",Таблица43832323[[#This Row],[Столбец44]])</f>
        <v>#REF!</v>
      </c>
      <c r="AL52" s="52"/>
      <c r="AM52" s="187" t="e">
        <f t="shared" si="23"/>
        <v>#REF!</v>
      </c>
      <c r="AN52" s="44" t="str">
        <f>IF(ISBLANK(Таблица43832323[[#This Row],[Столбец9]]),N52&amp;O52&amp;P52&amp;Q52&amp;R52&amp;S52&amp;T52&amp;U52,N52&amp;O52&amp;P52&amp;Q52&amp;R52&amp;S52&amp;T52&amp;U52&amp;";")</f>
        <v/>
      </c>
      <c r="AO52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2" s="53">
        <f t="shared" si="24"/>
        <v>0</v>
      </c>
      <c r="AQ52" s="34">
        <f t="shared" si="25"/>
        <v>0</v>
      </c>
      <c r="AR52" s="47"/>
      <c r="AS52" s="188" t="e">
        <f t="shared" si="26"/>
        <v>#REF!</v>
      </c>
      <c r="AT52" s="42" t="e">
        <f t="shared" si="26"/>
        <v>#REF!</v>
      </c>
      <c r="AU52" s="40">
        <f t="shared" si="27"/>
        <v>0</v>
      </c>
      <c r="AV52" s="43">
        <f t="shared" si="28"/>
        <v>0</v>
      </c>
      <c r="AW52" s="43" t="str">
        <f t="shared" si="29"/>
        <v>-</v>
      </c>
      <c r="AX52" s="52"/>
      <c r="AY52" s="189" t="e">
        <f>Таблица43832323[[#This Row],[Адрес дефекта, км +]]</f>
        <v>#REF!</v>
      </c>
      <c r="AZ52" s="190" t="str">
        <f>Таблица43832323[[#This Row],[Столбец55]]</f>
        <v>-</v>
      </c>
      <c r="BA52" s="191">
        <f>Таблица43832323[[#This Row],[Столбец59]]</f>
        <v>0.5</v>
      </c>
      <c r="BB52" s="101"/>
      <c r="BC52" s="52"/>
      <c r="BD52" s="187" t="e">
        <f>Таблица43832323[[#This Row],[Адрес дефекта, км +]]</f>
        <v>#REF!</v>
      </c>
      <c r="BE52" s="41">
        <f>ROUND(1-((5-Таблица43832323[[#This Row],[Балл минимальный]])/10),2)</f>
        <v>0.5</v>
      </c>
      <c r="BF52" s="40">
        <f t="shared" si="30"/>
        <v>110</v>
      </c>
    </row>
    <row r="53" spans="1:58" ht="18" x14ac:dyDescent="0.2">
      <c r="A53" s="185"/>
      <c r="B53" s="185"/>
      <c r="C53" s="36">
        <f t="shared" si="22"/>
        <v>0</v>
      </c>
      <c r="D53" s="186"/>
      <c r="E53" s="29"/>
      <c r="F53" s="29"/>
      <c r="G53" s="29"/>
      <c r="H53" s="29"/>
      <c r="I53" s="29"/>
      <c r="J53" s="29"/>
      <c r="K53" s="29"/>
      <c r="L53" s="29"/>
      <c r="M53" s="155"/>
      <c r="N53" s="30" t="str">
        <f>IFERROR(VLOOKUP(Таблица43832323[[#This Row],[Деф 1]],Лист1!$A$4:$F$60,2,FALSE),"")</f>
        <v/>
      </c>
      <c r="O53" s="30" t="str">
        <f>IFERROR(VLOOKUP(Таблица43832323[[#This Row],[Деф 2]],Лист1!$A$4:$F$60,2,FALSE),"")</f>
        <v/>
      </c>
      <c r="P53" s="30" t="str">
        <f>IFERROR(VLOOKUP(Таблица43832323[[#This Row],[Столбец4]],Лист1!$A$4:$F$60,2,FALSE),"")</f>
        <v/>
      </c>
      <c r="Q53" s="30" t="str">
        <f>IFERROR(VLOOKUP(Таблица43832323[[#This Row],[Столбец5]],Лист1!$A$4:$F$60,2,FALSE),"")</f>
        <v/>
      </c>
      <c r="R53" s="30" t="str">
        <f>IFERROR(VLOOKUP(Таблица43832323[[#This Row],[Столбец6]],Лист1!$A$4:$F$60,2,FALSE),"")</f>
        <v/>
      </c>
      <c r="S53" s="30" t="str">
        <f>IFERROR(VLOOKUP(Таблица43832323[[#This Row],[Столбец7]],Лист1!$A$4:$F$60,2,FALSE),"")</f>
        <v/>
      </c>
      <c r="T53" s="30" t="str">
        <f>IFERROR(VLOOKUP(Таблица43832323[[#This Row],[Столбец8]],Лист1!$A$4:$F$60,2,FALSE),"")</f>
        <v/>
      </c>
      <c r="U53" s="30" t="str">
        <f>IFERROR(VLOOKUP(Таблица43832323[[#This Row],[Столбец9]],Лист1!$A$4:$F$60,2,FALSE),"")</f>
        <v/>
      </c>
      <c r="V53" s="31" t="str">
        <f>IFERROR(VLOOKUP(Таблица43832323[[#This Row],[Деф 1]],Лист1!$A$4:$F$60,3,FALSE),"")</f>
        <v/>
      </c>
      <c r="W53" s="31" t="str">
        <f>IFERROR(VLOOKUP(Таблица43832323[[#This Row],[Деф 2]],Лист1!$A$4:$F$60,3,FALSE),"")</f>
        <v/>
      </c>
      <c r="X53" s="31" t="str">
        <f>IFERROR(VLOOKUP(Таблица43832323[[#This Row],[Столбец4]],Лист1!$A$4:$F$60,3,FALSE),"")</f>
        <v/>
      </c>
      <c r="Y53" s="31" t="str">
        <f>IFERROR(VLOOKUP(Таблица43832323[[#This Row],[Столбец5]],Лист1!$A$4:$F$60,3,FALSE),"")</f>
        <v/>
      </c>
      <c r="Z53" s="31" t="str">
        <f>IFERROR(VLOOKUP(Таблица43832323[[#This Row],[Столбец6]],Лист1!$A$4:$F$60,3,FALSE),"")</f>
        <v/>
      </c>
      <c r="AA53" s="31" t="str">
        <f>IFERROR(VLOOKUP(Таблица43832323[[#This Row],[Столбец7]],Лист1!$A$4:$F$60,3,FALSE),"")</f>
        <v/>
      </c>
      <c r="AB53" s="31" t="str">
        <f>IFERROR(VLOOKUP(Таблица43832323[[#This Row],[Столбец8]],Лист1!$A$4:$F$60,3,FALSE),"")</f>
        <v/>
      </c>
      <c r="AC53" s="31" t="str">
        <f>IFERROR(VLOOKUP(Таблица43832323[[#This Row],[Столбец9]],Лист1!$A$4:$F$60,3,FALSE),"")</f>
        <v/>
      </c>
      <c r="AD53" s="51" t="e">
        <f t="shared" si="0"/>
        <v>#REF!</v>
      </c>
      <c r="AE53" s="32" t="e">
        <f t="shared" si="1"/>
        <v>#REF!</v>
      </c>
      <c r="AF53" s="33" t="e">
        <f t="shared" si="2"/>
        <v>#REF!</v>
      </c>
      <c r="AG53" s="33" t="e">
        <f t="shared" si="3"/>
        <v>#REF!</v>
      </c>
      <c r="AH53" s="33" t="e">
        <f t="shared" si="4"/>
        <v>#REF!</v>
      </c>
      <c r="AI53" s="34" t="e">
        <f t="shared" si="5"/>
        <v>#REF!</v>
      </c>
      <c r="AJ53" s="34" t="e">
        <f>IF(Таблица43832323[[#This Row],[Столбец42]]=0,"000",Таблица43832323[[#This Row],[Столбец42]])</f>
        <v>#REF!</v>
      </c>
      <c r="AK53" s="34" t="e">
        <f>IF(Таблица43832323[[#This Row],[Столбец44]]=0,"000",Таблица43832323[[#This Row],[Столбец44]])</f>
        <v>#REF!</v>
      </c>
      <c r="AL53" s="52"/>
      <c r="AM53" s="187" t="e">
        <f t="shared" si="23"/>
        <v>#REF!</v>
      </c>
      <c r="AN53" s="44" t="str">
        <f>IF(ISBLANK(Таблица43832323[[#This Row],[Столбец9]]),N53&amp;O53&amp;P53&amp;Q53&amp;R53&amp;S53&amp;T53&amp;U53,N53&amp;O53&amp;P53&amp;Q53&amp;R53&amp;S53&amp;T53&amp;U53&amp;";")</f>
        <v/>
      </c>
      <c r="AO53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3" s="53">
        <f t="shared" si="24"/>
        <v>0</v>
      </c>
      <c r="AQ53" s="34">
        <f t="shared" si="25"/>
        <v>0</v>
      </c>
      <c r="AR53" s="47"/>
      <c r="AS53" s="188" t="e">
        <f t="shared" si="26"/>
        <v>#REF!</v>
      </c>
      <c r="AT53" s="42" t="e">
        <f t="shared" si="26"/>
        <v>#REF!</v>
      </c>
      <c r="AU53" s="40">
        <f t="shared" si="27"/>
        <v>0</v>
      </c>
      <c r="AV53" s="43">
        <f t="shared" si="28"/>
        <v>0</v>
      </c>
      <c r="AW53" s="43" t="str">
        <f t="shared" si="29"/>
        <v>-</v>
      </c>
      <c r="AX53" s="52"/>
      <c r="AY53" s="189" t="e">
        <f>Таблица43832323[[#This Row],[Адрес дефекта, км +]]</f>
        <v>#REF!</v>
      </c>
      <c r="AZ53" s="190" t="str">
        <f>Таблица43832323[[#This Row],[Столбец55]]</f>
        <v>-</v>
      </c>
      <c r="BA53" s="191">
        <f>Таблица43832323[[#This Row],[Столбец59]]</f>
        <v>0.5</v>
      </c>
      <c r="BB53" s="101"/>
      <c r="BC53" s="52"/>
      <c r="BD53" s="187" t="e">
        <f>Таблица43832323[[#This Row],[Адрес дефекта, км +]]</f>
        <v>#REF!</v>
      </c>
      <c r="BE53" s="41">
        <f>ROUND(1-((5-Таблица43832323[[#This Row],[Балл минимальный]])/10),2)</f>
        <v>0.5</v>
      </c>
      <c r="BF53" s="40">
        <f t="shared" si="30"/>
        <v>110</v>
      </c>
    </row>
    <row r="54" spans="1:58" ht="18" x14ac:dyDescent="0.2">
      <c r="A54" s="185"/>
      <c r="B54" s="185"/>
      <c r="C54" s="36">
        <f t="shared" si="22"/>
        <v>0</v>
      </c>
      <c r="D54" s="186"/>
      <c r="E54" s="29"/>
      <c r="F54" s="29"/>
      <c r="G54" s="29"/>
      <c r="H54" s="29"/>
      <c r="I54" s="29"/>
      <c r="J54" s="29"/>
      <c r="K54" s="29"/>
      <c r="L54" s="29"/>
      <c r="M54" s="155"/>
      <c r="N54" s="30" t="str">
        <f>IFERROR(VLOOKUP(Таблица43832323[[#This Row],[Деф 1]],Лист1!$A$4:$F$60,2,FALSE),"")</f>
        <v/>
      </c>
      <c r="O54" s="30" t="str">
        <f>IFERROR(VLOOKUP(Таблица43832323[[#This Row],[Деф 2]],Лист1!$A$4:$F$60,2,FALSE),"")</f>
        <v/>
      </c>
      <c r="P54" s="30" t="str">
        <f>IFERROR(VLOOKUP(Таблица43832323[[#This Row],[Столбец4]],Лист1!$A$4:$F$60,2,FALSE),"")</f>
        <v/>
      </c>
      <c r="Q54" s="30" t="str">
        <f>IFERROR(VLOOKUP(Таблица43832323[[#This Row],[Столбец5]],Лист1!$A$4:$F$60,2,FALSE),"")</f>
        <v/>
      </c>
      <c r="R54" s="30" t="str">
        <f>IFERROR(VLOOKUP(Таблица43832323[[#This Row],[Столбец6]],Лист1!$A$4:$F$60,2,FALSE),"")</f>
        <v/>
      </c>
      <c r="S54" s="30" t="str">
        <f>IFERROR(VLOOKUP(Таблица43832323[[#This Row],[Столбец7]],Лист1!$A$4:$F$60,2,FALSE),"")</f>
        <v/>
      </c>
      <c r="T54" s="30" t="str">
        <f>IFERROR(VLOOKUP(Таблица43832323[[#This Row],[Столбец8]],Лист1!$A$4:$F$60,2,FALSE),"")</f>
        <v/>
      </c>
      <c r="U54" s="30" t="str">
        <f>IFERROR(VLOOKUP(Таблица43832323[[#This Row],[Столбец9]],Лист1!$A$4:$F$60,2,FALSE),"")</f>
        <v/>
      </c>
      <c r="V54" s="31" t="str">
        <f>IFERROR(VLOOKUP(Таблица43832323[[#This Row],[Деф 1]],Лист1!$A$4:$F$60,3,FALSE),"")</f>
        <v/>
      </c>
      <c r="W54" s="31" t="str">
        <f>IFERROR(VLOOKUP(Таблица43832323[[#This Row],[Деф 2]],Лист1!$A$4:$F$60,3,FALSE),"")</f>
        <v/>
      </c>
      <c r="X54" s="31" t="str">
        <f>IFERROR(VLOOKUP(Таблица43832323[[#This Row],[Столбец4]],Лист1!$A$4:$F$60,3,FALSE),"")</f>
        <v/>
      </c>
      <c r="Y54" s="31" t="str">
        <f>IFERROR(VLOOKUP(Таблица43832323[[#This Row],[Столбец5]],Лист1!$A$4:$F$60,3,FALSE),"")</f>
        <v/>
      </c>
      <c r="Z54" s="31" t="str">
        <f>IFERROR(VLOOKUP(Таблица43832323[[#This Row],[Столбец6]],Лист1!$A$4:$F$60,3,FALSE),"")</f>
        <v/>
      </c>
      <c r="AA54" s="31" t="str">
        <f>IFERROR(VLOOKUP(Таблица43832323[[#This Row],[Столбец7]],Лист1!$A$4:$F$60,3,FALSE),"")</f>
        <v/>
      </c>
      <c r="AB54" s="31" t="str">
        <f>IFERROR(VLOOKUP(Таблица43832323[[#This Row],[Столбец8]],Лист1!$A$4:$F$60,3,FALSE),"")</f>
        <v/>
      </c>
      <c r="AC54" s="31" t="str">
        <f>IFERROR(VLOOKUP(Таблица43832323[[#This Row],[Столбец9]],Лист1!$A$4:$F$60,3,FALSE),"")</f>
        <v/>
      </c>
      <c r="AD54" s="51" t="e">
        <f t="shared" si="0"/>
        <v>#REF!</v>
      </c>
      <c r="AE54" s="32" t="e">
        <f t="shared" si="1"/>
        <v>#REF!</v>
      </c>
      <c r="AF54" s="33" t="e">
        <f t="shared" si="2"/>
        <v>#REF!</v>
      </c>
      <c r="AG54" s="33" t="e">
        <f t="shared" si="3"/>
        <v>#REF!</v>
      </c>
      <c r="AH54" s="33" t="e">
        <f t="shared" si="4"/>
        <v>#REF!</v>
      </c>
      <c r="AI54" s="34" t="e">
        <f t="shared" si="5"/>
        <v>#REF!</v>
      </c>
      <c r="AJ54" s="34" t="e">
        <f>IF(Таблица43832323[[#This Row],[Столбец42]]=0,"000",Таблица43832323[[#This Row],[Столбец42]])</f>
        <v>#REF!</v>
      </c>
      <c r="AK54" s="34" t="e">
        <f>IF(Таблица43832323[[#This Row],[Столбец44]]=0,"000",Таблица43832323[[#This Row],[Столбец44]])</f>
        <v>#REF!</v>
      </c>
      <c r="AL54" s="52"/>
      <c r="AM54" s="187" t="e">
        <f t="shared" si="23"/>
        <v>#REF!</v>
      </c>
      <c r="AN54" s="44" t="str">
        <f>IF(ISBLANK(Таблица43832323[[#This Row],[Столбец9]]),N54&amp;O54&amp;P54&amp;Q54&amp;R54&amp;S54&amp;T54&amp;U54,N54&amp;O54&amp;P54&amp;Q54&amp;R54&amp;S54&amp;T54&amp;U54&amp;";")</f>
        <v/>
      </c>
      <c r="AO54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4" s="53">
        <f t="shared" si="24"/>
        <v>0</v>
      </c>
      <c r="AQ54" s="34">
        <f t="shared" si="25"/>
        <v>0</v>
      </c>
      <c r="AR54" s="47"/>
      <c r="AS54" s="188" t="e">
        <f t="shared" si="26"/>
        <v>#REF!</v>
      </c>
      <c r="AT54" s="42" t="e">
        <f t="shared" si="26"/>
        <v>#REF!</v>
      </c>
      <c r="AU54" s="40">
        <f t="shared" si="27"/>
        <v>0</v>
      </c>
      <c r="AV54" s="43">
        <f t="shared" si="28"/>
        <v>0</v>
      </c>
      <c r="AW54" s="43" t="str">
        <f t="shared" si="29"/>
        <v>-</v>
      </c>
      <c r="AX54" s="52"/>
      <c r="AY54" s="189" t="e">
        <f>Таблица43832323[[#This Row],[Адрес дефекта, км +]]</f>
        <v>#REF!</v>
      </c>
      <c r="AZ54" s="190" t="str">
        <f>Таблица43832323[[#This Row],[Столбец55]]</f>
        <v>-</v>
      </c>
      <c r="BA54" s="191">
        <f>Таблица43832323[[#This Row],[Столбец59]]</f>
        <v>0.5</v>
      </c>
      <c r="BB54" s="101"/>
      <c r="BC54" s="52"/>
      <c r="BD54" s="187" t="e">
        <f>Таблица43832323[[#This Row],[Адрес дефекта, км +]]</f>
        <v>#REF!</v>
      </c>
      <c r="BE54" s="41">
        <f>ROUND(1-((5-Таблица43832323[[#This Row],[Балл минимальный]])/10),2)</f>
        <v>0.5</v>
      </c>
      <c r="BF54" s="40">
        <f t="shared" si="30"/>
        <v>110</v>
      </c>
    </row>
    <row r="55" spans="1:58" ht="18" x14ac:dyDescent="0.2">
      <c r="A55" s="185"/>
      <c r="B55" s="185"/>
      <c r="C55" s="36">
        <f t="shared" si="22"/>
        <v>0</v>
      </c>
      <c r="D55" s="186"/>
      <c r="E55" s="29"/>
      <c r="F55" s="29"/>
      <c r="G55" s="29"/>
      <c r="H55" s="29"/>
      <c r="I55" s="29"/>
      <c r="J55" s="29"/>
      <c r="K55" s="29"/>
      <c r="L55" s="29"/>
      <c r="M55" s="155"/>
      <c r="N55" s="30" t="str">
        <f>IFERROR(VLOOKUP(Таблица43832323[[#This Row],[Деф 1]],Лист1!$A$4:$F$60,2,FALSE),"")</f>
        <v/>
      </c>
      <c r="O55" s="30" t="str">
        <f>IFERROR(VLOOKUP(Таблица43832323[[#This Row],[Деф 2]],Лист1!$A$4:$F$60,2,FALSE),"")</f>
        <v/>
      </c>
      <c r="P55" s="30" t="str">
        <f>IFERROR(VLOOKUP(Таблица43832323[[#This Row],[Столбец4]],Лист1!$A$4:$F$60,2,FALSE),"")</f>
        <v/>
      </c>
      <c r="Q55" s="30" t="str">
        <f>IFERROR(VLOOKUP(Таблица43832323[[#This Row],[Столбец5]],Лист1!$A$4:$F$60,2,FALSE),"")</f>
        <v/>
      </c>
      <c r="R55" s="30" t="str">
        <f>IFERROR(VLOOKUP(Таблица43832323[[#This Row],[Столбец6]],Лист1!$A$4:$F$60,2,FALSE),"")</f>
        <v/>
      </c>
      <c r="S55" s="30" t="str">
        <f>IFERROR(VLOOKUP(Таблица43832323[[#This Row],[Столбец7]],Лист1!$A$4:$F$60,2,FALSE),"")</f>
        <v/>
      </c>
      <c r="T55" s="30" t="str">
        <f>IFERROR(VLOOKUP(Таблица43832323[[#This Row],[Столбец8]],Лист1!$A$4:$F$60,2,FALSE),"")</f>
        <v/>
      </c>
      <c r="U55" s="30" t="str">
        <f>IFERROR(VLOOKUP(Таблица43832323[[#This Row],[Столбец9]],Лист1!$A$4:$F$60,2,FALSE),"")</f>
        <v/>
      </c>
      <c r="V55" s="31" t="str">
        <f>IFERROR(VLOOKUP(Таблица43832323[[#This Row],[Деф 1]],Лист1!$A$4:$F$60,3,FALSE),"")</f>
        <v/>
      </c>
      <c r="W55" s="31" t="str">
        <f>IFERROR(VLOOKUP(Таблица43832323[[#This Row],[Деф 2]],Лист1!$A$4:$F$60,3,FALSE),"")</f>
        <v/>
      </c>
      <c r="X55" s="31" t="str">
        <f>IFERROR(VLOOKUP(Таблица43832323[[#This Row],[Столбец4]],Лист1!$A$4:$F$60,3,FALSE),"")</f>
        <v/>
      </c>
      <c r="Y55" s="31" t="str">
        <f>IFERROR(VLOOKUP(Таблица43832323[[#This Row],[Столбец5]],Лист1!$A$4:$F$60,3,FALSE),"")</f>
        <v/>
      </c>
      <c r="Z55" s="31" t="str">
        <f>IFERROR(VLOOKUP(Таблица43832323[[#This Row],[Столбец6]],Лист1!$A$4:$F$60,3,FALSE),"")</f>
        <v/>
      </c>
      <c r="AA55" s="31" t="str">
        <f>IFERROR(VLOOKUP(Таблица43832323[[#This Row],[Столбец7]],Лист1!$A$4:$F$60,3,FALSE),"")</f>
        <v/>
      </c>
      <c r="AB55" s="31" t="str">
        <f>IFERROR(VLOOKUP(Таблица43832323[[#This Row],[Столбец8]],Лист1!$A$4:$F$60,3,FALSE),"")</f>
        <v/>
      </c>
      <c r="AC55" s="31" t="str">
        <f>IFERROR(VLOOKUP(Таблица43832323[[#This Row],[Столбец9]],Лист1!$A$4:$F$60,3,FALSE),"")</f>
        <v/>
      </c>
      <c r="AD55" s="51" t="e">
        <f t="shared" si="0"/>
        <v>#REF!</v>
      </c>
      <c r="AE55" s="32" t="e">
        <f t="shared" si="1"/>
        <v>#REF!</v>
      </c>
      <c r="AF55" s="33" t="e">
        <f t="shared" si="2"/>
        <v>#REF!</v>
      </c>
      <c r="AG55" s="33" t="e">
        <f t="shared" si="3"/>
        <v>#REF!</v>
      </c>
      <c r="AH55" s="33" t="e">
        <f t="shared" si="4"/>
        <v>#REF!</v>
      </c>
      <c r="AI55" s="34" t="e">
        <f t="shared" si="5"/>
        <v>#REF!</v>
      </c>
      <c r="AJ55" s="34" t="e">
        <f>IF(Таблица43832323[[#This Row],[Столбец42]]=0,"000",Таблица43832323[[#This Row],[Столбец42]])</f>
        <v>#REF!</v>
      </c>
      <c r="AK55" s="34" t="e">
        <f>IF(Таблица43832323[[#This Row],[Столбец44]]=0,"000",Таблица43832323[[#This Row],[Столбец44]])</f>
        <v>#REF!</v>
      </c>
      <c r="AL55" s="52"/>
      <c r="AM55" s="187" t="e">
        <f t="shared" si="23"/>
        <v>#REF!</v>
      </c>
      <c r="AN55" s="44" t="str">
        <f>IF(ISBLANK(Таблица43832323[[#This Row],[Столбец9]]),N55&amp;O55&amp;P55&amp;Q55&amp;R55&amp;S55&amp;T55&amp;U55,N55&amp;O55&amp;P55&amp;Q55&amp;R55&amp;S55&amp;T55&amp;U55&amp;";")</f>
        <v/>
      </c>
      <c r="AO55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5" s="53">
        <f t="shared" si="24"/>
        <v>0</v>
      </c>
      <c r="AQ55" s="34">
        <f t="shared" si="25"/>
        <v>0</v>
      </c>
      <c r="AR55" s="47"/>
      <c r="AS55" s="188" t="e">
        <f t="shared" si="26"/>
        <v>#REF!</v>
      </c>
      <c r="AT55" s="42" t="e">
        <f t="shared" si="26"/>
        <v>#REF!</v>
      </c>
      <c r="AU55" s="40">
        <f t="shared" si="27"/>
        <v>0</v>
      </c>
      <c r="AV55" s="43">
        <f t="shared" si="28"/>
        <v>0</v>
      </c>
      <c r="AW55" s="43" t="str">
        <f t="shared" si="29"/>
        <v>-</v>
      </c>
      <c r="AX55" s="52"/>
      <c r="AY55" s="189" t="e">
        <f>Таблица43832323[[#This Row],[Адрес дефекта, км +]]</f>
        <v>#REF!</v>
      </c>
      <c r="AZ55" s="190" t="str">
        <f>Таблица43832323[[#This Row],[Столбец55]]</f>
        <v>-</v>
      </c>
      <c r="BA55" s="191">
        <f>Таблица43832323[[#This Row],[Столбец59]]</f>
        <v>0.5</v>
      </c>
      <c r="BB55" s="101"/>
      <c r="BC55" s="52"/>
      <c r="BD55" s="187" t="e">
        <f>Таблица43832323[[#This Row],[Адрес дефекта, км +]]</f>
        <v>#REF!</v>
      </c>
      <c r="BE55" s="41">
        <f>ROUND(1-((5-Таблица43832323[[#This Row],[Балл минимальный]])/10),2)</f>
        <v>0.5</v>
      </c>
      <c r="BF55" s="40">
        <f t="shared" si="30"/>
        <v>110</v>
      </c>
    </row>
    <row r="56" spans="1:58" ht="18" x14ac:dyDescent="0.2">
      <c r="A56" s="185"/>
      <c r="B56" s="185"/>
      <c r="C56" s="36">
        <f t="shared" si="22"/>
        <v>0</v>
      </c>
      <c r="D56" s="186"/>
      <c r="E56" s="29"/>
      <c r="F56" s="29"/>
      <c r="G56" s="29"/>
      <c r="H56" s="29"/>
      <c r="I56" s="29"/>
      <c r="J56" s="29"/>
      <c r="K56" s="29"/>
      <c r="L56" s="29"/>
      <c r="M56" s="155"/>
      <c r="N56" s="30" t="str">
        <f>IFERROR(VLOOKUP(Таблица43832323[[#This Row],[Деф 1]],Лист1!$A$4:$F$60,2,FALSE),"")</f>
        <v/>
      </c>
      <c r="O56" s="30" t="str">
        <f>IFERROR(VLOOKUP(Таблица43832323[[#This Row],[Деф 2]],Лист1!$A$4:$F$60,2,FALSE),"")</f>
        <v/>
      </c>
      <c r="P56" s="30" t="str">
        <f>IFERROR(VLOOKUP(Таблица43832323[[#This Row],[Столбец4]],Лист1!$A$4:$F$60,2,FALSE),"")</f>
        <v/>
      </c>
      <c r="Q56" s="30" t="str">
        <f>IFERROR(VLOOKUP(Таблица43832323[[#This Row],[Столбец5]],Лист1!$A$4:$F$60,2,FALSE),"")</f>
        <v/>
      </c>
      <c r="R56" s="30" t="str">
        <f>IFERROR(VLOOKUP(Таблица43832323[[#This Row],[Столбец6]],Лист1!$A$4:$F$60,2,FALSE),"")</f>
        <v/>
      </c>
      <c r="S56" s="30" t="str">
        <f>IFERROR(VLOOKUP(Таблица43832323[[#This Row],[Столбец7]],Лист1!$A$4:$F$60,2,FALSE),"")</f>
        <v/>
      </c>
      <c r="T56" s="30" t="str">
        <f>IFERROR(VLOOKUP(Таблица43832323[[#This Row],[Столбец8]],Лист1!$A$4:$F$60,2,FALSE),"")</f>
        <v/>
      </c>
      <c r="U56" s="30" t="str">
        <f>IFERROR(VLOOKUP(Таблица43832323[[#This Row],[Столбец9]],Лист1!$A$4:$F$60,2,FALSE),"")</f>
        <v/>
      </c>
      <c r="V56" s="31" t="str">
        <f>IFERROR(VLOOKUP(Таблица43832323[[#This Row],[Деф 1]],Лист1!$A$4:$F$60,3,FALSE),"")</f>
        <v/>
      </c>
      <c r="W56" s="31" t="str">
        <f>IFERROR(VLOOKUP(Таблица43832323[[#This Row],[Деф 2]],Лист1!$A$4:$F$60,3,FALSE),"")</f>
        <v/>
      </c>
      <c r="X56" s="31" t="str">
        <f>IFERROR(VLOOKUP(Таблица43832323[[#This Row],[Столбец4]],Лист1!$A$4:$F$60,3,FALSE),"")</f>
        <v/>
      </c>
      <c r="Y56" s="31" t="str">
        <f>IFERROR(VLOOKUP(Таблица43832323[[#This Row],[Столбец5]],Лист1!$A$4:$F$60,3,FALSE),"")</f>
        <v/>
      </c>
      <c r="Z56" s="31" t="str">
        <f>IFERROR(VLOOKUP(Таблица43832323[[#This Row],[Столбец6]],Лист1!$A$4:$F$60,3,FALSE),"")</f>
        <v/>
      </c>
      <c r="AA56" s="31" t="str">
        <f>IFERROR(VLOOKUP(Таблица43832323[[#This Row],[Столбец7]],Лист1!$A$4:$F$60,3,FALSE),"")</f>
        <v/>
      </c>
      <c r="AB56" s="31" t="str">
        <f>IFERROR(VLOOKUP(Таблица43832323[[#This Row],[Столбец8]],Лист1!$A$4:$F$60,3,FALSE),"")</f>
        <v/>
      </c>
      <c r="AC56" s="31" t="str">
        <f>IFERROR(VLOOKUP(Таблица43832323[[#This Row],[Столбец9]],Лист1!$A$4:$F$60,3,FALSE),"")</f>
        <v/>
      </c>
      <c r="AD56" s="51" t="e">
        <f t="shared" si="0"/>
        <v>#REF!</v>
      </c>
      <c r="AE56" s="32" t="e">
        <f t="shared" si="1"/>
        <v>#REF!</v>
      </c>
      <c r="AF56" s="33" t="e">
        <f t="shared" si="2"/>
        <v>#REF!</v>
      </c>
      <c r="AG56" s="33" t="e">
        <f t="shared" si="3"/>
        <v>#REF!</v>
      </c>
      <c r="AH56" s="33" t="e">
        <f t="shared" si="4"/>
        <v>#REF!</v>
      </c>
      <c r="AI56" s="34" t="e">
        <f t="shared" si="5"/>
        <v>#REF!</v>
      </c>
      <c r="AJ56" s="34" t="e">
        <f>IF(Таблица43832323[[#This Row],[Столбец42]]=0,"000",Таблица43832323[[#This Row],[Столбец42]])</f>
        <v>#REF!</v>
      </c>
      <c r="AK56" s="34" t="e">
        <f>IF(Таблица43832323[[#This Row],[Столбец44]]=0,"000",Таблица43832323[[#This Row],[Столбец44]])</f>
        <v>#REF!</v>
      </c>
      <c r="AL56" s="52"/>
      <c r="AM56" s="187" t="e">
        <f t="shared" si="23"/>
        <v>#REF!</v>
      </c>
      <c r="AN56" s="44" t="str">
        <f>IF(ISBLANK(Таблица43832323[[#This Row],[Столбец9]]),N56&amp;O56&amp;P56&amp;Q56&amp;R56&amp;S56&amp;T56&amp;U56,N56&amp;O56&amp;P56&amp;Q56&amp;R56&amp;S56&amp;T56&amp;U56&amp;";")</f>
        <v/>
      </c>
      <c r="AO56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6" s="53">
        <f t="shared" si="24"/>
        <v>0</v>
      </c>
      <c r="AQ56" s="34">
        <f t="shared" si="25"/>
        <v>0</v>
      </c>
      <c r="AR56" s="47"/>
      <c r="AS56" s="188" t="e">
        <f t="shared" si="26"/>
        <v>#REF!</v>
      </c>
      <c r="AT56" s="42" t="e">
        <f t="shared" si="26"/>
        <v>#REF!</v>
      </c>
      <c r="AU56" s="40">
        <f t="shared" si="27"/>
        <v>0</v>
      </c>
      <c r="AV56" s="43">
        <f t="shared" si="28"/>
        <v>0</v>
      </c>
      <c r="AW56" s="43" t="str">
        <f t="shared" si="29"/>
        <v>-</v>
      </c>
      <c r="AX56" s="52"/>
      <c r="AY56" s="189" t="e">
        <f>Таблица43832323[[#This Row],[Адрес дефекта, км +]]</f>
        <v>#REF!</v>
      </c>
      <c r="AZ56" s="190" t="str">
        <f>Таблица43832323[[#This Row],[Столбец55]]</f>
        <v>-</v>
      </c>
      <c r="BA56" s="191">
        <f>Таблица43832323[[#This Row],[Столбец59]]</f>
        <v>0.5</v>
      </c>
      <c r="BB56" s="101"/>
      <c r="BC56" s="52"/>
      <c r="BD56" s="187" t="e">
        <f>Таблица43832323[[#This Row],[Адрес дефекта, км +]]</f>
        <v>#REF!</v>
      </c>
      <c r="BE56" s="41">
        <f>ROUND(1-((5-Таблица43832323[[#This Row],[Балл минимальный]])/10),2)</f>
        <v>0.5</v>
      </c>
      <c r="BF56" s="40">
        <f t="shared" si="30"/>
        <v>110</v>
      </c>
    </row>
    <row r="57" spans="1:58" ht="18" x14ac:dyDescent="0.2">
      <c r="A57" s="185"/>
      <c r="B57" s="185"/>
      <c r="C57" s="36">
        <f t="shared" si="22"/>
        <v>0</v>
      </c>
      <c r="D57" s="186"/>
      <c r="E57" s="29"/>
      <c r="F57" s="29"/>
      <c r="G57" s="29"/>
      <c r="H57" s="29"/>
      <c r="I57" s="29"/>
      <c r="J57" s="29"/>
      <c r="K57" s="29"/>
      <c r="L57" s="29"/>
      <c r="M57" s="155"/>
      <c r="N57" s="30" t="str">
        <f>IFERROR(VLOOKUP(Таблица43832323[[#This Row],[Деф 1]],Лист1!$A$4:$F$60,2,FALSE),"")</f>
        <v/>
      </c>
      <c r="O57" s="30" t="str">
        <f>IFERROR(VLOOKUP(Таблица43832323[[#This Row],[Деф 2]],Лист1!$A$4:$F$60,2,FALSE),"")</f>
        <v/>
      </c>
      <c r="P57" s="30" t="str">
        <f>IFERROR(VLOOKUP(Таблица43832323[[#This Row],[Столбец4]],Лист1!$A$4:$F$60,2,FALSE),"")</f>
        <v/>
      </c>
      <c r="Q57" s="30" t="str">
        <f>IFERROR(VLOOKUP(Таблица43832323[[#This Row],[Столбец5]],Лист1!$A$4:$F$60,2,FALSE),"")</f>
        <v/>
      </c>
      <c r="R57" s="30" t="str">
        <f>IFERROR(VLOOKUP(Таблица43832323[[#This Row],[Столбец6]],Лист1!$A$4:$F$60,2,FALSE),"")</f>
        <v/>
      </c>
      <c r="S57" s="30" t="str">
        <f>IFERROR(VLOOKUP(Таблица43832323[[#This Row],[Столбец7]],Лист1!$A$4:$F$60,2,FALSE),"")</f>
        <v/>
      </c>
      <c r="T57" s="30" t="str">
        <f>IFERROR(VLOOKUP(Таблица43832323[[#This Row],[Столбец8]],Лист1!$A$4:$F$60,2,FALSE),"")</f>
        <v/>
      </c>
      <c r="U57" s="30" t="str">
        <f>IFERROR(VLOOKUP(Таблица43832323[[#This Row],[Столбец9]],Лист1!$A$4:$F$60,2,FALSE),"")</f>
        <v/>
      </c>
      <c r="V57" s="31" t="str">
        <f>IFERROR(VLOOKUP(Таблица43832323[[#This Row],[Деф 1]],Лист1!$A$4:$F$60,3,FALSE),"")</f>
        <v/>
      </c>
      <c r="W57" s="31" t="str">
        <f>IFERROR(VLOOKUP(Таблица43832323[[#This Row],[Деф 2]],Лист1!$A$4:$F$60,3,FALSE),"")</f>
        <v/>
      </c>
      <c r="X57" s="31" t="str">
        <f>IFERROR(VLOOKUP(Таблица43832323[[#This Row],[Столбец4]],Лист1!$A$4:$F$60,3,FALSE),"")</f>
        <v/>
      </c>
      <c r="Y57" s="31" t="str">
        <f>IFERROR(VLOOKUP(Таблица43832323[[#This Row],[Столбец5]],Лист1!$A$4:$F$60,3,FALSE),"")</f>
        <v/>
      </c>
      <c r="Z57" s="31" t="str">
        <f>IFERROR(VLOOKUP(Таблица43832323[[#This Row],[Столбец6]],Лист1!$A$4:$F$60,3,FALSE),"")</f>
        <v/>
      </c>
      <c r="AA57" s="31" t="str">
        <f>IFERROR(VLOOKUP(Таблица43832323[[#This Row],[Столбец7]],Лист1!$A$4:$F$60,3,FALSE),"")</f>
        <v/>
      </c>
      <c r="AB57" s="31" t="str">
        <f>IFERROR(VLOOKUP(Таблица43832323[[#This Row],[Столбец8]],Лист1!$A$4:$F$60,3,FALSE),"")</f>
        <v/>
      </c>
      <c r="AC57" s="31" t="str">
        <f>IFERROR(VLOOKUP(Таблица43832323[[#This Row],[Столбец9]],Лист1!$A$4:$F$60,3,FALSE),"")</f>
        <v/>
      </c>
      <c r="AD57" s="51" t="e">
        <f t="shared" si="0"/>
        <v>#REF!</v>
      </c>
      <c r="AE57" s="32" t="e">
        <f t="shared" si="1"/>
        <v>#REF!</v>
      </c>
      <c r="AF57" s="33" t="e">
        <f t="shared" si="2"/>
        <v>#REF!</v>
      </c>
      <c r="AG57" s="33" t="e">
        <f t="shared" si="3"/>
        <v>#REF!</v>
      </c>
      <c r="AH57" s="33" t="e">
        <f t="shared" si="4"/>
        <v>#REF!</v>
      </c>
      <c r="AI57" s="34" t="e">
        <f t="shared" si="5"/>
        <v>#REF!</v>
      </c>
      <c r="AJ57" s="34" t="e">
        <f>IF(Таблица43832323[[#This Row],[Столбец42]]=0,"000",Таблица43832323[[#This Row],[Столбец42]])</f>
        <v>#REF!</v>
      </c>
      <c r="AK57" s="34" t="e">
        <f>IF(Таблица43832323[[#This Row],[Столбец44]]=0,"000",Таблица43832323[[#This Row],[Столбец44]])</f>
        <v>#REF!</v>
      </c>
      <c r="AL57" s="52"/>
      <c r="AM57" s="187" t="e">
        <f t="shared" si="23"/>
        <v>#REF!</v>
      </c>
      <c r="AN57" s="44" t="str">
        <f>IF(ISBLANK(Таблица43832323[[#This Row],[Столбец9]]),N57&amp;O57&amp;P57&amp;Q57&amp;R57&amp;S57&amp;T57&amp;U57,N57&amp;O57&amp;P57&amp;Q57&amp;R57&amp;S57&amp;T57&amp;U57&amp;";")</f>
        <v/>
      </c>
      <c r="AO57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7" s="53">
        <f t="shared" si="24"/>
        <v>0</v>
      </c>
      <c r="AQ57" s="34">
        <f t="shared" si="25"/>
        <v>0</v>
      </c>
      <c r="AR57" s="47"/>
      <c r="AS57" s="188" t="e">
        <f t="shared" si="26"/>
        <v>#REF!</v>
      </c>
      <c r="AT57" s="42" t="e">
        <f t="shared" si="26"/>
        <v>#REF!</v>
      </c>
      <c r="AU57" s="40">
        <f t="shared" si="27"/>
        <v>0</v>
      </c>
      <c r="AV57" s="43">
        <f t="shared" si="28"/>
        <v>0</v>
      </c>
      <c r="AW57" s="43" t="str">
        <f t="shared" si="29"/>
        <v>-</v>
      </c>
      <c r="AX57" s="52"/>
      <c r="AY57" s="189" t="e">
        <f>Таблица43832323[[#This Row],[Адрес дефекта, км +]]</f>
        <v>#REF!</v>
      </c>
      <c r="AZ57" s="190" t="str">
        <f>Таблица43832323[[#This Row],[Столбец55]]</f>
        <v>-</v>
      </c>
      <c r="BA57" s="191">
        <f>Таблица43832323[[#This Row],[Столбец59]]</f>
        <v>0.5</v>
      </c>
      <c r="BB57" s="101"/>
      <c r="BC57" s="52"/>
      <c r="BD57" s="187" t="e">
        <f>Таблица43832323[[#This Row],[Адрес дефекта, км +]]</f>
        <v>#REF!</v>
      </c>
      <c r="BE57" s="41">
        <f>ROUND(1-((5-Таблица43832323[[#This Row],[Балл минимальный]])/10),2)</f>
        <v>0.5</v>
      </c>
      <c r="BF57" s="40">
        <f t="shared" si="30"/>
        <v>110</v>
      </c>
    </row>
    <row r="58" spans="1:58" ht="18" x14ac:dyDescent="0.2">
      <c r="A58" s="185"/>
      <c r="B58" s="185"/>
      <c r="C58" s="36">
        <f t="shared" si="22"/>
        <v>0</v>
      </c>
      <c r="D58" s="186"/>
      <c r="E58" s="29"/>
      <c r="F58" s="29"/>
      <c r="G58" s="29"/>
      <c r="H58" s="29"/>
      <c r="I58" s="29"/>
      <c r="J58" s="29"/>
      <c r="K58" s="29"/>
      <c r="L58" s="29"/>
      <c r="M58" s="155"/>
      <c r="N58" s="30" t="str">
        <f>IFERROR(VLOOKUP(Таблица43832323[[#This Row],[Деф 1]],Лист1!$A$4:$F$60,2,FALSE),"")</f>
        <v/>
      </c>
      <c r="O58" s="30" t="str">
        <f>IFERROR(VLOOKUP(Таблица43832323[[#This Row],[Деф 2]],Лист1!$A$4:$F$60,2,FALSE),"")</f>
        <v/>
      </c>
      <c r="P58" s="30" t="str">
        <f>IFERROR(VLOOKUP(Таблица43832323[[#This Row],[Столбец4]],Лист1!$A$4:$F$60,2,FALSE),"")</f>
        <v/>
      </c>
      <c r="Q58" s="30" t="str">
        <f>IFERROR(VLOOKUP(Таблица43832323[[#This Row],[Столбец5]],Лист1!$A$4:$F$60,2,FALSE),"")</f>
        <v/>
      </c>
      <c r="R58" s="30" t="str">
        <f>IFERROR(VLOOKUP(Таблица43832323[[#This Row],[Столбец6]],Лист1!$A$4:$F$60,2,FALSE),"")</f>
        <v/>
      </c>
      <c r="S58" s="30" t="str">
        <f>IFERROR(VLOOKUP(Таблица43832323[[#This Row],[Столбец7]],Лист1!$A$4:$F$60,2,FALSE),"")</f>
        <v/>
      </c>
      <c r="T58" s="30" t="str">
        <f>IFERROR(VLOOKUP(Таблица43832323[[#This Row],[Столбец8]],Лист1!$A$4:$F$60,2,FALSE),"")</f>
        <v/>
      </c>
      <c r="U58" s="30" t="str">
        <f>IFERROR(VLOOKUP(Таблица43832323[[#This Row],[Столбец9]],Лист1!$A$4:$F$60,2,FALSE),"")</f>
        <v/>
      </c>
      <c r="V58" s="31" t="str">
        <f>IFERROR(VLOOKUP(Таблица43832323[[#This Row],[Деф 1]],Лист1!$A$4:$F$60,3,FALSE),"")</f>
        <v/>
      </c>
      <c r="W58" s="31" t="str">
        <f>IFERROR(VLOOKUP(Таблица43832323[[#This Row],[Деф 2]],Лист1!$A$4:$F$60,3,FALSE),"")</f>
        <v/>
      </c>
      <c r="X58" s="31" t="str">
        <f>IFERROR(VLOOKUP(Таблица43832323[[#This Row],[Столбец4]],Лист1!$A$4:$F$60,3,FALSE),"")</f>
        <v/>
      </c>
      <c r="Y58" s="31" t="str">
        <f>IFERROR(VLOOKUP(Таблица43832323[[#This Row],[Столбец5]],Лист1!$A$4:$F$60,3,FALSE),"")</f>
        <v/>
      </c>
      <c r="Z58" s="31" t="str">
        <f>IFERROR(VLOOKUP(Таблица43832323[[#This Row],[Столбец6]],Лист1!$A$4:$F$60,3,FALSE),"")</f>
        <v/>
      </c>
      <c r="AA58" s="31" t="str">
        <f>IFERROR(VLOOKUP(Таблица43832323[[#This Row],[Столбец7]],Лист1!$A$4:$F$60,3,FALSE),"")</f>
        <v/>
      </c>
      <c r="AB58" s="31" t="str">
        <f>IFERROR(VLOOKUP(Таблица43832323[[#This Row],[Столбец8]],Лист1!$A$4:$F$60,3,FALSE),"")</f>
        <v/>
      </c>
      <c r="AC58" s="31" t="str">
        <f>IFERROR(VLOOKUP(Таблица43832323[[#This Row],[Столбец9]],Лист1!$A$4:$F$60,3,FALSE),"")</f>
        <v/>
      </c>
      <c r="AD58" s="51" t="e">
        <f t="shared" si="0"/>
        <v>#REF!</v>
      </c>
      <c r="AE58" s="32" t="e">
        <f t="shared" si="1"/>
        <v>#REF!</v>
      </c>
      <c r="AF58" s="33" t="e">
        <f t="shared" si="2"/>
        <v>#REF!</v>
      </c>
      <c r="AG58" s="33" t="e">
        <f t="shared" si="3"/>
        <v>#REF!</v>
      </c>
      <c r="AH58" s="33" t="e">
        <f t="shared" si="4"/>
        <v>#REF!</v>
      </c>
      <c r="AI58" s="34" t="e">
        <f t="shared" si="5"/>
        <v>#REF!</v>
      </c>
      <c r="AJ58" s="34" t="e">
        <f>IF(Таблица43832323[[#This Row],[Столбец42]]=0,"000",Таблица43832323[[#This Row],[Столбец42]])</f>
        <v>#REF!</v>
      </c>
      <c r="AK58" s="34" t="e">
        <f>IF(Таблица43832323[[#This Row],[Столбец44]]=0,"000",Таблица43832323[[#This Row],[Столбец44]])</f>
        <v>#REF!</v>
      </c>
      <c r="AL58" s="52"/>
      <c r="AM58" s="187" t="e">
        <f t="shared" si="23"/>
        <v>#REF!</v>
      </c>
      <c r="AN58" s="44" t="str">
        <f>IF(ISBLANK(Таблица43832323[[#This Row],[Столбец9]]),N58&amp;O58&amp;P58&amp;Q58&amp;R58&amp;S58&amp;T58&amp;U58,N58&amp;O58&amp;P58&amp;Q58&amp;R58&amp;S58&amp;T58&amp;U58&amp;";")</f>
        <v/>
      </c>
      <c r="AO58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8" s="53">
        <f t="shared" si="24"/>
        <v>0</v>
      </c>
      <c r="AQ58" s="34">
        <f t="shared" si="25"/>
        <v>0</v>
      </c>
      <c r="AR58" s="47"/>
      <c r="AS58" s="188" t="e">
        <f t="shared" si="26"/>
        <v>#REF!</v>
      </c>
      <c r="AT58" s="42" t="e">
        <f t="shared" si="26"/>
        <v>#REF!</v>
      </c>
      <c r="AU58" s="40">
        <f t="shared" si="27"/>
        <v>0</v>
      </c>
      <c r="AV58" s="43">
        <f t="shared" si="28"/>
        <v>0</v>
      </c>
      <c r="AW58" s="43" t="str">
        <f t="shared" si="29"/>
        <v>-</v>
      </c>
      <c r="AX58" s="52"/>
      <c r="AY58" s="189" t="e">
        <f>Таблица43832323[[#This Row],[Адрес дефекта, км +]]</f>
        <v>#REF!</v>
      </c>
      <c r="AZ58" s="190" t="str">
        <f>Таблица43832323[[#This Row],[Столбец55]]</f>
        <v>-</v>
      </c>
      <c r="BA58" s="191">
        <f>Таблица43832323[[#This Row],[Столбец59]]</f>
        <v>0.5</v>
      </c>
      <c r="BB58" s="101"/>
      <c r="BC58" s="52"/>
      <c r="BD58" s="187" t="e">
        <f>Таблица43832323[[#This Row],[Адрес дефекта, км +]]</f>
        <v>#REF!</v>
      </c>
      <c r="BE58" s="41">
        <f>ROUND(1-((5-Таблица43832323[[#This Row],[Балл минимальный]])/10),2)</f>
        <v>0.5</v>
      </c>
      <c r="BF58" s="40">
        <f t="shared" si="30"/>
        <v>110</v>
      </c>
    </row>
    <row r="59" spans="1:58" ht="18" x14ac:dyDescent="0.2">
      <c r="A59" s="185"/>
      <c r="B59" s="185"/>
      <c r="C59" s="36">
        <f t="shared" si="22"/>
        <v>0</v>
      </c>
      <c r="D59" s="186"/>
      <c r="E59" s="29"/>
      <c r="F59" s="29"/>
      <c r="G59" s="29"/>
      <c r="H59" s="29"/>
      <c r="I59" s="29"/>
      <c r="J59" s="29"/>
      <c r="K59" s="29"/>
      <c r="L59" s="29"/>
      <c r="M59" s="155"/>
      <c r="N59" s="30" t="str">
        <f>IFERROR(VLOOKUP(Таблица43832323[[#This Row],[Деф 1]],Лист1!$A$4:$F$60,2,FALSE),"")</f>
        <v/>
      </c>
      <c r="O59" s="30" t="str">
        <f>IFERROR(VLOOKUP(Таблица43832323[[#This Row],[Деф 2]],Лист1!$A$4:$F$60,2,FALSE),"")</f>
        <v/>
      </c>
      <c r="P59" s="30" t="str">
        <f>IFERROR(VLOOKUP(Таблица43832323[[#This Row],[Столбец4]],Лист1!$A$4:$F$60,2,FALSE),"")</f>
        <v/>
      </c>
      <c r="Q59" s="30" t="str">
        <f>IFERROR(VLOOKUP(Таблица43832323[[#This Row],[Столбец5]],Лист1!$A$4:$F$60,2,FALSE),"")</f>
        <v/>
      </c>
      <c r="R59" s="30" t="str">
        <f>IFERROR(VLOOKUP(Таблица43832323[[#This Row],[Столбец6]],Лист1!$A$4:$F$60,2,FALSE),"")</f>
        <v/>
      </c>
      <c r="S59" s="30" t="str">
        <f>IFERROR(VLOOKUP(Таблица43832323[[#This Row],[Столбец7]],Лист1!$A$4:$F$60,2,FALSE),"")</f>
        <v/>
      </c>
      <c r="T59" s="30" t="str">
        <f>IFERROR(VLOOKUP(Таблица43832323[[#This Row],[Столбец8]],Лист1!$A$4:$F$60,2,FALSE),"")</f>
        <v/>
      </c>
      <c r="U59" s="30" t="str">
        <f>IFERROR(VLOOKUP(Таблица43832323[[#This Row],[Столбец9]],Лист1!$A$4:$F$60,2,FALSE),"")</f>
        <v/>
      </c>
      <c r="V59" s="31" t="str">
        <f>IFERROR(VLOOKUP(Таблица43832323[[#This Row],[Деф 1]],Лист1!$A$4:$F$60,3,FALSE),"")</f>
        <v/>
      </c>
      <c r="W59" s="31" t="str">
        <f>IFERROR(VLOOKUP(Таблица43832323[[#This Row],[Деф 2]],Лист1!$A$4:$F$60,3,FALSE),"")</f>
        <v/>
      </c>
      <c r="X59" s="31" t="str">
        <f>IFERROR(VLOOKUP(Таблица43832323[[#This Row],[Столбец4]],Лист1!$A$4:$F$60,3,FALSE),"")</f>
        <v/>
      </c>
      <c r="Y59" s="31" t="str">
        <f>IFERROR(VLOOKUP(Таблица43832323[[#This Row],[Столбец5]],Лист1!$A$4:$F$60,3,FALSE),"")</f>
        <v/>
      </c>
      <c r="Z59" s="31" t="str">
        <f>IFERROR(VLOOKUP(Таблица43832323[[#This Row],[Столбец6]],Лист1!$A$4:$F$60,3,FALSE),"")</f>
        <v/>
      </c>
      <c r="AA59" s="31" t="str">
        <f>IFERROR(VLOOKUP(Таблица43832323[[#This Row],[Столбец7]],Лист1!$A$4:$F$60,3,FALSE),"")</f>
        <v/>
      </c>
      <c r="AB59" s="31" t="str">
        <f>IFERROR(VLOOKUP(Таблица43832323[[#This Row],[Столбец8]],Лист1!$A$4:$F$60,3,FALSE),"")</f>
        <v/>
      </c>
      <c r="AC59" s="31" t="str">
        <f>IFERROR(VLOOKUP(Таблица43832323[[#This Row],[Столбец9]],Лист1!$A$4:$F$60,3,FALSE),"")</f>
        <v/>
      </c>
      <c r="AD59" s="51" t="e">
        <f t="shared" si="0"/>
        <v>#REF!</v>
      </c>
      <c r="AE59" s="32" t="e">
        <f t="shared" si="1"/>
        <v>#REF!</v>
      </c>
      <c r="AF59" s="33" t="e">
        <f t="shared" si="2"/>
        <v>#REF!</v>
      </c>
      <c r="AG59" s="33" t="e">
        <f t="shared" si="3"/>
        <v>#REF!</v>
      </c>
      <c r="AH59" s="33" t="e">
        <f t="shared" si="4"/>
        <v>#REF!</v>
      </c>
      <c r="AI59" s="34" t="e">
        <f t="shared" si="5"/>
        <v>#REF!</v>
      </c>
      <c r="AJ59" s="34" t="e">
        <f>IF(Таблица43832323[[#This Row],[Столбец42]]=0,"000",Таблица43832323[[#This Row],[Столбец42]])</f>
        <v>#REF!</v>
      </c>
      <c r="AK59" s="34" t="e">
        <f>IF(Таблица43832323[[#This Row],[Столбец44]]=0,"000",Таблица43832323[[#This Row],[Столбец44]])</f>
        <v>#REF!</v>
      </c>
      <c r="AL59" s="52"/>
      <c r="AM59" s="187" t="e">
        <f t="shared" si="23"/>
        <v>#REF!</v>
      </c>
      <c r="AN59" s="44" t="str">
        <f>IF(ISBLANK(Таблица43832323[[#This Row],[Столбец9]]),N59&amp;O59&amp;P59&amp;Q59&amp;R59&amp;S59&amp;T59&amp;U59,N59&amp;O59&amp;P59&amp;Q59&amp;R59&amp;S59&amp;T59&amp;U59&amp;";")</f>
        <v/>
      </c>
      <c r="AO59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9" s="53">
        <f t="shared" si="24"/>
        <v>0</v>
      </c>
      <c r="AQ59" s="34">
        <f t="shared" si="25"/>
        <v>0</v>
      </c>
      <c r="AR59" s="47"/>
      <c r="AS59" s="188" t="e">
        <f t="shared" si="26"/>
        <v>#REF!</v>
      </c>
      <c r="AT59" s="42" t="e">
        <f t="shared" si="26"/>
        <v>#REF!</v>
      </c>
      <c r="AU59" s="40">
        <f t="shared" si="27"/>
        <v>0</v>
      </c>
      <c r="AV59" s="43">
        <f t="shared" si="28"/>
        <v>0</v>
      </c>
      <c r="AW59" s="43" t="str">
        <f t="shared" si="29"/>
        <v>-</v>
      </c>
      <c r="AX59" s="52"/>
      <c r="AY59" s="189" t="e">
        <f>Таблица43832323[[#This Row],[Адрес дефекта, км +]]</f>
        <v>#REF!</v>
      </c>
      <c r="AZ59" s="190" t="str">
        <f>Таблица43832323[[#This Row],[Столбец55]]</f>
        <v>-</v>
      </c>
      <c r="BA59" s="191">
        <f>Таблица43832323[[#This Row],[Столбец59]]</f>
        <v>0.5</v>
      </c>
      <c r="BB59" s="101"/>
      <c r="BC59" s="52"/>
      <c r="BD59" s="187" t="e">
        <f>Таблица43832323[[#This Row],[Адрес дефекта, км +]]</f>
        <v>#REF!</v>
      </c>
      <c r="BE59" s="41">
        <f>ROUND(1-((5-Таблица43832323[[#This Row],[Балл минимальный]])/10),2)</f>
        <v>0.5</v>
      </c>
      <c r="BF59" s="40">
        <f t="shared" si="30"/>
        <v>110</v>
      </c>
    </row>
    <row r="60" spans="1:58" ht="18" x14ac:dyDescent="0.2">
      <c r="A60" s="185"/>
      <c r="B60" s="185"/>
      <c r="C60" s="36">
        <f t="shared" si="22"/>
        <v>0</v>
      </c>
      <c r="D60" s="186"/>
      <c r="E60" s="29"/>
      <c r="F60" s="29"/>
      <c r="G60" s="29"/>
      <c r="H60" s="29"/>
      <c r="I60" s="29"/>
      <c r="J60" s="29"/>
      <c r="K60" s="29"/>
      <c r="L60" s="29"/>
      <c r="M60" s="155"/>
      <c r="N60" s="30" t="str">
        <f>IFERROR(VLOOKUP(Таблица43832323[[#This Row],[Деф 1]],Лист1!$A$4:$F$60,2,FALSE),"")</f>
        <v/>
      </c>
      <c r="O60" s="30" t="str">
        <f>IFERROR(VLOOKUP(Таблица43832323[[#This Row],[Деф 2]],Лист1!$A$4:$F$60,2,FALSE),"")</f>
        <v/>
      </c>
      <c r="P60" s="30" t="str">
        <f>IFERROR(VLOOKUP(Таблица43832323[[#This Row],[Столбец4]],Лист1!$A$4:$F$60,2,FALSE),"")</f>
        <v/>
      </c>
      <c r="Q60" s="30" t="str">
        <f>IFERROR(VLOOKUP(Таблица43832323[[#This Row],[Столбец5]],Лист1!$A$4:$F$60,2,FALSE),"")</f>
        <v/>
      </c>
      <c r="R60" s="30" t="str">
        <f>IFERROR(VLOOKUP(Таблица43832323[[#This Row],[Столбец6]],Лист1!$A$4:$F$60,2,FALSE),"")</f>
        <v/>
      </c>
      <c r="S60" s="30" t="str">
        <f>IFERROR(VLOOKUP(Таблица43832323[[#This Row],[Столбец7]],Лист1!$A$4:$F$60,2,FALSE),"")</f>
        <v/>
      </c>
      <c r="T60" s="30" t="str">
        <f>IFERROR(VLOOKUP(Таблица43832323[[#This Row],[Столбец8]],Лист1!$A$4:$F$60,2,FALSE),"")</f>
        <v/>
      </c>
      <c r="U60" s="30" t="str">
        <f>IFERROR(VLOOKUP(Таблица43832323[[#This Row],[Столбец9]],Лист1!$A$4:$F$60,2,FALSE),"")</f>
        <v/>
      </c>
      <c r="V60" s="31" t="str">
        <f>IFERROR(VLOOKUP(Таблица43832323[[#This Row],[Деф 1]],Лист1!$A$4:$F$60,3,FALSE),"")</f>
        <v/>
      </c>
      <c r="W60" s="31" t="str">
        <f>IFERROR(VLOOKUP(Таблица43832323[[#This Row],[Деф 2]],Лист1!$A$4:$F$60,3,FALSE),"")</f>
        <v/>
      </c>
      <c r="X60" s="31" t="str">
        <f>IFERROR(VLOOKUP(Таблица43832323[[#This Row],[Столбец4]],Лист1!$A$4:$F$60,3,FALSE),"")</f>
        <v/>
      </c>
      <c r="Y60" s="31" t="str">
        <f>IFERROR(VLOOKUP(Таблица43832323[[#This Row],[Столбец5]],Лист1!$A$4:$F$60,3,FALSE),"")</f>
        <v/>
      </c>
      <c r="Z60" s="31" t="str">
        <f>IFERROR(VLOOKUP(Таблица43832323[[#This Row],[Столбец6]],Лист1!$A$4:$F$60,3,FALSE),"")</f>
        <v/>
      </c>
      <c r="AA60" s="31" t="str">
        <f>IFERROR(VLOOKUP(Таблица43832323[[#This Row],[Столбец7]],Лист1!$A$4:$F$60,3,FALSE),"")</f>
        <v/>
      </c>
      <c r="AB60" s="31" t="str">
        <f>IFERROR(VLOOKUP(Таблица43832323[[#This Row],[Столбец8]],Лист1!$A$4:$F$60,3,FALSE),"")</f>
        <v/>
      </c>
      <c r="AC60" s="31" t="str">
        <f>IFERROR(VLOOKUP(Таблица43832323[[#This Row],[Столбец9]],Лист1!$A$4:$F$60,3,FALSE),"")</f>
        <v/>
      </c>
      <c r="AD60" s="51" t="e">
        <f t="shared" si="0"/>
        <v>#REF!</v>
      </c>
      <c r="AE60" s="32" t="e">
        <f t="shared" si="1"/>
        <v>#REF!</v>
      </c>
      <c r="AF60" s="33" t="e">
        <f t="shared" si="2"/>
        <v>#REF!</v>
      </c>
      <c r="AG60" s="33" t="e">
        <f t="shared" si="3"/>
        <v>#REF!</v>
      </c>
      <c r="AH60" s="33" t="e">
        <f t="shared" si="4"/>
        <v>#REF!</v>
      </c>
      <c r="AI60" s="34" t="e">
        <f t="shared" si="5"/>
        <v>#REF!</v>
      </c>
      <c r="AJ60" s="34" t="e">
        <f>IF(Таблица43832323[[#This Row],[Столбец42]]=0,"000",Таблица43832323[[#This Row],[Столбец42]])</f>
        <v>#REF!</v>
      </c>
      <c r="AK60" s="34" t="e">
        <f>IF(Таблица43832323[[#This Row],[Столбец44]]=0,"000",Таблица43832323[[#This Row],[Столбец44]])</f>
        <v>#REF!</v>
      </c>
      <c r="AL60" s="52"/>
      <c r="AM60" s="187" t="e">
        <f t="shared" si="23"/>
        <v>#REF!</v>
      </c>
      <c r="AN60" s="44" t="str">
        <f>IF(ISBLANK(Таблица43832323[[#This Row],[Столбец9]]),N60&amp;O60&amp;P60&amp;Q60&amp;R60&amp;S60&amp;T60&amp;U60,N60&amp;O60&amp;P60&amp;Q60&amp;R60&amp;S60&amp;T60&amp;U60&amp;";")</f>
        <v/>
      </c>
      <c r="AO60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60" s="53">
        <f t="shared" si="24"/>
        <v>0</v>
      </c>
      <c r="AQ60" s="34">
        <f t="shared" si="25"/>
        <v>0</v>
      </c>
      <c r="AR60" s="47"/>
      <c r="AS60" s="188" t="e">
        <f t="shared" si="26"/>
        <v>#REF!</v>
      </c>
      <c r="AT60" s="42" t="e">
        <f t="shared" si="26"/>
        <v>#REF!</v>
      </c>
      <c r="AU60" s="40">
        <f t="shared" si="27"/>
        <v>0</v>
      </c>
      <c r="AV60" s="43">
        <f t="shared" si="28"/>
        <v>0</v>
      </c>
      <c r="AW60" s="43" t="str">
        <f t="shared" si="29"/>
        <v>-</v>
      </c>
      <c r="AX60" s="52"/>
      <c r="AY60" s="189" t="e">
        <f>Таблица43832323[[#This Row],[Адрес дефекта, км +]]</f>
        <v>#REF!</v>
      </c>
      <c r="AZ60" s="190" t="str">
        <f>Таблица43832323[[#This Row],[Столбец55]]</f>
        <v>-</v>
      </c>
      <c r="BA60" s="191">
        <f>Таблица43832323[[#This Row],[Столбец59]]</f>
        <v>0.5</v>
      </c>
      <c r="BB60" s="101"/>
      <c r="BC60" s="52"/>
      <c r="BD60" s="187" t="e">
        <f>Таблица43832323[[#This Row],[Адрес дефекта, км +]]</f>
        <v>#REF!</v>
      </c>
      <c r="BE60" s="41">
        <f>ROUND(1-((5-Таблица43832323[[#This Row],[Балл минимальный]])/10),2)</f>
        <v>0.5</v>
      </c>
      <c r="BF60" s="40">
        <f t="shared" si="30"/>
        <v>110</v>
      </c>
    </row>
    <row r="61" spans="1:58" ht="18" x14ac:dyDescent="0.2">
      <c r="A61" s="185"/>
      <c r="B61" s="185"/>
      <c r="C61" s="36">
        <f t="shared" si="22"/>
        <v>0</v>
      </c>
      <c r="D61" s="186"/>
      <c r="E61" s="29"/>
      <c r="F61" s="29"/>
      <c r="G61" s="29"/>
      <c r="H61" s="29"/>
      <c r="I61" s="29"/>
      <c r="J61" s="29"/>
      <c r="K61" s="29"/>
      <c r="L61" s="29"/>
      <c r="M61" s="155"/>
      <c r="N61" s="30" t="str">
        <f>IFERROR(VLOOKUP(Таблица43832323[[#This Row],[Деф 1]],Лист1!$A$4:$F$60,2,FALSE),"")</f>
        <v/>
      </c>
      <c r="O61" s="30" t="str">
        <f>IFERROR(VLOOKUP(Таблица43832323[[#This Row],[Деф 2]],Лист1!$A$4:$F$60,2,FALSE),"")</f>
        <v/>
      </c>
      <c r="P61" s="30" t="str">
        <f>IFERROR(VLOOKUP(Таблица43832323[[#This Row],[Столбец4]],Лист1!$A$4:$F$60,2,FALSE),"")</f>
        <v/>
      </c>
      <c r="Q61" s="30" t="str">
        <f>IFERROR(VLOOKUP(Таблица43832323[[#This Row],[Столбец5]],Лист1!$A$4:$F$60,2,FALSE),"")</f>
        <v/>
      </c>
      <c r="R61" s="30" t="str">
        <f>IFERROR(VLOOKUP(Таблица43832323[[#This Row],[Столбец6]],Лист1!$A$4:$F$60,2,FALSE),"")</f>
        <v/>
      </c>
      <c r="S61" s="30" t="str">
        <f>IFERROR(VLOOKUP(Таблица43832323[[#This Row],[Столбец7]],Лист1!$A$4:$F$60,2,FALSE),"")</f>
        <v/>
      </c>
      <c r="T61" s="30" t="str">
        <f>IFERROR(VLOOKUP(Таблица43832323[[#This Row],[Столбец8]],Лист1!$A$4:$F$60,2,FALSE),"")</f>
        <v/>
      </c>
      <c r="U61" s="30" t="str">
        <f>IFERROR(VLOOKUP(Таблица43832323[[#This Row],[Столбец9]],Лист1!$A$4:$F$60,2,FALSE),"")</f>
        <v/>
      </c>
      <c r="V61" s="31" t="str">
        <f>IFERROR(VLOOKUP(Таблица43832323[[#This Row],[Деф 1]],Лист1!$A$4:$F$60,3,FALSE),"")</f>
        <v/>
      </c>
      <c r="W61" s="31" t="str">
        <f>IFERROR(VLOOKUP(Таблица43832323[[#This Row],[Деф 2]],Лист1!$A$4:$F$60,3,FALSE),"")</f>
        <v/>
      </c>
      <c r="X61" s="31" t="str">
        <f>IFERROR(VLOOKUP(Таблица43832323[[#This Row],[Столбец4]],Лист1!$A$4:$F$60,3,FALSE),"")</f>
        <v/>
      </c>
      <c r="Y61" s="31" t="str">
        <f>IFERROR(VLOOKUP(Таблица43832323[[#This Row],[Столбец5]],Лист1!$A$4:$F$60,3,FALSE),"")</f>
        <v/>
      </c>
      <c r="Z61" s="31" t="str">
        <f>IFERROR(VLOOKUP(Таблица43832323[[#This Row],[Столбец6]],Лист1!$A$4:$F$60,3,FALSE),"")</f>
        <v/>
      </c>
      <c r="AA61" s="31" t="str">
        <f>IFERROR(VLOOKUP(Таблица43832323[[#This Row],[Столбец7]],Лист1!$A$4:$F$60,3,FALSE),"")</f>
        <v/>
      </c>
      <c r="AB61" s="31" t="str">
        <f>IFERROR(VLOOKUP(Таблица43832323[[#This Row],[Столбец8]],Лист1!$A$4:$F$60,3,FALSE),"")</f>
        <v/>
      </c>
      <c r="AC61" s="31" t="str">
        <f>IFERROR(VLOOKUP(Таблица43832323[[#This Row],[Столбец9]],Лист1!$A$4:$F$60,3,FALSE),"")</f>
        <v/>
      </c>
      <c r="AD61" s="51" t="e">
        <f t="shared" si="0"/>
        <v>#REF!</v>
      </c>
      <c r="AE61" s="32" t="e">
        <f t="shared" si="1"/>
        <v>#REF!</v>
      </c>
      <c r="AF61" s="33" t="e">
        <f t="shared" si="2"/>
        <v>#REF!</v>
      </c>
      <c r="AG61" s="33" t="e">
        <f t="shared" si="3"/>
        <v>#REF!</v>
      </c>
      <c r="AH61" s="33" t="e">
        <f t="shared" si="4"/>
        <v>#REF!</v>
      </c>
      <c r="AI61" s="34" t="e">
        <f t="shared" si="5"/>
        <v>#REF!</v>
      </c>
      <c r="AJ61" s="34" t="e">
        <f>IF(Таблица43832323[[#This Row],[Столбец42]]=0,"000",Таблица43832323[[#This Row],[Столбец42]])</f>
        <v>#REF!</v>
      </c>
      <c r="AK61" s="34" t="e">
        <f>IF(Таблица43832323[[#This Row],[Столбец44]]=0,"000",Таблица43832323[[#This Row],[Столбец44]])</f>
        <v>#REF!</v>
      </c>
      <c r="AL61" s="52"/>
      <c r="AM61" s="187" t="e">
        <f t="shared" si="23"/>
        <v>#REF!</v>
      </c>
      <c r="AN61" s="44" t="str">
        <f>IF(ISBLANK(Таблица43832323[[#This Row],[Столбец9]]),N61&amp;O61&amp;P61&amp;Q61&amp;R61&amp;S61&amp;T61&amp;U61,N61&amp;O61&amp;P61&amp;Q61&amp;R61&amp;S61&amp;T61&amp;U61&amp;";")</f>
        <v/>
      </c>
      <c r="AO61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61" s="53">
        <f t="shared" si="24"/>
        <v>0</v>
      </c>
      <c r="AQ61" s="34">
        <f t="shared" si="25"/>
        <v>0</v>
      </c>
      <c r="AR61" s="47"/>
      <c r="AS61" s="188" t="e">
        <f t="shared" si="26"/>
        <v>#REF!</v>
      </c>
      <c r="AT61" s="42" t="e">
        <f t="shared" si="26"/>
        <v>#REF!</v>
      </c>
      <c r="AU61" s="40">
        <f t="shared" si="27"/>
        <v>0</v>
      </c>
      <c r="AV61" s="43">
        <f t="shared" si="28"/>
        <v>0</v>
      </c>
      <c r="AW61" s="43" t="str">
        <f t="shared" si="29"/>
        <v>-</v>
      </c>
      <c r="AX61" s="52"/>
      <c r="AY61" s="189" t="e">
        <f>Таблица43832323[[#This Row],[Адрес дефекта, км +]]</f>
        <v>#REF!</v>
      </c>
      <c r="AZ61" s="190" t="str">
        <f>Таблица43832323[[#This Row],[Столбец55]]</f>
        <v>-</v>
      </c>
      <c r="BA61" s="191">
        <f>Таблица43832323[[#This Row],[Столбец59]]</f>
        <v>0.5</v>
      </c>
      <c r="BB61" s="101"/>
      <c r="BC61" s="52"/>
      <c r="BD61" s="187" t="e">
        <f>Таблица43832323[[#This Row],[Адрес дефекта, км +]]</f>
        <v>#REF!</v>
      </c>
      <c r="BE61" s="41">
        <f>ROUND(1-((5-Таблица43832323[[#This Row],[Балл минимальный]])/10),2)</f>
        <v>0.5</v>
      </c>
      <c r="BF61" s="40">
        <f t="shared" si="30"/>
        <v>110</v>
      </c>
    </row>
    <row r="62" spans="1:58" ht="18" x14ac:dyDescent="0.2">
      <c r="A62" s="185"/>
      <c r="B62" s="185"/>
      <c r="C62" s="36">
        <f t="shared" si="22"/>
        <v>0</v>
      </c>
      <c r="D62" s="186"/>
      <c r="E62" s="29"/>
      <c r="F62" s="29"/>
      <c r="G62" s="29"/>
      <c r="H62" s="29"/>
      <c r="I62" s="29"/>
      <c r="J62" s="29"/>
      <c r="K62" s="29"/>
      <c r="L62" s="29"/>
      <c r="M62" s="155"/>
      <c r="N62" s="30" t="str">
        <f>IFERROR(VLOOKUP(Таблица43832323[[#This Row],[Деф 1]],Лист1!$A$4:$F$60,2,FALSE),"")</f>
        <v/>
      </c>
      <c r="O62" s="30" t="str">
        <f>IFERROR(VLOOKUP(Таблица43832323[[#This Row],[Деф 2]],Лист1!$A$4:$F$60,2,FALSE),"")</f>
        <v/>
      </c>
      <c r="P62" s="30" t="str">
        <f>IFERROR(VLOOKUP(Таблица43832323[[#This Row],[Столбец4]],Лист1!$A$4:$F$60,2,FALSE),"")</f>
        <v/>
      </c>
      <c r="Q62" s="30" t="str">
        <f>IFERROR(VLOOKUP(Таблица43832323[[#This Row],[Столбец5]],Лист1!$A$4:$F$60,2,FALSE),"")</f>
        <v/>
      </c>
      <c r="R62" s="30" t="str">
        <f>IFERROR(VLOOKUP(Таблица43832323[[#This Row],[Столбец6]],Лист1!$A$4:$F$60,2,FALSE),"")</f>
        <v/>
      </c>
      <c r="S62" s="30" t="str">
        <f>IFERROR(VLOOKUP(Таблица43832323[[#This Row],[Столбец7]],Лист1!$A$4:$F$60,2,FALSE),"")</f>
        <v/>
      </c>
      <c r="T62" s="30" t="str">
        <f>IFERROR(VLOOKUP(Таблица43832323[[#This Row],[Столбец8]],Лист1!$A$4:$F$60,2,FALSE),"")</f>
        <v/>
      </c>
      <c r="U62" s="30" t="str">
        <f>IFERROR(VLOOKUP(Таблица43832323[[#This Row],[Столбец9]],Лист1!$A$4:$F$60,2,FALSE),"")</f>
        <v/>
      </c>
      <c r="V62" s="31" t="str">
        <f>IFERROR(VLOOKUP(Таблица43832323[[#This Row],[Деф 1]],Лист1!$A$4:$F$60,3,FALSE),"")</f>
        <v/>
      </c>
      <c r="W62" s="31" t="str">
        <f>IFERROR(VLOOKUP(Таблица43832323[[#This Row],[Деф 2]],Лист1!$A$4:$F$60,3,FALSE),"")</f>
        <v/>
      </c>
      <c r="X62" s="31" t="str">
        <f>IFERROR(VLOOKUP(Таблица43832323[[#This Row],[Столбец4]],Лист1!$A$4:$F$60,3,FALSE),"")</f>
        <v/>
      </c>
      <c r="Y62" s="31" t="str">
        <f>IFERROR(VLOOKUP(Таблица43832323[[#This Row],[Столбец5]],Лист1!$A$4:$F$60,3,FALSE),"")</f>
        <v/>
      </c>
      <c r="Z62" s="31" t="str">
        <f>IFERROR(VLOOKUP(Таблица43832323[[#This Row],[Столбец6]],Лист1!$A$4:$F$60,3,FALSE),"")</f>
        <v/>
      </c>
      <c r="AA62" s="31" t="str">
        <f>IFERROR(VLOOKUP(Таблица43832323[[#This Row],[Столбец7]],Лист1!$A$4:$F$60,3,FALSE),"")</f>
        <v/>
      </c>
      <c r="AB62" s="31" t="str">
        <f>IFERROR(VLOOKUP(Таблица43832323[[#This Row],[Столбец8]],Лист1!$A$4:$F$60,3,FALSE),"")</f>
        <v/>
      </c>
      <c r="AC62" s="31" t="str">
        <f>IFERROR(VLOOKUP(Таблица43832323[[#This Row],[Столбец9]],Лист1!$A$4:$F$60,3,FALSE),"")</f>
        <v/>
      </c>
      <c r="AD62" s="51" t="e">
        <f t="shared" si="0"/>
        <v>#REF!</v>
      </c>
      <c r="AE62" s="32" t="e">
        <f t="shared" si="1"/>
        <v>#REF!</v>
      </c>
      <c r="AF62" s="33" t="e">
        <f t="shared" si="2"/>
        <v>#REF!</v>
      </c>
      <c r="AG62" s="33" t="e">
        <f t="shared" si="3"/>
        <v>#REF!</v>
      </c>
      <c r="AH62" s="33" t="e">
        <f t="shared" si="4"/>
        <v>#REF!</v>
      </c>
      <c r="AI62" s="34" t="e">
        <f t="shared" si="5"/>
        <v>#REF!</v>
      </c>
      <c r="AJ62" s="34" t="e">
        <f>IF(Таблица43832323[[#This Row],[Столбец42]]=0,"000",Таблица43832323[[#This Row],[Столбец42]])</f>
        <v>#REF!</v>
      </c>
      <c r="AK62" s="34" t="e">
        <f>IF(Таблица43832323[[#This Row],[Столбец44]]=0,"000",Таблица43832323[[#This Row],[Столбец44]])</f>
        <v>#REF!</v>
      </c>
      <c r="AL62" s="52"/>
      <c r="AM62" s="187" t="e">
        <f t="shared" si="23"/>
        <v>#REF!</v>
      </c>
      <c r="AN62" s="44" t="str">
        <f>IF(ISBLANK(Таблица43832323[[#This Row],[Столбец9]]),N62&amp;O62&amp;P62&amp;Q62&amp;R62&amp;S62&amp;T62&amp;U62,N62&amp;O62&amp;P62&amp;Q62&amp;R62&amp;S62&amp;T62&amp;U62&amp;";")</f>
        <v/>
      </c>
      <c r="AO62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62" s="53">
        <f t="shared" si="24"/>
        <v>0</v>
      </c>
      <c r="AQ62" s="34">
        <f t="shared" si="25"/>
        <v>0</v>
      </c>
      <c r="AR62" s="47"/>
      <c r="AS62" s="188" t="e">
        <f t="shared" si="26"/>
        <v>#REF!</v>
      </c>
      <c r="AT62" s="42" t="e">
        <f t="shared" si="26"/>
        <v>#REF!</v>
      </c>
      <c r="AU62" s="40">
        <f t="shared" si="27"/>
        <v>0</v>
      </c>
      <c r="AV62" s="43">
        <f t="shared" si="28"/>
        <v>0</v>
      </c>
      <c r="AW62" s="43" t="str">
        <f t="shared" si="29"/>
        <v>-</v>
      </c>
      <c r="AX62" s="52"/>
      <c r="AY62" s="189" t="e">
        <f>Таблица43832323[[#This Row],[Адрес дефекта, км +]]</f>
        <v>#REF!</v>
      </c>
      <c r="AZ62" s="190" t="str">
        <f>Таблица43832323[[#This Row],[Столбец55]]</f>
        <v>-</v>
      </c>
      <c r="BA62" s="191">
        <f>Таблица43832323[[#This Row],[Столбец59]]</f>
        <v>0.5</v>
      </c>
      <c r="BB62" s="101"/>
      <c r="BC62" s="52"/>
      <c r="BD62" s="187" t="e">
        <f>Таблица43832323[[#This Row],[Адрес дефекта, км +]]</f>
        <v>#REF!</v>
      </c>
      <c r="BE62" s="41">
        <f>ROUND(1-((5-Таблица43832323[[#This Row],[Балл минимальный]])/10),2)</f>
        <v>0.5</v>
      </c>
      <c r="BF62" s="40">
        <f t="shared" si="30"/>
        <v>110</v>
      </c>
    </row>
    <row r="63" spans="1:58" ht="18" x14ac:dyDescent="0.2">
      <c r="A63" s="185"/>
      <c r="B63" s="185"/>
      <c r="C63" s="36">
        <f t="shared" si="22"/>
        <v>0</v>
      </c>
      <c r="D63" s="186"/>
      <c r="E63" s="29"/>
      <c r="F63" s="29"/>
      <c r="G63" s="29"/>
      <c r="H63" s="29"/>
      <c r="I63" s="29"/>
      <c r="J63" s="29"/>
      <c r="K63" s="29"/>
      <c r="L63" s="29"/>
      <c r="M63" s="155"/>
      <c r="N63" s="30" t="str">
        <f>IFERROR(VLOOKUP(Таблица43832323[[#This Row],[Деф 1]],Лист1!$A$4:$F$60,2,FALSE),"")</f>
        <v/>
      </c>
      <c r="O63" s="30" t="str">
        <f>IFERROR(VLOOKUP(Таблица43832323[[#This Row],[Деф 2]],Лист1!$A$4:$F$60,2,FALSE),"")</f>
        <v/>
      </c>
      <c r="P63" s="30" t="str">
        <f>IFERROR(VLOOKUP(Таблица43832323[[#This Row],[Столбец4]],Лист1!$A$4:$F$60,2,FALSE),"")</f>
        <v/>
      </c>
      <c r="Q63" s="30" t="str">
        <f>IFERROR(VLOOKUP(Таблица43832323[[#This Row],[Столбец5]],Лист1!$A$4:$F$60,2,FALSE),"")</f>
        <v/>
      </c>
      <c r="R63" s="30" t="str">
        <f>IFERROR(VLOOKUP(Таблица43832323[[#This Row],[Столбец6]],Лист1!$A$4:$F$60,2,FALSE),"")</f>
        <v/>
      </c>
      <c r="S63" s="30" t="str">
        <f>IFERROR(VLOOKUP(Таблица43832323[[#This Row],[Столбец7]],Лист1!$A$4:$F$60,2,FALSE),"")</f>
        <v/>
      </c>
      <c r="T63" s="30" t="str">
        <f>IFERROR(VLOOKUP(Таблица43832323[[#This Row],[Столбец8]],Лист1!$A$4:$F$60,2,FALSE),"")</f>
        <v/>
      </c>
      <c r="U63" s="30" t="str">
        <f>IFERROR(VLOOKUP(Таблица43832323[[#This Row],[Столбец9]],Лист1!$A$4:$F$60,2,FALSE),"")</f>
        <v/>
      </c>
      <c r="V63" s="31" t="str">
        <f>IFERROR(VLOOKUP(Таблица43832323[[#This Row],[Деф 1]],Лист1!$A$4:$F$60,3,FALSE),"")</f>
        <v/>
      </c>
      <c r="W63" s="31" t="str">
        <f>IFERROR(VLOOKUP(Таблица43832323[[#This Row],[Деф 2]],Лист1!$A$4:$F$60,3,FALSE),"")</f>
        <v/>
      </c>
      <c r="X63" s="31" t="str">
        <f>IFERROR(VLOOKUP(Таблица43832323[[#This Row],[Столбец4]],Лист1!$A$4:$F$60,3,FALSE),"")</f>
        <v/>
      </c>
      <c r="Y63" s="31" t="str">
        <f>IFERROR(VLOOKUP(Таблица43832323[[#This Row],[Столбец5]],Лист1!$A$4:$F$60,3,FALSE),"")</f>
        <v/>
      </c>
      <c r="Z63" s="31" t="str">
        <f>IFERROR(VLOOKUP(Таблица43832323[[#This Row],[Столбец6]],Лист1!$A$4:$F$60,3,FALSE),"")</f>
        <v/>
      </c>
      <c r="AA63" s="31" t="str">
        <f>IFERROR(VLOOKUP(Таблица43832323[[#This Row],[Столбец7]],Лист1!$A$4:$F$60,3,FALSE),"")</f>
        <v/>
      </c>
      <c r="AB63" s="31" t="str">
        <f>IFERROR(VLOOKUP(Таблица43832323[[#This Row],[Столбец8]],Лист1!$A$4:$F$60,3,FALSE),"")</f>
        <v/>
      </c>
      <c r="AC63" s="31" t="str">
        <f>IFERROR(VLOOKUP(Таблица43832323[[#This Row],[Столбец9]],Лист1!$A$4:$F$60,3,FALSE),"")</f>
        <v/>
      </c>
      <c r="AD63" s="51" t="e">
        <f t="shared" ref="AD63:AD64" si="31">ROUND(AE62,3)</f>
        <v>#REF!</v>
      </c>
      <c r="AE63" s="32" t="e">
        <f t="shared" ref="AE63:AE64" si="32">ROUND(AD63+C63,3)</f>
        <v>#REF!</v>
      </c>
      <c r="AF63" s="33" t="e">
        <f t="shared" ref="AF63:AF64" si="33">ROUND(ROUNDDOWN(AD63,0),0)</f>
        <v>#REF!</v>
      </c>
      <c r="AG63" s="33" t="e">
        <f t="shared" ref="AG63:AG64" si="34">ROUND((AD63-AF63)*1000,0)</f>
        <v>#REF!</v>
      </c>
      <c r="AH63" s="33" t="e">
        <f t="shared" ref="AH63:AH64" si="35">ROUND(ROUNDDOWN(AE63,0),0)</f>
        <v>#REF!</v>
      </c>
      <c r="AI63" s="34" t="e">
        <f t="shared" ref="AI63:AI64" si="36">ROUND((AE63-AH63)*1000,0)</f>
        <v>#REF!</v>
      </c>
      <c r="AJ63" s="34" t="e">
        <f>IF(Таблица43832323[[#This Row],[Столбец42]]=0,"000",Таблица43832323[[#This Row],[Столбец42]])</f>
        <v>#REF!</v>
      </c>
      <c r="AK63" s="34" t="e">
        <f>IF(Таблица43832323[[#This Row],[Столбец44]]=0,"000",Таблица43832323[[#This Row],[Столбец44]])</f>
        <v>#REF!</v>
      </c>
      <c r="AL63" s="52"/>
      <c r="AM63" s="187" t="e">
        <f t="shared" si="23"/>
        <v>#REF!</v>
      </c>
      <c r="AN63" s="44" t="str">
        <f>IF(ISBLANK(Таблица43832323[[#This Row],[Столбец9]]),N63&amp;O63&amp;P63&amp;Q63&amp;R63&amp;S63&amp;T63&amp;U63,N63&amp;O63&amp;P63&amp;Q63&amp;R63&amp;S63&amp;T63&amp;U63&amp;";")</f>
        <v/>
      </c>
      <c r="AO63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63" s="53">
        <f t="shared" si="24"/>
        <v>0</v>
      </c>
      <c r="AQ63" s="34">
        <f t="shared" si="25"/>
        <v>0</v>
      </c>
      <c r="AR63" s="47"/>
      <c r="AS63" s="188" t="e">
        <f t="shared" si="26"/>
        <v>#REF!</v>
      </c>
      <c r="AT63" s="42" t="e">
        <f t="shared" si="26"/>
        <v>#REF!</v>
      </c>
      <c r="AU63" s="40">
        <f t="shared" si="27"/>
        <v>0</v>
      </c>
      <c r="AV63" s="43">
        <f t="shared" si="28"/>
        <v>0</v>
      </c>
      <c r="AW63" s="43" t="str">
        <f t="shared" si="29"/>
        <v>-</v>
      </c>
      <c r="AX63" s="52"/>
      <c r="AY63" s="189" t="e">
        <f>Таблица43832323[[#This Row],[Адрес дефекта, км +]]</f>
        <v>#REF!</v>
      </c>
      <c r="AZ63" s="190" t="str">
        <f>Таблица43832323[[#This Row],[Столбец55]]</f>
        <v>-</v>
      </c>
      <c r="BA63" s="191">
        <f>Таблица43832323[[#This Row],[Столбец59]]</f>
        <v>0.5</v>
      </c>
      <c r="BB63" s="101"/>
      <c r="BC63" s="52"/>
      <c r="BD63" s="187" t="e">
        <f>Таблица43832323[[#This Row],[Адрес дефекта, км +]]</f>
        <v>#REF!</v>
      </c>
      <c r="BE63" s="41">
        <f>ROUND(1-((5-Таблица43832323[[#This Row],[Балл минимальный]])/10),2)</f>
        <v>0.5</v>
      </c>
      <c r="BF63" s="40">
        <f t="shared" si="30"/>
        <v>110</v>
      </c>
    </row>
    <row r="64" spans="1:58" ht="18" x14ac:dyDescent="0.2">
      <c r="A64" s="73"/>
      <c r="B64" s="73"/>
      <c r="C64" s="74">
        <f t="shared" si="22"/>
        <v>0</v>
      </c>
      <c r="D64" s="192"/>
      <c r="E64" s="54"/>
      <c r="F64" s="54"/>
      <c r="G64" s="54"/>
      <c r="H64" s="54"/>
      <c r="I64" s="54"/>
      <c r="J64" s="54"/>
      <c r="K64" s="54"/>
      <c r="L64" s="54"/>
      <c r="M64" s="156"/>
      <c r="N64" s="75" t="str">
        <f>IFERROR(VLOOKUP(Таблица43832323[[#This Row],[Деф 1]],Лист1!$A$4:$F$60,2,FALSE),"")</f>
        <v/>
      </c>
      <c r="O64" s="75" t="str">
        <f>IFERROR(VLOOKUP(Таблица43832323[[#This Row],[Деф 2]],Лист1!$A$4:$F$60,2,FALSE),"")</f>
        <v/>
      </c>
      <c r="P64" s="75" t="str">
        <f>IFERROR(VLOOKUP(Таблица43832323[[#This Row],[Столбец4]],Лист1!$A$4:$F$60,2,FALSE),"")</f>
        <v/>
      </c>
      <c r="Q64" s="75" t="str">
        <f>IFERROR(VLOOKUP(Таблица43832323[[#This Row],[Столбец5]],Лист1!$A$4:$F$60,2,FALSE),"")</f>
        <v/>
      </c>
      <c r="R64" s="75" t="str">
        <f>IFERROR(VLOOKUP(Таблица43832323[[#This Row],[Столбец6]],Лист1!$A$4:$F$60,2,FALSE),"")</f>
        <v/>
      </c>
      <c r="S64" s="75" t="str">
        <f>IFERROR(VLOOKUP(Таблица43832323[[#This Row],[Столбец7]],Лист1!$A$4:$F$60,2,FALSE),"")</f>
        <v/>
      </c>
      <c r="T64" s="75" t="str">
        <f>IFERROR(VLOOKUP(Таблица43832323[[#This Row],[Столбец8]],Лист1!$A$4:$F$60,2,FALSE),"")</f>
        <v/>
      </c>
      <c r="U64" s="75" t="str">
        <f>IFERROR(VLOOKUP(Таблица43832323[[#This Row],[Столбец9]],Лист1!$A$4:$F$60,2,FALSE),"")</f>
        <v/>
      </c>
      <c r="V64" s="76" t="str">
        <f>IFERROR(VLOOKUP(Таблица43832323[[#This Row],[Деф 1]],Лист1!$A$4:$F$60,3,FALSE),"")</f>
        <v/>
      </c>
      <c r="W64" s="76" t="str">
        <f>IFERROR(VLOOKUP(Таблица43832323[[#This Row],[Деф 2]],Лист1!$A$4:$F$60,3,FALSE),"")</f>
        <v/>
      </c>
      <c r="X64" s="76" t="str">
        <f>IFERROR(VLOOKUP(Таблица43832323[[#This Row],[Столбец4]],Лист1!$A$4:$F$60,3,FALSE),"")</f>
        <v/>
      </c>
      <c r="Y64" s="76" t="str">
        <f>IFERROR(VLOOKUP(Таблица43832323[[#This Row],[Столбец5]],Лист1!$A$4:$F$60,3,FALSE),"")</f>
        <v/>
      </c>
      <c r="Z64" s="76" t="str">
        <f>IFERROR(VLOOKUP(Таблица43832323[[#This Row],[Столбец6]],Лист1!$A$4:$F$60,3,FALSE),"")</f>
        <v/>
      </c>
      <c r="AA64" s="76" t="str">
        <f>IFERROR(VLOOKUP(Таблица43832323[[#This Row],[Столбец7]],Лист1!$A$4:$F$60,3,FALSE),"")</f>
        <v/>
      </c>
      <c r="AB64" s="76" t="str">
        <f>IFERROR(VLOOKUP(Таблица43832323[[#This Row],[Столбец8]],Лист1!$A$4:$F$60,3,FALSE),"")</f>
        <v/>
      </c>
      <c r="AC64" s="76" t="str">
        <f>IFERROR(VLOOKUP(Таблица43832323[[#This Row],[Столбец9]],Лист1!$A$4:$F$60,3,FALSE),"")</f>
        <v/>
      </c>
      <c r="AD64" s="51" t="e">
        <f t="shared" si="31"/>
        <v>#REF!</v>
      </c>
      <c r="AE64" s="32" t="e">
        <f t="shared" si="32"/>
        <v>#REF!</v>
      </c>
      <c r="AF64" s="33" t="e">
        <f t="shared" si="33"/>
        <v>#REF!</v>
      </c>
      <c r="AG64" s="33" t="e">
        <f t="shared" si="34"/>
        <v>#REF!</v>
      </c>
      <c r="AH64" s="33" t="e">
        <f t="shared" si="35"/>
        <v>#REF!</v>
      </c>
      <c r="AI64" s="34" t="e">
        <f t="shared" si="36"/>
        <v>#REF!</v>
      </c>
      <c r="AJ64" s="34" t="e">
        <f>IF(Таблица43832323[[#This Row],[Столбец42]]=0,"000",Таблица43832323[[#This Row],[Столбец42]])</f>
        <v>#REF!</v>
      </c>
      <c r="AK64" s="34" t="e">
        <f>IF(Таблица43832323[[#This Row],[Столбец44]]=0,"000",Таблица43832323[[#This Row],[Столбец44]])</f>
        <v>#REF!</v>
      </c>
      <c r="AL64" s="52"/>
      <c r="AM64" s="77" t="e">
        <f t="shared" si="23"/>
        <v>#REF!</v>
      </c>
      <c r="AN64" s="78" t="str">
        <f>IF(ISBLANK(Таблица43832323[[#This Row],[Столбец9]]),N64&amp;O64&amp;P64&amp;Q64&amp;R64&amp;S64&amp;T64&amp;U64,N64&amp;O64&amp;P64&amp;Q64&amp;R64&amp;S64&amp;T64&amp;U64&amp;";")</f>
        <v/>
      </c>
      <c r="AO64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64" s="53">
        <f t="shared" si="24"/>
        <v>0</v>
      </c>
      <c r="AQ64" s="34">
        <f t="shared" si="25"/>
        <v>0</v>
      </c>
      <c r="AR64" s="47"/>
      <c r="AS64" s="79" t="e">
        <f t="shared" si="26"/>
        <v>#REF!</v>
      </c>
      <c r="AT64" s="80" t="e">
        <f t="shared" si="26"/>
        <v>#REF!</v>
      </c>
      <c r="AU64" s="81">
        <f t="shared" si="27"/>
        <v>0</v>
      </c>
      <c r="AV64" s="82">
        <f t="shared" si="28"/>
        <v>0</v>
      </c>
      <c r="AW64" s="82" t="str">
        <f t="shared" si="29"/>
        <v>-</v>
      </c>
      <c r="AX64" s="52"/>
      <c r="AY64" s="193" t="e">
        <f>Таблица43832323[[#This Row],[Адрес дефекта, км +]]</f>
        <v>#REF!</v>
      </c>
      <c r="AZ64" s="194" t="str">
        <f>Таблица43832323[[#This Row],[Столбец55]]</f>
        <v>-</v>
      </c>
      <c r="BA64" s="195">
        <f>Таблица43832323[[#This Row],[Столбец59]]</f>
        <v>0.5</v>
      </c>
      <c r="BB64" s="101"/>
      <c r="BC64" s="52"/>
      <c r="BD64" s="77" t="e">
        <f>Таблица43832323[[#This Row],[Адрес дефекта, км +]]</f>
        <v>#REF!</v>
      </c>
      <c r="BE64" s="83">
        <f>ROUND(1-((5-Таблица43832323[[#This Row],[Балл минимальный]])/10),2)</f>
        <v>0.5</v>
      </c>
      <c r="BF64" s="81">
        <f t="shared" si="30"/>
        <v>110</v>
      </c>
    </row>
  </sheetData>
  <dataConsolidate/>
  <mergeCells count="16"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  <mergeCell ref="C5:D5"/>
    <mergeCell ref="G5:J5"/>
    <mergeCell ref="K5:L5"/>
    <mergeCell ref="D6:E6"/>
    <mergeCell ref="AM6:AO7"/>
    <mergeCell ref="D7:E7"/>
  </mergeCells>
  <dataValidations disablePrompts="1" count="2">
    <dataValidation type="list" allowBlank="1" showInputMessage="1" showErrorMessage="1" sqref="B3" xr:uid="{00000000-0002-0000-0400-000000000000}">
      <formula1>"дорога,улица,подъезд"</formula1>
    </dataValidation>
    <dataValidation type="list" allowBlank="1" showInputMessage="1" showErrorMessage="1" sqref="E2" xr:uid="{00000000-0002-0000-0400-000001000000}">
      <formula1>"капитальная,облегченная"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CFF"/>
  </sheetPr>
  <dimension ref="A1:BF31"/>
  <sheetViews>
    <sheetView zoomScale="85" zoomScaleNormal="85" workbookViewId="0">
      <selection activeCell="K2" sqref="K2:L2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278</v>
      </c>
      <c r="C1" s="48" t="str">
        <f>VLOOKUP(B1,ИД!D2:R140,2,FALSE)</f>
        <v>Северо-Западный подъезд к ст. Мискин</v>
      </c>
      <c r="D1" s="50"/>
      <c r="E1" s="49"/>
      <c r="O1" s="28" t="str">
        <f>TRIM(RIGHT(SUBSTITUTE(E3,",",REPT(" ",5)),5))</f>
        <v>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местной</v>
      </c>
      <c r="C2" s="232" t="s">
        <v>82</v>
      </c>
      <c r="D2" s="232"/>
      <c r="E2" s="39" t="s">
        <v>161</v>
      </c>
      <c r="F2" s="37"/>
      <c r="G2" s="235" t="s">
        <v>85</v>
      </c>
      <c r="H2" s="235"/>
      <c r="I2" s="235"/>
      <c r="J2" s="235"/>
      <c r="K2" s="236" t="e">
        <f>ROUND(SUM(Таблица43832323461213[Б*l])/(SUM(Таблица43832323461213[Прот])-$E$4),1)</f>
        <v>#DIV/0!</v>
      </c>
      <c r="L2" s="236"/>
      <c r="N2" s="38">
        <f>VLOOKUP(B1,ИД!D2:R140,12,FALSE)</f>
        <v>3</v>
      </c>
      <c r="O2" s="28" t="str">
        <f>LOWER(LEFT(C1,1))&amp;RIGHT(C1,LEN(C1)-1)</f>
        <v>северо-Западный подъезд к ст. Мискин</v>
      </c>
      <c r="AM2" s="231" t="e">
        <f>CONCATENATE(Лист1!B81,K2,Лист1!B82,K4,Лист1!B83,O3)</f>
        <v>#DIV/0!</v>
      </c>
      <c r="AN2" s="231"/>
      <c r="AO2" s="231"/>
    </row>
    <row r="3" spans="1:58" ht="46.25" customHeight="1" x14ac:dyDescent="0.3">
      <c r="B3" s="100" t="s">
        <v>136</v>
      </c>
      <c r="C3" s="241" t="s">
        <v>83</v>
      </c>
      <c r="D3" s="241"/>
      <c r="E3" s="151" t="str">
        <f>VLOOKUP(B1,ИД!D2:R140,3,FALSE)</f>
        <v>V</v>
      </c>
      <c r="G3" s="233" t="s">
        <v>90</v>
      </c>
      <c r="H3" s="233"/>
      <c r="I3" s="233"/>
      <c r="J3" s="233"/>
      <c r="K3" s="238">
        <f>SUM(Таблица43832323461213[Прот])</f>
        <v>0.6</v>
      </c>
      <c r="L3" s="238"/>
      <c r="N3" s="38">
        <f>VLOOKUP(O1,Лист1!A63:C68,2,FALSE)</f>
        <v>0.5</v>
      </c>
      <c r="O3" s="28" t="e">
        <f>IF(4&lt;K2,Лист1!B75,IF(3&lt;K2,Лист1!B76,IF(2&lt;K2,Лист1!B77,Лист1!B78)))</f>
        <v>#DIV/0!</v>
      </c>
      <c r="AM3" s="231"/>
      <c r="AN3" s="231"/>
      <c r="AO3" s="231"/>
      <c r="AU3" s="72" t="s">
        <v>135</v>
      </c>
    </row>
    <row r="4" spans="1:58" ht="26" x14ac:dyDescent="0.3">
      <c r="B4" s="100">
        <f>VLOOKUP(B1,ИД!D2:R140,9,FALSE)</f>
        <v>0.6</v>
      </c>
      <c r="C4" s="230" t="s">
        <v>86</v>
      </c>
      <c r="D4" s="230"/>
      <c r="E4" s="39">
        <v>0.6</v>
      </c>
      <c r="G4" s="233" t="s">
        <v>120</v>
      </c>
      <c r="H4" s="233"/>
      <c r="I4" s="233"/>
      <c r="J4" s="233"/>
      <c r="K4" s="234" t="e">
        <f>ROUND(0.5+K2/10,2)</f>
        <v>#DIV/0!</v>
      </c>
      <c r="L4" s="234"/>
      <c r="N4" s="38">
        <f>VLOOKUP(O1,Лист1!A63:C68,3,FALSE)</f>
        <v>110</v>
      </c>
      <c r="AM4" s="231"/>
      <c r="AN4" s="231"/>
      <c r="AO4" s="231"/>
    </row>
    <row r="5" spans="1:58" ht="35" thickBot="1" x14ac:dyDescent="0.35">
      <c r="B5" s="100" t="str">
        <f>VLOOKUP(B1,ИД!D2:R140,4,FALSE)</f>
        <v>щебенистый грунт</v>
      </c>
      <c r="C5" s="230" t="s">
        <v>95</v>
      </c>
      <c r="D5" s="230"/>
      <c r="E5" s="39"/>
      <c r="G5" s="239" t="s">
        <v>88</v>
      </c>
      <c r="H5" s="239"/>
      <c r="I5" s="239"/>
      <c r="J5" s="239"/>
      <c r="K5" s="240">
        <f>VLOOKUP(B1,ИД!D2:R140,10,FALSE)</f>
        <v>0</v>
      </c>
      <c r="L5" s="240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25 представляет собой участок местной автомобильной дороги «Северо-Западный подъезд к ст. Мискин», который начинается от автомобильной дороги А-380 «Гузор-Бухоро-Нукус-Бейнеу» и следует до местной дороги "Подъезд к ж.д. пути № 20 ".</v>
      </c>
      <c r="AM5" s="66"/>
      <c r="AN5" s="66"/>
      <c r="AO5" s="66"/>
    </row>
    <row r="6" spans="1:58" ht="26" x14ac:dyDescent="0.3">
      <c r="B6" s="100">
        <f>VLOOKUP(B1,ИД!D2:R140,8,FALSE)</f>
        <v>7.5</v>
      </c>
      <c r="C6" s="69" t="s">
        <v>128</v>
      </c>
      <c r="D6" s="222" t="str">
        <f>VLOOKUP(B1,ИД!D2:R140,14,FALSE)</f>
        <v>автомобильной дороги А-380 «Гузор-Бухоро-Нукус-Бейнеу»</v>
      </c>
      <c r="E6" s="223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25 представляет собой участок  Северо-Западный подъезд к ст. Мискин, который начинается от автомобильной дороги А-380 «Гузор-Бухоро-Нукус-Бейнеу» и следует до местной дороги "Подъезд к ж.д. пути № 20 ".</v>
      </c>
      <c r="AM6" s="224" t="str">
        <f>VLOOKUP(B3,N5:O7,2,FALSE)</f>
        <v>Маршрут № У 25 представляет собой участок местной автомобильной дороги «Северо-Западный подъезд к ст. Мискин», который начинается от автомобильной дороги А-380 «Гузор-Бухоро-Нукус-Бейнеу» и следует до местной дороги "Подъезд к ж.д. пути № 20 ".</v>
      </c>
      <c r="AN6" s="225"/>
      <c r="AO6" s="226"/>
    </row>
    <row r="7" spans="1:58" ht="27" thickBot="1" x14ac:dyDescent="0.35">
      <c r="B7" s="100" t="str">
        <f>VLOOKUP(B1,ИД!D2:R140,11,FALSE)</f>
        <v>местная</v>
      </c>
      <c r="C7" s="69" t="s">
        <v>129</v>
      </c>
      <c r="D7" s="230" t="str">
        <f>VLOOKUP(B1,ИД!D2:R140,15,FALSE)</f>
        <v>местной дороги "Подъезд к ж.д. пути № 20 "</v>
      </c>
      <c r="E7" s="230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25 представляет собой северо-Западный подъезд к ст. Мискин от автомобильной дороги А-380 «Гузор-Бухоро-Нукус-Бейнеу».</v>
      </c>
      <c r="AM7" s="227"/>
      <c r="AN7" s="228"/>
      <c r="AO7" s="229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48.75" customHeight="1" x14ac:dyDescent="0.2">
      <c r="A12" s="55">
        <v>0</v>
      </c>
      <c r="B12" s="55">
        <v>0.6</v>
      </c>
      <c r="C12" s="36">
        <f>B12-A12</f>
        <v>0.6</v>
      </c>
      <c r="D12" s="56">
        <v>7.5</v>
      </c>
      <c r="E12" s="57" t="s">
        <v>185</v>
      </c>
      <c r="F12" s="57" t="s">
        <v>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IFERROR(VLOOKUP(Таблица43832323461213[[#This Row],[Деф 1]],Лист1!$A$4:$F$60,2,FALSE),"")</f>
        <v xml:space="preserve">без дефектов; </v>
      </c>
      <c r="O12" s="30" t="str">
        <f>IFERROR(VLOOKUP(Таблица43832323461213[[#This Row],[Деф 2]],Лист1!$A$4:$F$60,2,FALSE),"")</f>
        <v/>
      </c>
      <c r="P12" s="30" t="str">
        <f>IFERROR(VLOOKUP(Таблица43832323461213[[#This Row],[Столбец4]],Лист1!$A$4:$F$60,2,FALSE),"")</f>
        <v/>
      </c>
      <c r="Q12" s="30" t="str">
        <f>IFERROR(VLOOKUP(Таблица43832323461213[[#This Row],[Столбец5]],Лист1!$A$4:$F$60,2,FALSE),"")</f>
        <v/>
      </c>
      <c r="R12" s="30" t="str">
        <f>IFERROR(VLOOKUP(Таблица43832323461213[[#This Row],[Столбец6]],Лист1!$A$4:$F$60,2,FALSE),"")</f>
        <v/>
      </c>
      <c r="S12" s="30" t="str">
        <f>IFERROR(VLOOKUP(Таблица43832323461213[[#This Row],[Столбец7]],Лист1!$A$4:$F$60,2,FALSE),"")</f>
        <v/>
      </c>
      <c r="T12" s="30" t="str">
        <f>IFERROR(VLOOKUP(Таблица43832323461213[[#This Row],[Столбец8]],Лист1!$A$4:$F$60,2,FALSE),"")</f>
        <v/>
      </c>
      <c r="U12" s="75" t="str">
        <f>IFERROR(VLOOKUP(Таблица43832323461213[[#This Row],[Столбец9]],Лист1!$A$4:$F$60,2,FALSE),"")</f>
        <v/>
      </c>
      <c r="V12" s="31">
        <f>IFERROR(VLOOKUP(Таблица43832323461213[[#This Row],[Деф 1]],Лист1!$A$4:$F$60,3,FALSE),"")</f>
        <v>5</v>
      </c>
      <c r="W12" s="31" t="str">
        <f>IFERROR(VLOOKUP(Таблица43832323461213[[#This Row],[Деф 2]],Лист1!$A$4:$F$60,3,FALSE),"")</f>
        <v/>
      </c>
      <c r="X12" s="31" t="str">
        <f>IFERROR(VLOOKUP(Таблица43832323461213[[#This Row],[Столбец4]],Лист1!$A$4:$F$60,3,FALSE),"")</f>
        <v/>
      </c>
      <c r="Y12" s="31" t="str">
        <f>IFERROR(VLOOKUP(Таблица43832323461213[[#This Row],[Столбец5]],Лист1!$A$4:$F$60,3,FALSE),"")</f>
        <v/>
      </c>
      <c r="Z12" s="31" t="str">
        <f>IFERROR(VLOOKUP(Таблица43832323461213[[#This Row],[Столбец6]],Лист1!$A$4:$F$60,3,FALSE),"")</f>
        <v/>
      </c>
      <c r="AA12" s="31" t="str">
        <f>IFERROR(VLOOKUP(Таблица43832323461213[[#This Row],[Столбец7]],Лист1!$A$4:$F$60,3,FALSE),"")</f>
        <v/>
      </c>
      <c r="AB12" s="31" t="str">
        <f>IFERROR(VLOOKUP(Таблица43832323461213[[#This Row],[Столбец8]],Лист1!$A$4:$F$60,3,FALSE),"")</f>
        <v/>
      </c>
      <c r="AC12" s="31" t="str">
        <f>IFERROR(VLOOKUP(Таблица43832323461213[[#This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0.6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600</v>
      </c>
      <c r="AJ12" s="34" t="str">
        <f>IF(Таблица43832323461213[[#This Row],[Столбец42]]=0,"000",Таблица43832323461213[[#This Row],[Столбец42]])</f>
        <v>000</v>
      </c>
      <c r="AK12" s="34">
        <f>IF(Таблица43832323461213[[#This Row],[Столбец44]]=0,"000",Таблица43832323461213[[#This Row],[Столбец44]])</f>
        <v>600</v>
      </c>
      <c r="AL12" s="45"/>
      <c r="AM12" s="40" t="str">
        <f t="shared" ref="AM12" si="6">CONCATENATE("км ",AF12,"+",AJ12," - км ",AH12,"+",AK12)</f>
        <v>км 0+000 - км 0+600</v>
      </c>
      <c r="AN12" s="44" t="str">
        <f>IF(ISBLANK(Таблица43832323461213[[#This Row],[Столбец9]]),N12&amp;O12&amp;P12&amp;Q12&amp;R12&amp;S12&amp;T12&amp;U12,N12&amp;O12&amp;P12&amp;Q12&amp;R12&amp;S12&amp;T12&amp;U12&amp;";")</f>
        <v xml:space="preserve">без дефектов; </v>
      </c>
      <c r="AO12" s="44" t="str">
        <f>UPPER(LEFT(Таблица43832323461213[[#This Row],[Столбец48]],1))&amp;RIGHT(LOWER(Таблица43832323461213[[#This Row],[Столбец48]]),LEN(Таблица43832323461213[[#This Row],[Столбец48]])-1)</f>
        <v xml:space="preserve">Без дефектов; </v>
      </c>
      <c r="AP12" s="35">
        <f>MIN(V12:AC12)</f>
        <v>5</v>
      </c>
      <c r="AQ12" s="34">
        <f>AP12*$C12</f>
        <v>3</v>
      </c>
      <c r="AR12" s="46"/>
      <c r="AS12" s="42">
        <f t="shared" ref="AS12:AT12" si="7">AD12</f>
        <v>0</v>
      </c>
      <c r="AT12" s="42">
        <f t="shared" si="7"/>
        <v>0.6</v>
      </c>
      <c r="AU12" s="40" t="str">
        <f t="shared" ref="AU12" si="8">E12</f>
        <v>щебенистый грунт</v>
      </c>
      <c r="AV12" s="43">
        <f t="shared" ref="AV12" si="9">D12</f>
        <v>7.5</v>
      </c>
      <c r="AW12" s="43">
        <f t="shared" ref="AW12" si="10">IF(AP12=0,"-",AP12)</f>
        <v>5</v>
      </c>
      <c r="AX12" s="45"/>
      <c r="AY12" s="42" t="str">
        <f>Таблица43832323461213[[#This Row],[Адрес дефекта, км +]]</f>
        <v>км 0+000 - км 0+600</v>
      </c>
      <c r="AZ12" s="43">
        <f>Таблица43832323461213[[#This Row],[Столбец55]]</f>
        <v>5</v>
      </c>
      <c r="BA12" s="41">
        <f>Таблица43832323461213[[#This Row],[Столбец59]]</f>
        <v>1</v>
      </c>
      <c r="BB12" s="45"/>
      <c r="BC12" s="45"/>
      <c r="BD12" s="40" t="str">
        <f>Таблица43832323461213[[#This Row],[Адрес дефекта, км +]]</f>
        <v>км 0+000 - км 0+600</v>
      </c>
      <c r="BE12" s="41">
        <f>ROUND(1-((5-Таблица43832323461213[[#This Row],[Балл минимальный]])/10),2)</f>
        <v>1</v>
      </c>
      <c r="BF12" s="40">
        <f t="shared" ref="BF12" si="11">ROUND(BE12*$N$4,0)</f>
        <v>110</v>
      </c>
    </row>
    <row r="13" spans="1:58" ht="29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5:D5"/>
    <mergeCell ref="G5:J5"/>
    <mergeCell ref="K5:L5"/>
    <mergeCell ref="D6:E6"/>
    <mergeCell ref="AM6:AO7"/>
    <mergeCell ref="D7:E7"/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</mergeCells>
  <dataValidations count="2">
    <dataValidation type="list" allowBlank="1" showInputMessage="1" showErrorMessage="1" sqref="B3" xr:uid="{00000000-0002-0000-0E00-000000000000}">
      <formula1>"дорога,улица,подъезд"</formula1>
    </dataValidation>
    <dataValidation type="list" allowBlank="1" showInputMessage="1" showErrorMessage="1" sqref="E2" xr:uid="{00000000-0002-0000-0E00-000001000000}">
      <formula1>"капитальная,облегченная"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CFF"/>
  </sheetPr>
  <dimension ref="A1:BF31"/>
  <sheetViews>
    <sheetView workbookViewId="0">
      <selection activeCell="F12" sqref="F12:F31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279</v>
      </c>
      <c r="C1" s="48" t="str">
        <f>VLOOKUP(B1,ИД!D2:R140,2,FALSE)</f>
        <v>Подъезд к восточному карьеру р. Амударья</v>
      </c>
      <c r="D1" s="50"/>
      <c r="E1" s="49"/>
      <c r="O1" s="28" t="str">
        <f>TRIM(RIGHT(SUBSTITUTE(E3,",",REPT(" ",5)),5))</f>
        <v>б.к.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местной</v>
      </c>
      <c r="C2" s="232" t="s">
        <v>82</v>
      </c>
      <c r="D2" s="232"/>
      <c r="E2" s="39" t="s">
        <v>161</v>
      </c>
      <c r="F2" s="37"/>
      <c r="G2" s="235" t="s">
        <v>85</v>
      </c>
      <c r="H2" s="235"/>
      <c r="I2" s="235"/>
      <c r="J2" s="235"/>
      <c r="K2" s="236" t="e">
        <f>ROUND(SUM(Таблица43832323461213141517[Б*l])/(SUM(Таблица43832323461213141517[Прот])-$E$4),1)</f>
        <v>#DIV/0!</v>
      </c>
      <c r="L2" s="236"/>
      <c r="N2" s="38">
        <f>VLOOKUP(B1,ИД!D2:R140,12,FALSE)</f>
        <v>3</v>
      </c>
      <c r="O2" s="28" t="str">
        <f>LOWER(LEFT(C1,1))&amp;RIGHT(C1,LEN(C1)-1)</f>
        <v>подъезд к восточному карьеру р. Амударья</v>
      </c>
      <c r="AM2" s="231" t="e">
        <f>CONCATENATE(Лист1!B81,K2,Лист1!B82,K4,Лист1!B83,O3)</f>
        <v>#DIV/0!</v>
      </c>
      <c r="AN2" s="231"/>
      <c r="AO2" s="231"/>
    </row>
    <row r="3" spans="1:58" ht="46.25" customHeight="1" x14ac:dyDescent="0.3">
      <c r="B3" s="100" t="s">
        <v>136</v>
      </c>
      <c r="C3" s="241" t="s">
        <v>83</v>
      </c>
      <c r="D3" s="241"/>
      <c r="E3" s="151" t="str">
        <f>VLOOKUP(B1,ИД!D2:R140,3,FALSE)</f>
        <v>б.к.</v>
      </c>
      <c r="G3" s="233" t="s">
        <v>90</v>
      </c>
      <c r="H3" s="233"/>
      <c r="I3" s="233"/>
      <c r="J3" s="233"/>
      <c r="K3" s="238">
        <f>SUM(Таблица43832323461213141517[Прот])</f>
        <v>0.6</v>
      </c>
      <c r="L3" s="238"/>
      <c r="N3" s="38" t="e">
        <f>VLOOKUP(O1,Лист1!A63:C68,2,FALSE)</f>
        <v>#N/A</v>
      </c>
      <c r="O3" s="28" t="e">
        <f>IF(4&lt;K2,Лист1!B75,IF(3&lt;K2,Лист1!B76,IF(2&lt;K2,Лист1!B77,Лист1!B78)))</f>
        <v>#DIV/0!</v>
      </c>
      <c r="AM3" s="231"/>
      <c r="AN3" s="231"/>
      <c r="AO3" s="231"/>
      <c r="AU3" s="72" t="s">
        <v>135</v>
      </c>
    </row>
    <row r="4" spans="1:58" ht="26" x14ac:dyDescent="0.3">
      <c r="B4" s="100">
        <f>VLOOKUP(B1,ИД!D2:R140,9,FALSE)</f>
        <v>0.6</v>
      </c>
      <c r="C4" s="230" t="s">
        <v>86</v>
      </c>
      <c r="D4" s="230"/>
      <c r="E4" s="39">
        <v>0.6</v>
      </c>
      <c r="G4" s="233" t="s">
        <v>120</v>
      </c>
      <c r="H4" s="233"/>
      <c r="I4" s="233"/>
      <c r="J4" s="233"/>
      <c r="K4" s="234" t="e">
        <f>ROUND(0.5+K2/10,2)</f>
        <v>#DIV/0!</v>
      </c>
      <c r="L4" s="234"/>
      <c r="N4" s="38" t="e">
        <f>VLOOKUP(O1,Лист1!A63:C68,3,FALSE)</f>
        <v>#N/A</v>
      </c>
      <c r="AM4" s="231"/>
      <c r="AN4" s="231"/>
      <c r="AO4" s="231"/>
    </row>
    <row r="5" spans="1:58" ht="27" thickBot="1" x14ac:dyDescent="0.35">
      <c r="B5" s="100" t="str">
        <f>VLOOKUP(B1,ИД!D2:R140,4,FALSE)</f>
        <v>грунтовое</v>
      </c>
      <c r="C5" s="230" t="s">
        <v>95</v>
      </c>
      <c r="D5" s="230"/>
      <c r="E5" s="39">
        <v>0</v>
      </c>
      <c r="G5" s="239" t="s">
        <v>88</v>
      </c>
      <c r="H5" s="239"/>
      <c r="I5" s="239"/>
      <c r="J5" s="239"/>
      <c r="K5" s="240">
        <f>VLOOKUP(B1,ИД!D2:R140,10,FALSE)</f>
        <v>0</v>
      </c>
      <c r="L5" s="240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29 представляет собой участок местной автомобильной дороги «Подъезд к восточному карьеру р. Амударья», который начинается от региональной дороги 4К96 и следует до восточного карьера р. Амударья.</v>
      </c>
      <c r="AM5" s="66"/>
      <c r="AN5" s="66"/>
      <c r="AO5" s="66"/>
    </row>
    <row r="6" spans="1:58" ht="26" x14ac:dyDescent="0.3">
      <c r="B6" s="100">
        <f>VLOOKUP(B1,ИД!D2:R140,8,FALSE)</f>
        <v>4</v>
      </c>
      <c r="C6" s="69" t="s">
        <v>128</v>
      </c>
      <c r="D6" s="222" t="str">
        <f>VLOOKUP(B1,ИД!D2:R140,14,FALSE)</f>
        <v>региональной дороги 4К96</v>
      </c>
      <c r="E6" s="223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29 представляет собой участок  Подъезд к восточному карьеру р. Амударья, который начинается от региональной дороги 4К96 и следует до восточного карьера р. Амударья.</v>
      </c>
      <c r="AM6" s="224" t="str">
        <f>VLOOKUP(B3,N5:O7,2,FALSE)</f>
        <v>Маршрут № У 29 представляет собой участок местной автомобильной дороги «Подъезд к восточному карьеру р. Амударья», который начинается от региональной дороги 4К96 и следует до восточного карьера р. Амударья.</v>
      </c>
      <c r="AN6" s="225"/>
      <c r="AO6" s="226"/>
    </row>
    <row r="7" spans="1:58" ht="27" thickBot="1" x14ac:dyDescent="0.35">
      <c r="B7" s="100" t="str">
        <f>VLOOKUP(B1,ИД!D2:R140,11,FALSE)</f>
        <v>местная</v>
      </c>
      <c r="C7" s="69" t="s">
        <v>129</v>
      </c>
      <c r="D7" s="230" t="str">
        <f>VLOOKUP(B1,ИД!D2:R140,15,FALSE)</f>
        <v>восточного карьера р. Амударья</v>
      </c>
      <c r="E7" s="230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29 представляет собой подъезд к восточному карьеру р. Амударья от региональной дороги 4К96.</v>
      </c>
      <c r="AM7" s="227"/>
      <c r="AN7" s="228"/>
      <c r="AO7" s="229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0.6</v>
      </c>
      <c r="C12" s="36">
        <f>B12-A12</f>
        <v>0.6</v>
      </c>
      <c r="D12" s="56">
        <v>4</v>
      </c>
      <c r="E12" s="57" t="s">
        <v>89</v>
      </c>
      <c r="F12" s="57" t="s">
        <v>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IFERROR(VLOOKUP(Таблица43832323461213141517[[#This Row],[Деф 1]],Лист1!$A$4:$F$60,2,FALSE),"")</f>
        <v xml:space="preserve">без дефектов; </v>
      </c>
      <c r="O12" s="30" t="str">
        <f>IFERROR(VLOOKUP(Таблица43832323461213141517[[#This Row],[Деф 2]],Лист1!$A$4:$F$60,2,FALSE),"")</f>
        <v/>
      </c>
      <c r="P12" s="30" t="str">
        <f>IFERROR(VLOOKUP(Таблица43832323461213141517[[#This Row],[Столбец4]],Лист1!$A$4:$F$60,2,FALSE),"")</f>
        <v/>
      </c>
      <c r="Q12" s="30" t="str">
        <f>IFERROR(VLOOKUP(Таблица43832323461213141517[[#This Row],[Столбец5]],Лист1!$A$4:$F$60,2,FALSE),"")</f>
        <v/>
      </c>
      <c r="R12" s="30" t="str">
        <f>IFERROR(VLOOKUP(Таблица43832323461213141517[[#This Row],[Столбец6]],Лист1!$A$4:$F$60,2,FALSE),"")</f>
        <v/>
      </c>
      <c r="S12" s="30" t="str">
        <f>IFERROR(VLOOKUP(Таблица43832323461213141517[[#This Row],[Столбец7]],Лист1!$A$4:$F$60,2,FALSE),"")</f>
        <v/>
      </c>
      <c r="T12" s="30" t="str">
        <f>IFERROR(VLOOKUP(Таблица43832323461213141517[[#This Row],[Столбец8]],Лист1!$A$4:$F$60,2,FALSE),"")</f>
        <v/>
      </c>
      <c r="U12" s="75" t="str">
        <f>IFERROR(VLOOKUP(Таблица43832323461213141517[[#This Row],[Столбец9]],Лист1!$A$4:$F$60,2,FALSE),"")</f>
        <v/>
      </c>
      <c r="V12" s="31">
        <f>IFERROR(VLOOKUP(Таблица43832323461213141517[[#This Row],[Деф 1]],Лист1!$A$4:$F$60,3,FALSE),"")</f>
        <v>5</v>
      </c>
      <c r="W12" s="31" t="str">
        <f>IFERROR(VLOOKUP(Таблица43832323461213141517[[#This Row],[Деф 2]],Лист1!$A$4:$F$60,3,FALSE),"")</f>
        <v/>
      </c>
      <c r="X12" s="31" t="str">
        <f>IFERROR(VLOOKUP(Таблица43832323461213141517[[#This Row],[Столбец4]],Лист1!$A$4:$F$60,3,FALSE),"")</f>
        <v/>
      </c>
      <c r="Y12" s="31" t="str">
        <f>IFERROR(VLOOKUP(Таблица43832323461213141517[[#This Row],[Столбец5]],Лист1!$A$4:$F$60,3,FALSE),"")</f>
        <v/>
      </c>
      <c r="Z12" s="31" t="str">
        <f>IFERROR(VLOOKUP(Таблица43832323461213141517[[#This Row],[Столбец6]],Лист1!$A$4:$F$60,3,FALSE),"")</f>
        <v/>
      </c>
      <c r="AA12" s="31" t="str">
        <f>IFERROR(VLOOKUP(Таблица43832323461213141517[[#This Row],[Столбец7]],Лист1!$A$4:$F$60,3,FALSE),"")</f>
        <v/>
      </c>
      <c r="AB12" s="31" t="str">
        <f>IFERROR(VLOOKUP(Таблица43832323461213141517[[#This Row],[Столбец8]],Лист1!$A$4:$F$60,3,FALSE),"")</f>
        <v/>
      </c>
      <c r="AC12" s="31" t="str">
        <f>IFERROR(VLOOKUP(Таблица43832323461213141517[[#This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0.6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600</v>
      </c>
      <c r="AJ12" s="34" t="str">
        <f>IF(Таблица43832323461213141517[[#This Row],[Столбец42]]=0,"000",Таблица43832323461213141517[[#This Row],[Столбец42]])</f>
        <v>000</v>
      </c>
      <c r="AK12" s="34">
        <f>IF(Таблица43832323461213141517[[#This Row],[Столбец44]]=0,"000",Таблица43832323461213141517[[#This Row],[Столбец44]])</f>
        <v>600</v>
      </c>
      <c r="AL12" s="45"/>
      <c r="AM12" s="40" t="str">
        <f t="shared" ref="AM12" si="6">CONCATENATE("км ",AF12,"+",AJ12," - км ",AH12,"+",AK12)</f>
        <v>км 0+000 - км 0+600</v>
      </c>
      <c r="AN12" s="44" t="str">
        <f>IF(ISBLANK(Таблица43832323461213141517[[#This Row],[Столбец9]]),N12&amp;O12&amp;P12&amp;Q12&amp;R12&amp;S12&amp;T12&amp;U12,N12&amp;O12&amp;P12&amp;Q12&amp;R12&amp;S12&amp;T12&amp;U12&amp;";")</f>
        <v xml:space="preserve">без дефектов; </v>
      </c>
      <c r="AO12" s="44" t="str">
        <f>UPPER(LEFT(Таблица43832323461213141517[[#This Row],[Столбец48]],1))&amp;RIGHT(LOWER(Таблица43832323461213141517[[#This Row],[Столбец48]]),LEN(Таблица43832323461213141517[[#This Row],[Столбец48]])-1)</f>
        <v xml:space="preserve">Без дефектов; </v>
      </c>
      <c r="AP12" s="35">
        <f>MIN(V12:AC12)</f>
        <v>5</v>
      </c>
      <c r="AQ12" s="34">
        <f>AP12*$C12</f>
        <v>3</v>
      </c>
      <c r="AR12" s="46"/>
      <c r="AS12" s="42">
        <f t="shared" ref="AS12:AT12" si="7">AD12</f>
        <v>0</v>
      </c>
      <c r="AT12" s="42">
        <f t="shared" si="7"/>
        <v>0.6</v>
      </c>
      <c r="AU12" s="40" t="str">
        <f t="shared" ref="AU12" si="8">E12</f>
        <v>грунт</v>
      </c>
      <c r="AV12" s="43">
        <f t="shared" ref="AV12" si="9">D12</f>
        <v>4</v>
      </c>
      <c r="AW12" s="43">
        <f t="shared" ref="AW12" si="10">IF(AP12=0,"-",AP12)</f>
        <v>5</v>
      </c>
      <c r="AX12" s="45"/>
      <c r="AY12" s="42" t="str">
        <f>Таблица43832323461213141517[[#This Row],[Адрес дефекта, км +]]</f>
        <v>км 0+000 - км 0+600</v>
      </c>
      <c r="AZ12" s="43">
        <f>Таблица43832323461213141517[[#This Row],[Столбец55]]</f>
        <v>5</v>
      </c>
      <c r="BA12" s="41">
        <f>Таблица43832323461213141517[[#This Row],[Столбец59]]</f>
        <v>1</v>
      </c>
      <c r="BB12" s="45"/>
      <c r="BC12" s="45"/>
      <c r="BD12" s="40" t="str">
        <f>Таблица43832323461213141517[[#This Row],[Адрес дефекта, км +]]</f>
        <v>км 0+000 - км 0+600</v>
      </c>
      <c r="BE12" s="41">
        <f>ROUND(1-((5-Таблица43832323461213141517[[#This Row],[Балл минимальный]])/10),2)</f>
        <v>1</v>
      </c>
      <c r="BF12" s="40" t="e">
        <f t="shared" ref="BF12" si="11">ROUND(BE12*$N$4,0)</f>
        <v>#N/A</v>
      </c>
    </row>
    <row r="13" spans="1:58" ht="29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5:D5"/>
    <mergeCell ref="G5:J5"/>
    <mergeCell ref="K5:L5"/>
    <mergeCell ref="D6:E6"/>
    <mergeCell ref="AM6:AO7"/>
    <mergeCell ref="D7:E7"/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</mergeCells>
  <dataValidations count="2">
    <dataValidation type="list" allowBlank="1" showInputMessage="1" showErrorMessage="1" sqref="E2" xr:uid="{00000000-0002-0000-1200-000000000000}">
      <formula1>"капитальная,облегченная"</formula1>
    </dataValidation>
    <dataValidation type="list" allowBlank="1" showInputMessage="1" showErrorMessage="1" sqref="B3" xr:uid="{00000000-0002-0000-1200-000001000000}">
      <formula1>"дорога,улица,подъезд"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CFF"/>
  </sheetPr>
  <dimension ref="A1:BF31"/>
  <sheetViews>
    <sheetView topLeftCell="AO1" workbookViewId="0">
      <selection activeCell="BA13" sqref="BA13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280</v>
      </c>
      <c r="C1" s="48" t="str">
        <f>VLOOKUP(B1,ИД!D2:R140,2,FALSE)</f>
        <v>Подъезд к карьеру песка № 1</v>
      </c>
      <c r="D1" s="50"/>
      <c r="E1" s="49"/>
      <c r="O1" s="28" t="str">
        <f>TRIM(RIGHT(SUBSTITUTE(E3,",",REPT(" ",5)),5))</f>
        <v>б.к.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местной</v>
      </c>
      <c r="C2" s="232" t="s">
        <v>82</v>
      </c>
      <c r="D2" s="232"/>
      <c r="E2" s="39" t="s">
        <v>161</v>
      </c>
      <c r="F2" s="37"/>
      <c r="G2" s="235" t="s">
        <v>85</v>
      </c>
      <c r="H2" s="235"/>
      <c r="I2" s="235"/>
      <c r="J2" s="235"/>
      <c r="K2" s="236">
        <f>ROUND(SUM(Таблица43832323461213141518[Б*l])/(SUM(Таблица43832323461213141518[Прот])-$E$4),1)</f>
        <v>2.2000000000000002</v>
      </c>
      <c r="L2" s="236"/>
      <c r="N2" s="38">
        <f>VLOOKUP(B1,ИД!D2:R140,12,FALSE)</f>
        <v>3</v>
      </c>
      <c r="O2" s="28" t="str">
        <f>LOWER(LEFT(C1,1))&amp;RIGHT(C1,LEN(C1)-1)</f>
        <v>подъезд к карьеру песка № 1</v>
      </c>
      <c r="AM2" s="231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2,2, средневзвешенного коэффициента прочности – 0,72. Таким образом, в соответствии с результатами камеральной обработки данных, состояние покрытия дороги является неудовлетворительным. Существующие дефекты свидетельствуют о снижении несущей способности основания дорожной одежды, а также о риске разрушения дорожной одежды в случае интенсивного движения грузового транспорта. Перед пропуском необходимой нагрузки необходимо устранить дефекты проезжей части, а также предусмотреть частичное переустройство покрытия после проезда нагрузки.</v>
      </c>
      <c r="AN2" s="231"/>
      <c r="AO2" s="231"/>
    </row>
    <row r="3" spans="1:58" ht="46.25" customHeight="1" x14ac:dyDescent="0.3">
      <c r="B3" s="100" t="s">
        <v>136</v>
      </c>
      <c r="C3" s="241" t="s">
        <v>83</v>
      </c>
      <c r="D3" s="241"/>
      <c r="E3" s="151" t="str">
        <f>VLOOKUP(B1,ИД!D2:R140,3,FALSE)</f>
        <v>IV, б.к.</v>
      </c>
      <c r="G3" s="233" t="s">
        <v>90</v>
      </c>
      <c r="H3" s="233"/>
      <c r="I3" s="233"/>
      <c r="J3" s="233"/>
      <c r="K3" s="238">
        <f>SUM(Таблица43832323461213141518[Прот])</f>
        <v>2.2999999999999998</v>
      </c>
      <c r="L3" s="238"/>
      <c r="N3" s="38" t="e">
        <f>VLOOKUP(O1,Лист1!A63:C68,2,FALSE)</f>
        <v>#N/A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неудовлетворительным. Существующие дефекты свидетельствуют о снижении несущей способности основания дорожной одежды, а также о риске разрушения дорожной одежды в случае интенсивного движения грузового транспорта. Перед пропуском необходимой нагрузки необходимо устранить дефекты проезжей части, а также предусмотреть частичное переустройство покрытия после проезда нагрузки.</v>
      </c>
      <c r="AM3" s="231"/>
      <c r="AN3" s="231"/>
      <c r="AO3" s="231"/>
      <c r="AU3" s="72" t="s">
        <v>135</v>
      </c>
    </row>
    <row r="4" spans="1:58" ht="26" x14ac:dyDescent="0.3">
      <c r="B4" s="100">
        <f>VLOOKUP(B1,ИД!D2:R140,9,FALSE)</f>
        <v>2.2999999999999998</v>
      </c>
      <c r="C4" s="230" t="s">
        <v>86</v>
      </c>
      <c r="D4" s="230"/>
      <c r="E4" s="39">
        <v>1.2</v>
      </c>
      <c r="G4" s="233" t="s">
        <v>120</v>
      </c>
      <c r="H4" s="233"/>
      <c r="I4" s="233"/>
      <c r="J4" s="233"/>
      <c r="K4" s="234">
        <f>ROUND(0.5+K2/10,2)</f>
        <v>0.72</v>
      </c>
      <c r="L4" s="234"/>
      <c r="N4" s="38" t="e">
        <f>VLOOKUP(O1,Лист1!A63:C68,3,FALSE)</f>
        <v>#N/A</v>
      </c>
      <c r="AM4" s="231"/>
      <c r="AN4" s="231"/>
      <c r="AO4" s="231"/>
    </row>
    <row r="5" spans="1:58" ht="52" thickBot="1" x14ac:dyDescent="0.35">
      <c r="B5" s="100" t="str">
        <f>VLOOKUP(B1,ИД!D2:R140,4,FALSE)</f>
        <v>асф. Бет 1,0 км, щебенистый грунт 1,3 км</v>
      </c>
      <c r="C5" s="230" t="s">
        <v>95</v>
      </c>
      <c r="D5" s="230"/>
      <c r="E5" s="39">
        <v>0</v>
      </c>
      <c r="G5" s="239" t="s">
        <v>88</v>
      </c>
      <c r="H5" s="239"/>
      <c r="I5" s="239"/>
      <c r="J5" s="239"/>
      <c r="K5" s="240">
        <f>VLOOKUP(B1,ИД!D2:R140,10,FALSE)</f>
        <v>0</v>
      </c>
      <c r="L5" s="240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30 представляет собой участок местной автомобильной дороги «Подъезд к карьеру песка № 1», который начинается от автодороги 4р161 "Урганч-Чолиш-Беруний-Бустон" и следует до карьера №1.</v>
      </c>
      <c r="AM5" s="66"/>
      <c r="AN5" s="66"/>
      <c r="AO5" s="66"/>
    </row>
    <row r="6" spans="1:58" ht="26" x14ac:dyDescent="0.3">
      <c r="B6" s="100" t="str">
        <f>VLOOKUP(B1,ИД!D2:R140,8,FALSE)</f>
        <v>5,0/7,0</v>
      </c>
      <c r="C6" s="69" t="s">
        <v>128</v>
      </c>
      <c r="D6" s="222" t="str">
        <f>VLOOKUP(B1,ИД!D2:R140,14,FALSE)</f>
        <v>автодороги 4р161 "Урганч-Чолиш-Беруний-Бустон"</v>
      </c>
      <c r="E6" s="223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30 представляет собой участок  Подъезд к карьеру песка № 1, который начинается от автодороги 4р161 "Урганч-Чолиш-Беруний-Бустон" и следует до карьера №1.</v>
      </c>
      <c r="AM6" s="224" t="str">
        <f>VLOOKUP(B3,N5:O7,2,FALSE)</f>
        <v>Маршрут № У 30 представляет собой участок местной автомобильной дороги «Подъезд к карьеру песка № 1», который начинается от автодороги 4р161 "Урганч-Чолиш-Беруний-Бустон" и следует до карьера №1.</v>
      </c>
      <c r="AN6" s="225"/>
      <c r="AO6" s="226"/>
    </row>
    <row r="7" spans="1:58" ht="27" thickBot="1" x14ac:dyDescent="0.35">
      <c r="B7" s="100" t="str">
        <f>VLOOKUP(B1,ИД!D2:R140,11,FALSE)</f>
        <v>местная</v>
      </c>
      <c r="C7" s="69" t="s">
        <v>129</v>
      </c>
      <c r="D7" s="230" t="str">
        <f>VLOOKUP(B1,ИД!D2:R140,15,FALSE)</f>
        <v>карьера №1</v>
      </c>
      <c r="E7" s="230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30 представляет собой подъезд к карьеру песка № 1 от автодороги 4р161 "Урганч-Чолиш-Беруний-Бустон".</v>
      </c>
      <c r="AM7" s="227"/>
      <c r="AN7" s="228"/>
      <c r="AO7" s="229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1.1000000000000001</v>
      </c>
      <c r="C12" s="36">
        <f>B12-A12</f>
        <v>1.1000000000000001</v>
      </c>
      <c r="D12" s="56">
        <v>5</v>
      </c>
      <c r="E12" s="57" t="s">
        <v>171</v>
      </c>
      <c r="F12" s="57" t="s">
        <v>36</v>
      </c>
      <c r="G12" s="57" t="s">
        <v>74</v>
      </c>
      <c r="H12" s="57"/>
      <c r="I12" s="57"/>
      <c r="J12" s="29"/>
      <c r="K12" s="29"/>
      <c r="L12" s="29"/>
      <c r="M12" s="155"/>
      <c r="N12" s="30" t="str">
        <f>IFERROR(VLOOKUP(Таблица43832323461213141518[[#This Row],[Деф 1]],Лист1!$A$4:$F$60,2,FALSE),"")</f>
        <v xml:space="preserve">сетка трещин на площади более 10м при относительной площади, занимаемой сеткой, 30-10%; </v>
      </c>
      <c r="O12" s="30" t="str">
        <f>IFERROR(VLOOKUP(Таблица43832323461213141518[[#This Row],[Деф 2]],Лист1!$A$4:$F$60,2,FALSE),"")</f>
        <v xml:space="preserve">частые выбоины на расстоянии 1-4 м; </v>
      </c>
      <c r="P12" s="30" t="str">
        <f>IFERROR(VLOOKUP(Таблица43832323461213141518[[#This Row],[Столбец4]],Лист1!$A$4:$F$60,2,FALSE),"")</f>
        <v/>
      </c>
      <c r="Q12" s="30" t="str">
        <f>IFERROR(VLOOKUP(Таблица43832323461213141518[[#This Row],[Столбец5]],Лист1!$A$4:$F$60,2,FALSE),"")</f>
        <v/>
      </c>
      <c r="R12" s="30" t="str">
        <f>IFERROR(VLOOKUP(Таблица43832323461213141518[[#This Row],[Столбец6]],Лист1!$A$4:$F$60,2,FALSE),"")</f>
        <v/>
      </c>
      <c r="S12" s="30" t="str">
        <f>IFERROR(VLOOKUP(Таблица43832323461213141518[[#This Row],[Столбец7]],Лист1!$A$4:$F$60,2,FALSE),"")</f>
        <v/>
      </c>
      <c r="T12" s="30" t="str">
        <f>IFERROR(VLOOKUP(Таблица43832323461213141518[[#This Row],[Столбец8]],Лист1!$A$4:$F$60,2,FALSE),"")</f>
        <v/>
      </c>
      <c r="U12" s="75" t="str">
        <f>IFERROR(VLOOKUP(Таблица43832323461213141518[[#This Row],[Столбец9]],Лист1!$A$4:$F$60,2,FALSE),"")</f>
        <v/>
      </c>
      <c r="V12" s="31">
        <f>IFERROR(VLOOKUP(Таблица43832323461213141518[[#This Row],[Деф 1]],Лист1!$A$4:$F$60,3,FALSE),"")</f>
        <v>2.2999999999999998</v>
      </c>
      <c r="W12" s="31">
        <f>IFERROR(VLOOKUP(Таблица43832323461213141518[[#This Row],[Деф 2]],Лист1!$A$4:$F$60,3,FALSE),"")</f>
        <v>2.2000000000000002</v>
      </c>
      <c r="X12" s="31" t="str">
        <f>IFERROR(VLOOKUP(Таблица43832323461213141518[[#This Row],[Столбец4]],Лист1!$A$4:$F$60,3,FALSE),"")</f>
        <v/>
      </c>
      <c r="Y12" s="31" t="str">
        <f>IFERROR(VLOOKUP(Таблица43832323461213141518[[#This Row],[Столбец5]],Лист1!$A$4:$F$60,3,FALSE),"")</f>
        <v/>
      </c>
      <c r="Z12" s="31" t="str">
        <f>IFERROR(VLOOKUP(Таблица43832323461213141518[[#This Row],[Столбец6]],Лист1!$A$4:$F$60,3,FALSE),"")</f>
        <v/>
      </c>
      <c r="AA12" s="31" t="str">
        <f>IFERROR(VLOOKUP(Таблица43832323461213141518[[#This Row],[Столбец7]],Лист1!$A$4:$F$60,3,FALSE),"")</f>
        <v/>
      </c>
      <c r="AB12" s="31" t="str">
        <f>IFERROR(VLOOKUP(Таблица43832323461213141518[[#This Row],[Столбец8]],Лист1!$A$4:$F$60,3,FALSE),"")</f>
        <v/>
      </c>
      <c r="AC12" s="31" t="str">
        <f>IFERROR(VLOOKUP(Таблица43832323461213141518[[#This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1.1000000000000001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1</v>
      </c>
      <c r="AI12" s="34">
        <f t="shared" ref="AI12" si="5">ROUND((AE12-AH12)*1000,0)</f>
        <v>100</v>
      </c>
      <c r="AJ12" s="34" t="str">
        <f>IF(Таблица43832323461213141518[[#This Row],[Столбец42]]=0,"000",Таблица43832323461213141518[[#This Row],[Столбец42]])</f>
        <v>000</v>
      </c>
      <c r="AK12" s="34">
        <f>IF(Таблица43832323461213141518[[#This Row],[Столбец44]]=0,"000",Таблица43832323461213141518[[#This Row],[Столбец44]])</f>
        <v>100</v>
      </c>
      <c r="AL12" s="45"/>
      <c r="AM12" s="40" t="str">
        <f t="shared" ref="AM12" si="6">CONCATENATE("км ",AF12,"+",AJ12," - км ",AH12,"+",AK12)</f>
        <v>км 0+000 - км 1+100</v>
      </c>
      <c r="AN12" s="44" t="str">
        <f>IF(ISBLANK(Таблица43832323461213141518[[#This Row],[Столбец9]]),N12&amp;O12&amp;P12&amp;Q12&amp;R12&amp;S12&amp;T12&amp;U12,N12&amp;O12&amp;P12&amp;Q12&amp;R12&amp;S12&amp;T12&amp;U12&amp;";")</f>
        <v xml:space="preserve">сетка трещин на площади более 10м при относительной площади, занимаемой сеткой, 30-10%; частые выбоины на расстоянии 1-4 м; </v>
      </c>
      <c r="AO12" s="44" t="str">
        <f>UPPER(LEFT(Таблица43832323461213141518[[#This Row],[Столбец48]],1))&amp;RIGHT(LOWER(Таблица43832323461213141518[[#This Row],[Столбец48]]),LEN(Таблица43832323461213141518[[#This Row],[Столбец48]])-1)</f>
        <v xml:space="preserve">Сетка трещин на площади более 10м при относительной площади, занимаемой сеткой, 30-10%; частые выбоины на расстоянии 1-4 м; </v>
      </c>
      <c r="AP12" s="35">
        <f>MIN(V12:AC12)</f>
        <v>2.2000000000000002</v>
      </c>
      <c r="AQ12" s="34">
        <f>AP12*$C12</f>
        <v>2.4200000000000004</v>
      </c>
      <c r="AR12" s="46"/>
      <c r="AS12" s="42">
        <f t="shared" ref="AS12:AT12" si="7">AD12</f>
        <v>0</v>
      </c>
      <c r="AT12" s="42">
        <f t="shared" si="7"/>
        <v>1.1000000000000001</v>
      </c>
      <c r="AU12" s="40" t="str">
        <f t="shared" ref="AU12" si="8">E12</f>
        <v>асфальтобетон</v>
      </c>
      <c r="AV12" s="43">
        <f t="shared" ref="AV12" si="9">D12</f>
        <v>5</v>
      </c>
      <c r="AW12" s="43">
        <f t="shared" ref="AW12" si="10">IF(AP12=0,"-",AP12)</f>
        <v>2.2000000000000002</v>
      </c>
      <c r="AX12" s="45"/>
      <c r="AY12" s="42" t="str">
        <f>Таблица43832323461213141518[[#This Row],[Адрес дефекта, км +]]</f>
        <v>км 0+000 - км 1+100</v>
      </c>
      <c r="AZ12" s="43">
        <f>Таблица43832323461213141518[[#This Row],[Столбец55]]</f>
        <v>2.2000000000000002</v>
      </c>
      <c r="BA12" s="41">
        <f>Таблица43832323461213141518[[#This Row],[Столбец59]]</f>
        <v>0.72</v>
      </c>
      <c r="BB12" s="45"/>
      <c r="BC12" s="45"/>
      <c r="BD12" s="40" t="str">
        <f>Таблица43832323461213141518[[#This Row],[Адрес дефекта, км +]]</f>
        <v>км 0+000 - км 1+100</v>
      </c>
      <c r="BE12" s="41">
        <f>ROUND(1-((5-Таблица43832323461213141518[[#This Row],[Балл минимальный]])/10),2)</f>
        <v>0.72</v>
      </c>
      <c r="BF12" s="40" t="e">
        <f t="shared" ref="BF12" si="11">ROUND(BE12*$N$4,0)</f>
        <v>#N/A</v>
      </c>
    </row>
    <row r="13" spans="1:58" ht="29.25" customHeight="1" x14ac:dyDescent="0.2">
      <c r="A13" s="55">
        <v>1.1000000000000001</v>
      </c>
      <c r="B13" s="55">
        <v>2.2999999999999998</v>
      </c>
      <c r="C13" s="36">
        <f>B13-A13</f>
        <v>1.1999999999999997</v>
      </c>
      <c r="D13" s="56">
        <v>7</v>
      </c>
      <c r="E13" s="57" t="s">
        <v>185</v>
      </c>
      <c r="F13" s="57" t="s">
        <v>7</v>
      </c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>
        <f t="shared" ref="AD13" si="12">ROUND(AE12,3)</f>
        <v>1.1000000000000001</v>
      </c>
      <c r="AE13" s="32">
        <f t="shared" ref="AE13" si="13">ROUND(AD13+C13,3)</f>
        <v>2.2999999999999998</v>
      </c>
      <c r="AF13" s="33">
        <f t="shared" ref="AF13" si="14">ROUND(ROUNDDOWN(AD13,0),0)</f>
        <v>1</v>
      </c>
      <c r="AG13" s="33">
        <f t="shared" ref="AG13" si="15">ROUND((AD13-AF13)*1000,0)</f>
        <v>100</v>
      </c>
      <c r="AH13" s="33">
        <f t="shared" ref="AH13" si="16">ROUND(ROUNDDOWN(AE13,0),0)</f>
        <v>2</v>
      </c>
      <c r="AI13" s="34">
        <f t="shared" ref="AI13" si="17">ROUND((AE13-AH13)*1000,0)</f>
        <v>300</v>
      </c>
      <c r="AJ13" s="34">
        <f>IF(Таблица43832323461213141518[[#This Row],[Столбец42]]=0,"000",Таблица43832323461213141518[[#This Row],[Столбец42]])</f>
        <v>100</v>
      </c>
      <c r="AK13" s="34">
        <f>IF(Таблица43832323461213141518[[#This Row],[Столбец44]]=0,"000",Таблица43832323461213141518[[#This Row],[Столбец44]])</f>
        <v>300</v>
      </c>
      <c r="AL13" s="45"/>
      <c r="AM13" s="40" t="str">
        <f t="shared" ref="AM13" si="18">CONCATENATE("км ",AF13,"+",AJ13," - км ",AH13,"+",AK13)</f>
        <v>км 1+100 - км 2+300</v>
      </c>
      <c r="AN13" s="44" t="str">
        <f>IF(ISBLANK(Таблица43832323461213141518[[#This Row],[Столбец9]]),N13&amp;O13&amp;P13&amp;Q13&amp;R13&amp;S13&amp;T13&amp;U13,N13&amp;O13&amp;P13&amp;Q13&amp;R13&amp;S13&amp;T13&amp;U13&amp;";")</f>
        <v/>
      </c>
      <c r="AO13" s="44" t="e">
        <f>UPPER(LEFT(Таблица43832323461213141518[[#This Row],[Столбец48]],1))&amp;RIGHT(LOWER(Таблица43832323461213141518[[#This Row],[Столбец48]]),LEN(Таблица43832323461213141518[[#This Row],[Столбец48]])-1)</f>
        <v>#VALUE!</v>
      </c>
      <c r="AP13" s="35"/>
      <c r="AQ13" s="34"/>
      <c r="AR13" s="46"/>
      <c r="AS13" s="42">
        <f t="shared" ref="AS13" si="19">AD13</f>
        <v>1.1000000000000001</v>
      </c>
      <c r="AT13" s="42">
        <f t="shared" ref="AT13" si="20">AE13</f>
        <v>2.2999999999999998</v>
      </c>
      <c r="AU13" s="40" t="str">
        <f t="shared" ref="AU13" si="21">E13</f>
        <v>щебенистый грунт</v>
      </c>
      <c r="AV13" s="43">
        <f t="shared" ref="AV13" si="22">D13</f>
        <v>7</v>
      </c>
      <c r="AW13" s="43" t="str">
        <f t="shared" ref="AW13" si="23">IF(AP13=0,"-",AP13)</f>
        <v>-</v>
      </c>
      <c r="AX13" s="45"/>
      <c r="AY13" s="42" t="str">
        <f>Таблица43832323461213141518[[#This Row],[Адрес дефекта, км +]]</f>
        <v>км 1+100 - км 2+300</v>
      </c>
      <c r="AZ13" s="43" t="str">
        <f>Таблица43832323461213141518[[#This Row],[Столбец55]]</f>
        <v>-</v>
      </c>
      <c r="BA13" s="41">
        <f>Таблица43832323461213141518[[#This Row],[Столбец59]]</f>
        <v>0.5</v>
      </c>
      <c r="BB13" s="45"/>
      <c r="BC13" s="45"/>
      <c r="BD13" s="40" t="str">
        <f>Таблица43832323461213141518[[#This Row],[Адрес дефекта, км +]]</f>
        <v>км 1+100 - км 2+300</v>
      </c>
      <c r="BE13" s="41">
        <f>ROUND(1-((5-Таблица43832323461213141518[[#This Row],[Балл минимальный]])/10),2)</f>
        <v>0.5</v>
      </c>
      <c r="BF13" s="40" t="e">
        <f t="shared" ref="BF13" si="24">ROUND(BE13*$N$4,0)</f>
        <v>#N/A</v>
      </c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5:D5"/>
    <mergeCell ref="G5:J5"/>
    <mergeCell ref="K5:L5"/>
    <mergeCell ref="D6:E6"/>
    <mergeCell ref="AM6:AO7"/>
    <mergeCell ref="D7:E7"/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</mergeCells>
  <dataValidations disablePrompts="1" count="2">
    <dataValidation type="list" allowBlank="1" showInputMessage="1" showErrorMessage="1" sqref="E2" xr:uid="{00000000-0002-0000-1300-000000000000}">
      <formula1>"капитальная,облегченная"</formula1>
    </dataValidation>
    <dataValidation type="list" allowBlank="1" showInputMessage="1" showErrorMessage="1" sqref="B3" xr:uid="{00000000-0002-0000-1300-000001000000}">
      <formula1>"дорога,улица,подъезд"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CCFF"/>
  </sheetPr>
  <dimension ref="A1:BF31"/>
  <sheetViews>
    <sheetView workbookViewId="0">
      <selection activeCell="E10" sqref="E10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282</v>
      </c>
      <c r="C1" s="48" t="str">
        <f>VLOOKUP(B1,ИД!D2:R140,2,FALSE)</f>
        <v>Подъезд к НРС 17 Элликкала</v>
      </c>
      <c r="D1" s="50"/>
      <c r="E1" s="49"/>
      <c r="O1" s="28" t="str">
        <f>TRIM(RIGHT(SUBSTITUTE(E3,",",REPT(" ",5)),5))</f>
        <v>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местной</v>
      </c>
      <c r="C2" s="232" t="s">
        <v>82</v>
      </c>
      <c r="D2" s="232"/>
      <c r="E2" s="39" t="s">
        <v>161</v>
      </c>
      <c r="F2" s="37"/>
      <c r="G2" s="235" t="s">
        <v>85</v>
      </c>
      <c r="H2" s="235"/>
      <c r="I2" s="235"/>
      <c r="J2" s="235"/>
      <c r="K2" s="236" t="e">
        <f>ROUND(SUM(Таблица43832323461213141518192021222425[Б*l])/(SUM(Таблица43832323461213141518192021222425[Прот])-$E$4),1)</f>
        <v>#DIV/0!</v>
      </c>
      <c r="L2" s="236"/>
      <c r="N2" s="38">
        <f>VLOOKUP(B1,ИД!D2:R140,12,FALSE)</f>
        <v>3</v>
      </c>
      <c r="O2" s="28" t="str">
        <f>LOWER(LEFT(C1,1))&amp;RIGHT(C1,LEN(C1)-1)</f>
        <v>подъезд к НРС 17 Элликкала</v>
      </c>
      <c r="AM2" s="231" t="e">
        <f>CONCATENATE(Лист1!B81,K2,Лист1!B82,K4,Лист1!B83,O3)</f>
        <v>#DIV/0!</v>
      </c>
      <c r="AN2" s="231"/>
      <c r="AO2" s="231"/>
    </row>
    <row r="3" spans="1:58" ht="46.25" customHeight="1" x14ac:dyDescent="0.3">
      <c r="B3" s="100" t="s">
        <v>136</v>
      </c>
      <c r="C3" s="241" t="s">
        <v>83</v>
      </c>
      <c r="D3" s="241"/>
      <c r="E3" s="151" t="str">
        <f>VLOOKUP(B1,ИД!D2:R140,3,FALSE)</f>
        <v>V</v>
      </c>
      <c r="G3" s="233" t="s">
        <v>90</v>
      </c>
      <c r="H3" s="233"/>
      <c r="I3" s="233"/>
      <c r="J3" s="233"/>
      <c r="K3" s="238">
        <f>SUM(Таблица43832323461213141518192021222425[Прот])</f>
        <v>0.2</v>
      </c>
      <c r="L3" s="238"/>
      <c r="N3" s="38">
        <f>VLOOKUP(O1,Лист1!A63:C68,2,FALSE)</f>
        <v>0.5</v>
      </c>
      <c r="O3" s="28" t="e">
        <f>IF(4&lt;K2,Лист1!B75,IF(3&lt;K2,Лист1!B76,IF(2&lt;K2,Лист1!B77,Лист1!B78)))</f>
        <v>#DIV/0!</v>
      </c>
      <c r="AM3" s="231"/>
      <c r="AN3" s="231"/>
      <c r="AO3" s="231"/>
      <c r="AU3" s="72" t="s">
        <v>135</v>
      </c>
    </row>
    <row r="4" spans="1:58" ht="26" x14ac:dyDescent="0.3">
      <c r="B4" s="100">
        <f>VLOOKUP(B1,ИД!D2:R140,9,FALSE)</f>
        <v>0.2</v>
      </c>
      <c r="C4" s="230" t="s">
        <v>86</v>
      </c>
      <c r="D4" s="230"/>
      <c r="E4" s="39">
        <v>0.2</v>
      </c>
      <c r="G4" s="233" t="s">
        <v>120</v>
      </c>
      <c r="H4" s="233"/>
      <c r="I4" s="233"/>
      <c r="J4" s="233"/>
      <c r="K4" s="234" t="e">
        <f>ROUND(0.5+K2/10,2)</f>
        <v>#DIV/0!</v>
      </c>
      <c r="L4" s="234"/>
      <c r="N4" s="38">
        <f>VLOOKUP(O1,Лист1!A63:C68,3,FALSE)</f>
        <v>110</v>
      </c>
      <c r="AM4" s="231"/>
      <c r="AN4" s="231"/>
      <c r="AO4" s="231"/>
    </row>
    <row r="5" spans="1:58" ht="27" thickBot="1" x14ac:dyDescent="0.35">
      <c r="B5" s="100" t="str">
        <f>VLOOKUP(B1,ИД!D2:R140,4,FALSE)</f>
        <v>ПГС</v>
      </c>
      <c r="C5" s="230" t="s">
        <v>95</v>
      </c>
      <c r="D5" s="230"/>
      <c r="E5" s="39">
        <v>0</v>
      </c>
      <c r="G5" s="239" t="s">
        <v>88</v>
      </c>
      <c r="H5" s="239"/>
      <c r="I5" s="239"/>
      <c r="J5" s="239"/>
      <c r="K5" s="240">
        <f>VLOOKUP(B1,ИД!D2:R140,10,FALSE)</f>
        <v>0</v>
      </c>
      <c r="L5" s="240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37 представляет собой участок местной автомобильной дороги «Подъезд к НРС 17 Элликкала», который начинается от автомобильной дороги 4р182 А380 а/йули (662км)дан -Кизилкалъа-Бустон-Гулдурсун-Турткул          и следует до места забора воды НРС №17.</v>
      </c>
      <c r="AM5" s="66"/>
      <c r="AN5" s="66"/>
      <c r="AO5" s="66"/>
    </row>
    <row r="6" spans="1:58" ht="26" x14ac:dyDescent="0.3">
      <c r="B6" s="100">
        <f>VLOOKUP(B1,ИД!D2:R140,8,FALSE)</f>
        <v>5</v>
      </c>
      <c r="C6" s="69" t="s">
        <v>128</v>
      </c>
      <c r="D6" s="222" t="str">
        <f>VLOOKUP(B1,ИД!D2:R140,14,FALSE)</f>
        <v xml:space="preserve">автомобильной дороги 4р182 А380 а/йули (662км)дан -Кизилкалъа-Бустон-Гулдурсун-Турткул         </v>
      </c>
      <c r="E6" s="223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37 представляет собой участок  Подъезд к НРС 17 Элликкала, который начинается от автомобильной дороги 4р182 А380 а/йули (662км)дан -Кизилкалъа-Бустон-Гулдурсун-Турткул          и следует до места забора воды НРС №17.</v>
      </c>
      <c r="AM6" s="224" t="str">
        <f>VLOOKUP(B3,N5:O7,2,FALSE)</f>
        <v>Маршрут № У 37 представляет собой участок местной автомобильной дороги «Подъезд к НРС 17 Элликкала», который начинается от автомобильной дороги 4р182 А380 а/йули (662км)дан -Кизилкалъа-Бустон-Гулдурсун-Турткул          и следует до места забора воды НРС №17.</v>
      </c>
      <c r="AN6" s="225"/>
      <c r="AO6" s="226"/>
    </row>
    <row r="7" spans="1:58" ht="42" customHeight="1" thickBot="1" x14ac:dyDescent="0.35">
      <c r="B7" s="100" t="str">
        <f>VLOOKUP(B1,ИД!D2:R140,11,FALSE)</f>
        <v>местная</v>
      </c>
      <c r="C7" s="69" t="s">
        <v>129</v>
      </c>
      <c r="D7" s="230" t="str">
        <f>VLOOKUP(B1,ИД!D2:R140,15,FALSE)</f>
        <v>места забора воды НРС №17</v>
      </c>
      <c r="E7" s="230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37 представляет собой подъезд к НРС 17 Элликкала от автомобильной дороги 4р182 А380 а/йули (662км)дан -Кизилкалъа-Бустон-Гулдурсун-Турткул         .</v>
      </c>
      <c r="AM7" s="227"/>
      <c r="AN7" s="228"/>
      <c r="AO7" s="229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0.2</v>
      </c>
      <c r="C12" s="36">
        <f>B12-A12</f>
        <v>0.2</v>
      </c>
      <c r="D12" s="56">
        <v>5</v>
      </c>
      <c r="E12" s="57" t="s">
        <v>102</v>
      </c>
      <c r="F12" s="57" t="s">
        <v>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IFERROR(VLOOKUP(Таблица43832323461213141518192021222425[[#This Row],[Деф 1]],Лист1!$A$4:$F$60,2,FALSE),"")</f>
        <v xml:space="preserve">без дефектов; </v>
      </c>
      <c r="O12" s="30" t="str">
        <f>IFERROR(VLOOKUP(Таблица43832323461213141518192021222425[[#This Row],[Деф 2]],Лист1!$A$4:$F$60,2,FALSE),"")</f>
        <v/>
      </c>
      <c r="P12" s="30" t="str">
        <f>IFERROR(VLOOKUP(Таблица43832323461213141518192021222425[[#This Row],[Столбец4]],Лист1!$A$4:$F$60,2,FALSE),"")</f>
        <v/>
      </c>
      <c r="Q12" s="30" t="str">
        <f>IFERROR(VLOOKUP(Таблица43832323461213141518192021222425[[#This Row],[Столбец5]],Лист1!$A$4:$F$60,2,FALSE),"")</f>
        <v/>
      </c>
      <c r="R12" s="30" t="str">
        <f>IFERROR(VLOOKUP(Таблица43832323461213141518192021222425[[#This Row],[Столбец6]],Лист1!$A$4:$F$60,2,FALSE),"")</f>
        <v/>
      </c>
      <c r="S12" s="30" t="str">
        <f>IFERROR(VLOOKUP(Таблица43832323461213141518192021222425[[#This Row],[Столбец7]],Лист1!$A$4:$F$60,2,FALSE),"")</f>
        <v/>
      </c>
      <c r="T12" s="30" t="str">
        <f>IFERROR(VLOOKUP(Таблица43832323461213141518192021222425[[#This Row],[Столбец8]],Лист1!$A$4:$F$60,2,FALSE),"")</f>
        <v/>
      </c>
      <c r="U12" s="75" t="str">
        <f>IFERROR(VLOOKUP(Таблица43832323461213141518192021222425[[#This Row],[Столбец9]],Лист1!$A$4:$F$60,2,FALSE),"")</f>
        <v/>
      </c>
      <c r="V12" s="31">
        <f>IFERROR(VLOOKUP(Таблица43832323461213141518192021222425[[#This Row],[Деф 1]],Лист1!$A$4:$F$60,3,FALSE),"")</f>
        <v>5</v>
      </c>
      <c r="W12" s="31" t="str">
        <f>IFERROR(VLOOKUP(Таблица43832323461213141518192021222425[[#This Row],[Деф 2]],Лист1!$A$4:$F$60,3,FALSE),"")</f>
        <v/>
      </c>
      <c r="X12" s="31" t="str">
        <f>IFERROR(VLOOKUP(Таблица43832323461213141518192021222425[[#This Row],[Столбец4]],Лист1!$A$4:$F$60,3,FALSE),"")</f>
        <v/>
      </c>
      <c r="Y12" s="31" t="str">
        <f>IFERROR(VLOOKUP(Таблица43832323461213141518192021222425[[#This Row],[Столбец5]],Лист1!$A$4:$F$60,3,FALSE),"")</f>
        <v/>
      </c>
      <c r="Z12" s="31" t="str">
        <f>IFERROR(VLOOKUP(Таблица43832323461213141518192021222425[[#This Row],[Столбец6]],Лист1!$A$4:$F$60,3,FALSE),"")</f>
        <v/>
      </c>
      <c r="AA12" s="31" t="str">
        <f>IFERROR(VLOOKUP(Таблица43832323461213141518192021222425[[#This Row],[Столбец7]],Лист1!$A$4:$F$60,3,FALSE),"")</f>
        <v/>
      </c>
      <c r="AB12" s="31" t="str">
        <f>IFERROR(VLOOKUP(Таблица43832323461213141518192021222425[[#This Row],[Столбец8]],Лист1!$A$4:$F$60,3,FALSE),"")</f>
        <v/>
      </c>
      <c r="AC12" s="31" t="str">
        <f>IFERROR(VLOOKUP(Таблица43832323461213141518192021222425[[#This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0.2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200</v>
      </c>
      <c r="AJ12" s="34" t="str">
        <f>IF(Таблица43832323461213141518192021222425[[#This Row],[Столбец42]]=0,"000",Таблица43832323461213141518192021222425[[#This Row],[Столбец42]])</f>
        <v>000</v>
      </c>
      <c r="AK12" s="34">
        <f>IF(Таблица43832323461213141518192021222425[[#This Row],[Столбец44]]=0,"000",Таблица43832323461213141518192021222425[[#This Row],[Столбец44]])</f>
        <v>200</v>
      </c>
      <c r="AL12" s="45"/>
      <c r="AM12" s="40" t="str">
        <f t="shared" ref="AM12" si="6">CONCATENATE("км ",AF12,"+",AJ12," - км ",AH12,"+",AK12)</f>
        <v>км 0+000 - км 0+200</v>
      </c>
      <c r="AN12" s="44" t="str">
        <f>IF(ISBLANK(Таблица43832323461213141518192021222425[[#This Row],[Столбец9]]),N12&amp;O12&amp;P12&amp;Q12&amp;R12&amp;S12&amp;T12&amp;U12,N12&amp;O12&amp;P12&amp;Q12&amp;R12&amp;S12&amp;T12&amp;U12&amp;";")</f>
        <v xml:space="preserve">без дефектов; </v>
      </c>
      <c r="AO12" s="44" t="str">
        <f>UPPER(LEFT(Таблица43832323461213141518192021222425[[#This Row],[Столбец48]],1))&amp;RIGHT(LOWER(Таблица43832323461213141518192021222425[[#This Row],[Столбец48]]),LEN(Таблица43832323461213141518192021222425[[#This Row],[Столбец48]])-1)</f>
        <v xml:space="preserve">Без дефектов; </v>
      </c>
      <c r="AP12" s="35">
        <f>MIN(V12:AC12)</f>
        <v>5</v>
      </c>
      <c r="AQ12" s="34">
        <f>AP12*$C12</f>
        <v>1</v>
      </c>
      <c r="AR12" s="46"/>
      <c r="AS12" s="42">
        <f t="shared" ref="AS12:AT12" si="7">AD12</f>
        <v>0</v>
      </c>
      <c r="AT12" s="42">
        <f t="shared" si="7"/>
        <v>0.2</v>
      </c>
      <c r="AU12" s="40" t="str">
        <f t="shared" ref="AU12" si="8">E12</f>
        <v>ПГС</v>
      </c>
      <c r="AV12" s="43">
        <f t="shared" ref="AV12" si="9">D12</f>
        <v>5</v>
      </c>
      <c r="AW12" s="43">
        <f t="shared" ref="AW12" si="10">IF(AP12=0,"-",AP12)</f>
        <v>5</v>
      </c>
      <c r="AX12" s="45"/>
      <c r="AY12" s="42" t="str">
        <f>Таблица43832323461213141518192021222425[[#This Row],[Адрес дефекта, км +]]</f>
        <v>км 0+000 - км 0+200</v>
      </c>
      <c r="AZ12" s="43">
        <f>Таблица43832323461213141518192021222425[[#This Row],[Столбец55]]</f>
        <v>5</v>
      </c>
      <c r="BA12" s="41">
        <f>Таблица43832323461213141518192021222425[[#This Row],[Столбец59]]</f>
        <v>1</v>
      </c>
      <c r="BB12" s="45"/>
      <c r="BC12" s="45"/>
      <c r="BD12" s="40" t="str">
        <f>Таблица43832323461213141518192021222425[[#This Row],[Адрес дефекта, км +]]</f>
        <v>км 0+000 - км 0+200</v>
      </c>
      <c r="BE12" s="41">
        <f>ROUND(1-((5-Таблица43832323461213141518192021222425[[#This Row],[Балл минимальный]])/10),2)</f>
        <v>1</v>
      </c>
      <c r="BF12" s="40">
        <f t="shared" ref="BF12" si="11">ROUND(BE12*$N$4,0)</f>
        <v>110</v>
      </c>
    </row>
    <row r="13" spans="1:58" ht="47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5:D5"/>
    <mergeCell ref="G5:J5"/>
    <mergeCell ref="K5:L5"/>
    <mergeCell ref="D6:E6"/>
    <mergeCell ref="AM6:AO7"/>
    <mergeCell ref="D7:E7"/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</mergeCells>
  <dataValidations count="2">
    <dataValidation type="list" allowBlank="1" showInputMessage="1" showErrorMessage="1" sqref="E2" xr:uid="{00000000-0002-0000-1A00-000000000000}">
      <formula1>"капитальная,облегченная"</formula1>
    </dataValidation>
    <dataValidation type="list" allowBlank="1" showInputMessage="1" showErrorMessage="1" sqref="B3" xr:uid="{00000000-0002-0000-1A00-000001000000}">
      <formula1>"дорога,улица,подъезд"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ИД</vt:lpstr>
      <vt:lpstr>В обсл</vt:lpstr>
      <vt:lpstr>У 1</vt:lpstr>
      <vt:lpstr>У 5</vt:lpstr>
      <vt:lpstr>У 25</vt:lpstr>
      <vt:lpstr>У 29</vt:lpstr>
      <vt:lpstr>У 30</vt:lpstr>
      <vt:lpstr>У37</vt:lpstr>
      <vt:lpstr>У 100</vt:lpstr>
      <vt:lpstr>У 101</vt:lpstr>
      <vt:lpstr>У 102</vt:lpstr>
      <vt:lpstr>У 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Наташенька</dc:creator>
  <cp:lastModifiedBy>Microsoft Office User</cp:lastModifiedBy>
  <dcterms:created xsi:type="dcterms:W3CDTF">2016-06-06T18:18:21Z</dcterms:created>
  <dcterms:modified xsi:type="dcterms:W3CDTF">2025-02-13T20:04:14Z</dcterms:modified>
</cp:coreProperties>
</file>