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orth\Documents\A_Paulafiles\Research\IGPA\FY2025_report\provider_taxes\"/>
    </mc:Choice>
  </mc:AlternateContent>
  <xr:revisionPtr revIDLastSave="0" documentId="13_ncr:1_{6B906211-AC41-4066-BDFC-9B2AFCD353A4}" xr6:coauthVersionLast="47" xr6:coauthVersionMax="47" xr10:uidLastSave="{00000000-0000-0000-0000-000000000000}"/>
  <bookViews>
    <workbookView xWindow="912" yWindow="888" windowWidth="19704" windowHeight="10788" activeTab="1" xr2:uid="{83A66CF9-30A3-4BA7-A497-4BAECE955A06}"/>
  </bookViews>
  <sheets>
    <sheet name="Logic_Model" sheetId="1" r:id="rId1"/>
    <sheet name="Revenue_Forecasts" sheetId="3" r:id="rId2"/>
    <sheet name="For_Alea" sheetId="4" r:id="rId3"/>
    <sheet name="Sankey_Ale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B9" i="5"/>
  <c r="B1" i="3" l="1"/>
  <c r="B13" i="1"/>
  <c r="N20" i="3"/>
  <c r="N19" i="3"/>
  <c r="N18" i="3"/>
  <c r="O16" i="3"/>
  <c r="P16" i="3" s="1"/>
  <c r="Q16" i="3" s="1"/>
  <c r="R16" i="3" s="1"/>
  <c r="S16" i="3" s="1"/>
  <c r="T16" i="3" s="1"/>
  <c r="U16" i="3" s="1"/>
  <c r="V16" i="3" s="1"/>
  <c r="W16" i="3" s="1"/>
  <c r="B12" i="1"/>
  <c r="B10" i="1"/>
  <c r="E8" i="4" l="1"/>
  <c r="D7" i="4"/>
  <c r="C9" i="4"/>
  <c r="C11" i="4" s="1"/>
  <c r="C14" i="4" s="1"/>
  <c r="D9" i="4"/>
  <c r="E9" i="4"/>
  <c r="C15" i="4" l="1"/>
  <c r="C16" i="4" s="1"/>
  <c r="C17" i="4" s="1"/>
  <c r="D11" i="4"/>
  <c r="E11" i="4"/>
  <c r="B20" i="3"/>
  <c r="B19" i="3"/>
  <c r="B18" i="3"/>
  <c r="D16" i="3"/>
  <c r="E16" i="3" s="1"/>
  <c r="F16" i="3" s="1"/>
  <c r="G16" i="3" s="1"/>
  <c r="H16" i="3" s="1"/>
  <c r="I16" i="3" s="1"/>
  <c r="J16" i="3" s="1"/>
  <c r="K16" i="3" s="1"/>
  <c r="C16" i="3"/>
  <c r="F10" i="3"/>
  <c r="B21" i="1"/>
  <c r="C4" i="3"/>
  <c r="D4" i="3" s="1"/>
  <c r="E4" i="3" s="1"/>
  <c r="F4" i="3" s="1"/>
  <c r="G4" i="3" s="1"/>
  <c r="H4" i="3" s="1"/>
  <c r="I4" i="3" s="1"/>
  <c r="J4" i="3" s="1"/>
  <c r="K4" i="3" s="1"/>
  <c r="B27" i="1"/>
  <c r="B28" i="1"/>
  <c r="B8" i="1"/>
  <c r="D14" i="4" l="1"/>
  <c r="D15" i="4"/>
  <c r="D16" i="4" s="1"/>
  <c r="D17" i="4" s="1"/>
  <c r="E15" i="4"/>
  <c r="E16" i="4" s="1"/>
  <c r="E17" i="4" s="1"/>
  <c r="E14" i="4"/>
  <c r="C9" i="3"/>
  <c r="C10" i="3"/>
  <c r="E10" i="3"/>
  <c r="F9" i="3" s="1"/>
  <c r="G9" i="3" s="1"/>
  <c r="G10" i="3" s="1"/>
  <c r="H9" i="3" s="1"/>
  <c r="H10" i="3" s="1"/>
  <c r="I9" i="3" s="1"/>
  <c r="I10" i="3" s="1"/>
  <c r="J9" i="3" s="1"/>
  <c r="J10" i="3" s="1"/>
  <c r="E9" i="3"/>
  <c r="D9" i="3"/>
  <c r="B2" i="3"/>
  <c r="D10" i="3"/>
  <c r="K9" i="3" l="1"/>
  <c r="K10" i="3" s="1"/>
  <c r="B15" i="1" l="1"/>
  <c r="B22" i="1" s="1"/>
  <c r="B29" i="1" l="1"/>
  <c r="C6" i="3"/>
  <c r="D6" i="3" s="1"/>
  <c r="C5" i="3"/>
  <c r="E6" i="3" l="1"/>
  <c r="D7" i="3"/>
  <c r="D11" i="3"/>
  <c r="B32" i="1"/>
  <c r="B34" i="1" s="1"/>
  <c r="B38" i="1" s="1"/>
  <c r="B37" i="1"/>
  <c r="B33" i="1"/>
  <c r="D13" i="3" l="1"/>
  <c r="F6" i="3"/>
  <c r="E7" i="3"/>
  <c r="E11" i="3"/>
  <c r="B39" i="1"/>
  <c r="E13" i="3" l="1"/>
  <c r="G6" i="3"/>
  <c r="F7" i="3"/>
  <c r="F11" i="3"/>
  <c r="F13" i="3" l="1"/>
  <c r="G7" i="3"/>
  <c r="G11" i="3"/>
  <c r="H6" i="3"/>
  <c r="I6" i="3" l="1"/>
  <c r="H7" i="3"/>
  <c r="H11" i="3"/>
  <c r="G13" i="3"/>
  <c r="H13" i="3" l="1"/>
  <c r="I7" i="3"/>
  <c r="I11" i="3"/>
  <c r="J6" i="3"/>
  <c r="K6" i="3" l="1"/>
  <c r="J11" i="3"/>
  <c r="J7" i="3"/>
  <c r="I13" i="3"/>
  <c r="J13" i="3" l="1"/>
  <c r="K7" i="3"/>
  <c r="K11" i="3"/>
  <c r="K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Paula Worthington</author>
  </authors>
  <commentList>
    <comment ref="A20" authorId="0" shapeId="0" xr:uid="{9BD3A893-AFB0-41AD-A987-A7DDE56F769F}">
      <text>
        <r>
          <rPr>
            <b/>
            <sz val="9"/>
            <color indexed="81"/>
            <rFont val="Tahoma"/>
            <family val="2"/>
          </rPr>
          <t>Paula Worthington:</t>
        </r>
        <r>
          <rPr>
            <sz val="9"/>
            <color indexed="81"/>
            <rFont val="Tahoma"/>
            <family val="2"/>
          </rPr>
          <t xml:space="preserve">
Could this be folded into code 0133?</t>
        </r>
      </text>
    </comment>
    <comment ref="A21" authorId="0" shapeId="0" xr:uid="{5A3F3A87-2AE7-4B74-AE5D-1353AE14AAB6}">
      <text>
        <r>
          <rPr>
            <b/>
            <sz val="9"/>
            <color indexed="81"/>
            <rFont val="Tahoma"/>
            <family val="2"/>
          </rPr>
          <t>Paula Worthington:</t>
        </r>
        <r>
          <rPr>
            <sz val="9"/>
            <color indexed="81"/>
            <rFont val="Tahoma"/>
            <family val="2"/>
          </rPr>
          <t xml:space="preserve">
Where does this show up?   Is it part of code 0133?
Response:  this is the item called "Health Care Provider Supplemental Fee" or something like that</t>
        </r>
      </text>
    </comment>
  </commentList>
</comments>
</file>

<file path=xl/sharedStrings.xml><?xml version="1.0" encoding="utf-8"?>
<sst xmlns="http://schemas.openxmlformats.org/spreadsheetml/2006/main" count="148" uniqueCount="115">
  <si>
    <t>Back of Envelope</t>
  </si>
  <si>
    <t>What is OBBA impact on state's ability to levy and collect provider taxes?</t>
  </si>
  <si>
    <t>FY 2025 MCO assessments</t>
  </si>
  <si>
    <t>https://illinoiscomptroller.gov/financial-reports-data/revenues-state-income/revenue-source?RevSel=0133&amp;RevGrpSel=0&amp;RevClsSel=0&amp;RevTypeSel=0&amp;FY=25&amp;GroupBy=None&amp;GetQueryData=Search</t>
  </si>
  <si>
    <t>https://illinoiscomptroller.gov/financial-reports-data/revenues-state-income/revenue-source?RevSel=2683&amp;RevGrpSel=0&amp;RevClsSel=0&amp;RevTypeSel=0&amp;FY=25&amp;GroupBy=None&amp;GetQueryData=Search</t>
  </si>
  <si>
    <t>Total</t>
  </si>
  <si>
    <t>NB:    FF figure for total in FY 2025?</t>
  </si>
  <si>
    <t>https://github.com/AleaWM/Fiscal-Futures/blob/main/data/FY2025%20Files/summary_file_FY25_PensionChange_2025_07_016.xlsx</t>
  </si>
  <si>
    <t>Our assumed value for FY 2025</t>
  </si>
  <si>
    <t>my assumption:  low, but "surely" decreased Medicaid enrollments &amp; increased uninsured will push utilization, hence the "revenue base", down?</t>
  </si>
  <si>
    <t>What is the "tax base" here?</t>
  </si>
  <si>
    <t>We know $ per bed-day, $ per member--but we want a dollar number "kind of like" net patient revenues</t>
  </si>
  <si>
    <t>Tax Revenues</t>
  </si>
  <si>
    <t>Tax Base</t>
  </si>
  <si>
    <t>calculated as tax revenues/tax rate</t>
  </si>
  <si>
    <t>Growth &amp; Timing</t>
  </si>
  <si>
    <t>Date at which first 0.5 pp reduction must occur</t>
  </si>
  <si>
    <t xml:space="preserve"> </t>
  </si>
  <si>
    <t>State fiscal year in which 0.5 pp reduction must occur</t>
  </si>
  <si>
    <t>What share of that fiscal year will be affected by that reduction?</t>
  </si>
  <si>
    <t>Assumed annual growth rate in tax base</t>
  </si>
  <si>
    <t>What is tax base in that first year?</t>
  </si>
  <si>
    <t>First 3 months of the year (no reduction)</t>
  </si>
  <si>
    <t>Last 9 months of the year (with reduction of 0.5 pp in tax rate)</t>
  </si>
  <si>
    <t>Counterfactual status quo</t>
  </si>
  <si>
    <t>Under OBBB</t>
  </si>
  <si>
    <t>Difference</t>
  </si>
  <si>
    <t>All $ amounts are in millions of nominal dollars</t>
  </si>
  <si>
    <t>FY 2025 Hospital Assessments</t>
  </si>
  <si>
    <t>State Fiscal Year</t>
  </si>
  <si>
    <t>Tax rate, July 1-September 30</t>
  </si>
  <si>
    <t>Assumed annual growth in tax base</t>
  </si>
  <si>
    <t>Implied Tax Base</t>
  </si>
  <si>
    <t>Implied tax base in SFY 2025</t>
  </si>
  <si>
    <t>Provider Tax Revenues:  Actual</t>
  </si>
  <si>
    <t>Provider Tax Revenues:  Counterfactual, no OBBB</t>
  </si>
  <si>
    <t>Provider Tax Revenues with OBBB reductions</t>
  </si>
  <si>
    <t>Loss in Revenues relative to status quo</t>
  </si>
  <si>
    <t>Assumed current tax rate</t>
  </si>
  <si>
    <t>Tax rate, October 1 -June 30</t>
  </si>
  <si>
    <t>We know that Illinois has among the highest provider taxes &amp; assessments, but we don't know specifics</t>
  </si>
  <si>
    <t>Assumed tax rates for hospital and MCO assessments:</t>
  </si>
  <si>
    <t>why?  Because KFF survey says "between 3.5% and 5.5" for hospitals; no info on MCO assessments (Burns, Alice, Elizabeth Hinton, Elizabeth Williams, and Robin Rudowitz. “5 Key Facts About Medicaid and Provider Taxes.” KFF (blog), March 26, 2025. https://www.kff.org/medicaid/issue-brief/5-key-facts-about-medicaid-and-provider-taxes/.)</t>
  </si>
  <si>
    <t>Tax Revenues in the First Affected State Fiscal Year (2029)</t>
  </si>
  <si>
    <t>Loss in Tax Revenues Relative to Status Quo in SFY 2029</t>
  </si>
  <si>
    <t>Assumed annual growth rate of tax base (patient revenues)</t>
  </si>
  <si>
    <t>Baseline:  no growth in patient revenues</t>
  </si>
  <si>
    <t>Modest growth in patient revenues</t>
  </si>
  <si>
    <t>Modest contraction in patient revenues</t>
  </si>
  <si>
    <t>LTC Provider Assessments</t>
  </si>
  <si>
    <t>Name</t>
  </si>
  <si>
    <t>Code</t>
  </si>
  <si>
    <t>Hospital License Fees</t>
  </si>
  <si>
    <t>Health Care Pro Sup Fee (?)</t>
  </si>
  <si>
    <t>FY 2023</t>
  </si>
  <si>
    <t>FY 2024</t>
  </si>
  <si>
    <t>FY 2025</t>
  </si>
  <si>
    <t>Millions of $</t>
  </si>
  <si>
    <t>Health Care Provider Tax</t>
  </si>
  <si>
    <t>MCO Provider Assessment</t>
  </si>
  <si>
    <t>Exploring full list of tax/assessment revenues</t>
  </si>
  <si>
    <t>Comment</t>
  </si>
  <si>
    <t>Tax Handbook refers to these as nursing home assessments (2025, p. 50)</t>
  </si>
  <si>
    <t>Developmentally disabled assessment?</t>
  </si>
  <si>
    <t>Tax Handbook refers to these (2025, p. 50)</t>
  </si>
  <si>
    <t>Tax Handbook describes as levied on Cook County (2025, p. 50)</t>
  </si>
  <si>
    <t>County hospital services assessment?</t>
  </si>
  <si>
    <t>Snapshot of p. 14 from 2024 TBFR</t>
  </si>
  <si>
    <t>Tax Handbook, 2025, p. 51</t>
  </si>
  <si>
    <t>Same figures as from TBFR below</t>
  </si>
  <si>
    <t>Diff between Comptroller &amp; FF totals</t>
  </si>
  <si>
    <t>Sources</t>
  </si>
  <si>
    <t>Commission on Government Forecasting and Accountability. “Illinois Tax Handbook for Legislators, 41st Edition,” April 2025. https://cgfa.ilga.gov/commission/lru/TaxHandbook2025.pdf.</t>
  </si>
  <si>
    <t>Comptroller, State of Illinois. “Traditional Budgetary Financial Report FY 2024,” December 2024. https://illinoiscomptroller.gov/__media/sites/comptroller/FY%202024%20Traditional%20Budgetary_Final.pdf.</t>
  </si>
  <si>
    <t>Comptroller Data</t>
  </si>
  <si>
    <t>FF Data</t>
  </si>
  <si>
    <t>FF figure for total</t>
  </si>
  <si>
    <t>Revised Diff</t>
  </si>
  <si>
    <t>If I pull out LTC provider $ from Comptroller, I get very close to FF</t>
  </si>
  <si>
    <t>If I also pull out Hospital License Fees, I nail it</t>
  </si>
  <si>
    <t>Other Sources/Questions</t>
  </si>
  <si>
    <t>Fund #</t>
  </si>
  <si>
    <t>Fund Name</t>
  </si>
  <si>
    <t>Care Provider Fund for Persons with a DD</t>
  </si>
  <si>
    <t>County Provider Trust Fund</t>
  </si>
  <si>
    <t>Hospital Licensure Fund</t>
  </si>
  <si>
    <t>Hospital Provider Fund</t>
  </si>
  <si>
    <t>LTC Provider Fund</t>
  </si>
  <si>
    <t>Page of "Facts on Funds"</t>
  </si>
  <si>
    <t>FY2023 Rev ($ mil)</t>
  </si>
  <si>
    <t>Healthcare Provider Relief Fund</t>
  </si>
  <si>
    <t>Sidebar on Related Funds</t>
  </si>
  <si>
    <t>Commission on Government Forecasting &amp; Accountability. “Facts on Funds,” January 2024. https://cgfa.ilga.gov/Upload/JAN%202024%20Facts%20on%20Funds.pdf.</t>
  </si>
  <si>
    <t>FY 2025 Healthcare Provider Supplemental Assessment</t>
  </si>
  <si>
    <t>See "For_Alea" tab of this spreadsheet; I think this is the County Hospital Assessment</t>
  </si>
  <si>
    <t>Alternative assumption:  adding in the county hosp assessment</t>
  </si>
  <si>
    <t>MCO and Hospital Assessments only</t>
  </si>
  <si>
    <t>Nice Table:  Loss in Revenues relative to status quo:  Based on MCO and Hospital Assessments Only</t>
  </si>
  <si>
    <t>Nice Table:  Loss in Revenues relative to status quo:  Based on MCO, Hospital, and County Hospital Assessments</t>
  </si>
  <si>
    <t>MCO assessments</t>
  </si>
  <si>
    <t>Target</t>
  </si>
  <si>
    <t>County Provider Trust</t>
  </si>
  <si>
    <t>FY 2025 Assessments ($ millions)</t>
  </si>
  <si>
    <t>Amount</t>
  </si>
  <si>
    <t>Healthcare Provider Relief</t>
  </si>
  <si>
    <t>Healthcare Provider Supplemental Assessment</t>
  </si>
  <si>
    <t>Healthcare Provider Tax</t>
  </si>
  <si>
    <t>Care Providers for Persons with DD</t>
  </si>
  <si>
    <t>Hospital Providers</t>
  </si>
  <si>
    <t>0344</t>
  </si>
  <si>
    <t>0346</t>
  </si>
  <si>
    <t>0329</t>
  </si>
  <si>
    <t>0793</t>
  </si>
  <si>
    <t>Source</t>
  </si>
  <si>
    <t>MCO 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</si>
</sst>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"/>
    <numFmt numFmtId="165" formatCode="0.0%"/>
    <numFmt numFmtId="166" formatCode="[$-409]mmmm\ d\,\ yyyy;@"/>
    <numFmt numFmtId="167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164" fontId="0" fillId="0" borderId="0" xfId="0" applyNumberFormat="1"/>
    <xf numFmtId="0" fontId="0" fillId="0" borderId="0" xfId="0" quotePrefix="1"/>
    <xf numFmtId="164" fontId="2" fillId="0" borderId="0" xfId="1" applyNumberFormat="1"/>
    <xf numFmtId="165" fontId="0" fillId="0" borderId="0" xfId="0" applyNumberFormat="1"/>
    <xf numFmtId="0" fontId="0" fillId="0" borderId="0" xfId="0" quotePrefix="1" applyAlignment="1">
      <alignment horizontal="left" indent="2"/>
    </xf>
    <xf numFmtId="0" fontId="0" fillId="2" borderId="0" xfId="0" applyFill="1"/>
    <xf numFmtId="0" fontId="1" fillId="2" borderId="0" xfId="0" quotePrefix="1" applyFont="1" applyFill="1"/>
    <xf numFmtId="0" fontId="1" fillId="2" borderId="0" xfId="0" applyFont="1" applyFill="1"/>
    <xf numFmtId="164" fontId="1" fillId="2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left" indent="2"/>
    </xf>
    <xf numFmtId="1" fontId="0" fillId="0" borderId="0" xfId="0" applyNumberFormat="1"/>
    <xf numFmtId="9" fontId="0" fillId="0" borderId="0" xfId="0" applyNumberFormat="1"/>
    <xf numFmtId="167" fontId="0" fillId="0" borderId="0" xfId="0" applyNumberFormat="1"/>
    <xf numFmtId="0" fontId="1" fillId="2" borderId="0" xfId="0" quotePrefix="1" applyFont="1" applyFill="1" applyAlignment="1">
      <alignment horizontal="left"/>
    </xf>
    <xf numFmtId="165" fontId="0" fillId="3" borderId="0" xfId="0" applyNumberFormat="1" applyFill="1"/>
    <xf numFmtId="0" fontId="1" fillId="0" borderId="0" xfId="0" quotePrefix="1" applyFont="1"/>
    <xf numFmtId="0" fontId="1" fillId="0" borderId="0" xfId="0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quotePrefix="1" applyAlignment="1">
      <alignment horizontal="left"/>
    </xf>
    <xf numFmtId="0" fontId="1" fillId="4" borderId="1" xfId="0" quotePrefix="1" applyFont="1" applyFill="1" applyBorder="1"/>
    <xf numFmtId="0" fontId="1" fillId="4" borderId="1" xfId="0" applyFont="1" applyFill="1" applyBorder="1"/>
    <xf numFmtId="0" fontId="0" fillId="4" borderId="1" xfId="0" quotePrefix="1" applyFill="1" applyBorder="1"/>
    <xf numFmtId="0" fontId="0" fillId="4" borderId="1" xfId="0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0" fontId="0" fillId="4" borderId="1" xfId="0" quotePrefix="1" applyFill="1" applyBorder="1" applyAlignment="1">
      <alignment horizontal="left" indent="1"/>
    </xf>
    <xf numFmtId="0" fontId="1" fillId="0" borderId="0" xfId="0" quotePrefix="1" applyFont="1" applyAlignment="1">
      <alignment horizontal="right"/>
    </xf>
    <xf numFmtId="0" fontId="0" fillId="5" borderId="0" xfId="0" quotePrefix="1" applyFill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5" borderId="0" xfId="0" applyFill="1"/>
    <xf numFmtId="0" fontId="1" fillId="5" borderId="0" xfId="0" quotePrefix="1" applyFont="1" applyFill="1"/>
    <xf numFmtId="0" fontId="0" fillId="5" borderId="0" xfId="0" applyFill="1" applyAlignment="1">
      <alignment horizontal="right"/>
    </xf>
    <xf numFmtId="0" fontId="1" fillId="5" borderId="0" xfId="0" quotePrefix="1" applyFont="1" applyFill="1" applyAlignment="1">
      <alignment horizontal="left"/>
    </xf>
    <xf numFmtId="164" fontId="2" fillId="5" borderId="0" xfId="1" applyNumberFormat="1" applyFill="1"/>
    <xf numFmtId="0" fontId="0" fillId="0" borderId="1" xfId="0" applyBorder="1"/>
    <xf numFmtId="0" fontId="0" fillId="0" borderId="1" xfId="0" quotePrefix="1" applyBorder="1" applyAlignment="1">
      <alignment wrapText="1"/>
    </xf>
    <xf numFmtId="164" fontId="0" fillId="0" borderId="1" xfId="0" applyNumberFormat="1" applyBorder="1"/>
    <xf numFmtId="164" fontId="0" fillId="6" borderId="0" xfId="0" applyNumberFormat="1" applyFill="1"/>
    <xf numFmtId="164" fontId="0" fillId="4" borderId="0" xfId="0" applyNumberFormat="1" applyFill="1"/>
    <xf numFmtId="164" fontId="0" fillId="0" borderId="0" xfId="0" quotePrefix="1" applyNumberFormat="1"/>
  </cellXfs>
  <cellStyles count="2">
    <cellStyle name="Normal" xfId="0" builtinId="0"/>
    <cellStyle name="Normal 2" xfId="1" xr:uid="{6391CC6B-B2C1-48B7-9AC4-AF97696DD1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State Revenue Losses from OBBB's Caps on Provider Tax Rates</a:t>
            </a:r>
          </a:p>
          <a:p>
            <a:pPr>
              <a:defRPr/>
            </a:pPr>
            <a:r>
              <a:rPr lang="en-US"/>
              <a:t>(Based on MCO &amp; Hospital Assessments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Revenue_Forecasts!$A$18</c:f>
              <c:strCache>
                <c:ptCount val="1"/>
                <c:pt idx="0">
                  <c:v>Baseline:  no growth in patient revenues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EC-4E3B-A317-0DB3CE817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Revenue_Forecasts!$D$16:$K$16</c:f>
              <c:numCache>
                <c:formatCode>General</c:formatCode>
                <c:ptCount val="8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</c:numCache>
            </c:numRef>
          </c:cat>
          <c:val>
            <c:numRef>
              <c:f>Revenue_Forecasts!$D$18:$K$18</c:f>
              <c:numCache>
                <c:formatCode>"$"#,##0.0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286.95750000000044</c:v>
                </c:pt>
                <c:pt idx="4">
                  <c:v>669.56749999999965</c:v>
                </c:pt>
                <c:pt idx="5">
                  <c:v>1052.1774999999993</c:v>
                </c:pt>
                <c:pt idx="6">
                  <c:v>1147.8299999999995</c:v>
                </c:pt>
                <c:pt idx="7">
                  <c:v>1147.8299999999995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C-4E3B-A317-0DB3CE817596}"/>
            </c:ext>
          </c:extLst>
        </c:ser>
        <c:ser>
          <c:idx val="1"/>
          <c:order val="1"/>
          <c:tx>
            <c:strRef>
              <c:f>Revenue_Forecasts!$A$19</c:f>
              <c:strCache>
                <c:ptCount val="1"/>
                <c:pt idx="0">
                  <c:v>Modest growth in patient revenues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EC-4E3B-A317-0DB3CE817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Revenue_Forecasts!$D$16:$K$16</c:f>
              <c:numCache>
                <c:formatCode>General</c:formatCode>
                <c:ptCount val="8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</c:numCache>
            </c:numRef>
          </c:cat>
          <c:val>
            <c:numRef>
              <c:f>Revenue_Forecasts!$D$19:$K$19</c:f>
              <c:numCache>
                <c:formatCode>"$"#,##0.0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322.97319434557494</c:v>
                </c:pt>
                <c:pt idx="4">
                  <c:v>776.21224374386429</c:v>
                </c:pt>
                <c:pt idx="5">
                  <c:v>1256.3549602311414</c:v>
                </c:pt>
                <c:pt idx="6">
                  <c:v>1411.6861189506285</c:v>
                </c:pt>
                <c:pt idx="7">
                  <c:v>1454.0367025191472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C-4E3B-A317-0DB3CE817596}"/>
            </c:ext>
          </c:extLst>
        </c:ser>
        <c:ser>
          <c:idx val="2"/>
          <c:order val="2"/>
          <c:tx>
            <c:strRef>
              <c:f>Revenue_Forecasts!$A$20</c:f>
              <c:strCache>
                <c:ptCount val="1"/>
                <c:pt idx="0">
                  <c:v>Modest contraction in patient revenues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EC-4E3B-A317-0DB3CE817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Revenue_Forecasts!$D$16:$K$16</c:f>
              <c:numCache>
                <c:formatCode>General</c:formatCode>
                <c:ptCount val="8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</c:numCache>
            </c:numRef>
          </c:cat>
          <c:val>
            <c:numRef>
              <c:f>Revenue_Forecasts!$D$20:$K$20</c:f>
              <c:numCache>
                <c:formatCode>"$"#,##0.0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254.04141152557531</c:v>
                </c:pt>
                <c:pt idx="4">
                  <c:v>574.98039475288397</c:v>
                </c:pt>
                <c:pt idx="5">
                  <c:v>876.43440171618204</c:v>
                </c:pt>
                <c:pt idx="6">
                  <c:v>927.42694872512357</c:v>
                </c:pt>
                <c:pt idx="7">
                  <c:v>899.60414026337003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C-4E3B-A317-0DB3CE81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525807"/>
        <c:axId val="1385532527"/>
      </c:lineChart>
      <c:catAx>
        <c:axId val="13855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32527"/>
        <c:crosses val="autoZero"/>
        <c:auto val="1"/>
        <c:lblAlgn val="ctr"/>
        <c:lblOffset val="100"/>
        <c:noMultiLvlLbl val="0"/>
      </c:catAx>
      <c:valAx>
        <c:axId val="13855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1089660</xdr:colOff>
      <xdr:row>21</xdr:row>
      <xdr:rowOff>148590</xdr:rowOff>
    </xdr:from>
    <xdr:to>
      <xdr:col>9</xdr:col>
      <xdr:colOff>30480</xdr:colOff>
      <xdr:row>44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ADB89-6396-145C-6FB5-D071B3858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0.08866</cdr:x>
      <cdr:y>0.17363</cdr:y>
    </cdr:from>
    <cdr:to>
      <cdr:x>0.9</cdr:x>
      <cdr:y>0.27205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FEF66D-AD06-0184-6179-1D6F2BB84397}"/>
            </a:ext>
          </a:extLst>
        </cdr:cNvPr>
        <cdr:cNvSpPr txBox="1"/>
      </cdr:nvSpPr>
      <cdr:spPr>
        <a:xfrm xmlns:a="http://schemas.openxmlformats.org/drawingml/2006/main">
          <a:off x="655320" y="712470"/>
          <a:ext cx="599694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Source:  University of Illinois Fiscal Futures Project:  https://igpa-uillinois.github.io/Fiscal-Futures/.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1824990</xdr:colOff>
      <xdr:row>26</xdr:row>
      <xdr:rowOff>173355</xdr:rowOff>
    </xdr:from>
    <xdr:to>
      <xdr:col>5</xdr:col>
      <xdr:colOff>2362200</xdr:colOff>
      <xdr:row>41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6D37FF-8A6A-8A53-773B-B9BDB855B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" y="5250180"/>
          <a:ext cx="8214360" cy="2617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2FBC-B9CC-4B5A-B87E-7277D49F7C0A}">
  <dimension ref="A1:M42"/>
  <sheetViews>
    <sheetView workbookViewId="0">
      <selection activeCell="A6" sqref="A6:B15"/>
    </sheetView>
  </sheetViews>
  <sheetFormatPr defaultRowHeight="14.4" x14ac:dyDescent="0.3"/>
  <cols>
    <col min="1" max="1" width="56.77734375" customWidth="1"/>
    <col min="2" max="2" width="17.33203125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s="2" t="s">
        <v>27</v>
      </c>
    </row>
    <row r="5" spans="1:3" x14ac:dyDescent="0.3">
      <c r="A5" s="7" t="s">
        <v>12</v>
      </c>
      <c r="B5" s="8"/>
    </row>
    <row r="6" spans="1:3" x14ac:dyDescent="0.3">
      <c r="A6" s="11" t="s">
        <v>2</v>
      </c>
      <c r="B6" s="1">
        <v>1821.5</v>
      </c>
      <c r="C6" t="s">
        <v>4</v>
      </c>
    </row>
    <row r="7" spans="1:3" x14ac:dyDescent="0.3">
      <c r="A7" s="11" t="s">
        <v>28</v>
      </c>
      <c r="B7" s="1">
        <v>2004.6</v>
      </c>
      <c r="C7" t="s">
        <v>3</v>
      </c>
    </row>
    <row r="8" spans="1:3" x14ac:dyDescent="0.3">
      <c r="A8" s="5" t="s">
        <v>5</v>
      </c>
      <c r="B8" s="1">
        <f>SUM(B6:B7)</f>
        <v>3826.1</v>
      </c>
    </row>
    <row r="9" spans="1:3" x14ac:dyDescent="0.3">
      <c r="A9" s="5" t="s">
        <v>6</v>
      </c>
      <c r="B9" s="3">
        <v>4712.6278564699996</v>
      </c>
      <c r="C9" t="s">
        <v>7</v>
      </c>
    </row>
    <row r="10" spans="1:3" x14ac:dyDescent="0.3">
      <c r="A10" s="5" t="s">
        <v>93</v>
      </c>
      <c r="B10" s="3">
        <f>For_Alea!$E$10</f>
        <v>886.54</v>
      </c>
      <c r="C10" t="s">
        <v>94</v>
      </c>
    </row>
    <row r="11" spans="1:3" x14ac:dyDescent="0.3">
      <c r="A11" s="5"/>
      <c r="B11" s="3"/>
    </row>
    <row r="12" spans="1:3" x14ac:dyDescent="0.3">
      <c r="A12" s="11" t="s">
        <v>96</v>
      </c>
      <c r="B12" s="1">
        <f>B8</f>
        <v>3826.1</v>
      </c>
    </row>
    <row r="13" spans="1:3" x14ac:dyDescent="0.3">
      <c r="A13" s="5" t="s">
        <v>95</v>
      </c>
      <c r="B13" s="1">
        <f>B8+B10</f>
        <v>4712.6399999999994</v>
      </c>
      <c r="C13" t="s">
        <v>17</v>
      </c>
    </row>
    <row r="14" spans="1:3" x14ac:dyDescent="0.3">
      <c r="A14" s="5"/>
      <c r="B14" s="1"/>
    </row>
    <row r="15" spans="1:3" x14ac:dyDescent="0.3">
      <c r="A15" s="5" t="s">
        <v>8</v>
      </c>
      <c r="B15" s="43">
        <f>B13</f>
        <v>4712.6399999999994</v>
      </c>
      <c r="C15" t="s">
        <v>17</v>
      </c>
    </row>
    <row r="16" spans="1:3" x14ac:dyDescent="0.3">
      <c r="A16" s="2"/>
      <c r="B16" s="1"/>
    </row>
    <row r="17" spans="1:13" x14ac:dyDescent="0.3">
      <c r="A17" s="7" t="s">
        <v>13</v>
      </c>
      <c r="B17" s="9"/>
    </row>
    <row r="18" spans="1:13" x14ac:dyDescent="0.3">
      <c r="A18" s="2" t="s">
        <v>10</v>
      </c>
      <c r="B18" s="1"/>
    </row>
    <row r="19" spans="1:13" x14ac:dyDescent="0.3">
      <c r="A19" s="5" t="s">
        <v>11</v>
      </c>
      <c r="B19" s="1"/>
    </row>
    <row r="20" spans="1:13" x14ac:dyDescent="0.3">
      <c r="A20" s="5" t="s">
        <v>40</v>
      </c>
      <c r="B20" s="1"/>
    </row>
    <row r="21" spans="1:13" x14ac:dyDescent="0.3">
      <c r="A21" s="5" t="s">
        <v>41</v>
      </c>
      <c r="B21" s="16">
        <f>0.05</f>
        <v>0.05</v>
      </c>
      <c r="C21" t="s">
        <v>42</v>
      </c>
    </row>
    <row r="22" spans="1:13" x14ac:dyDescent="0.3">
      <c r="A22" s="5" t="s">
        <v>33</v>
      </c>
      <c r="B22" s="1">
        <f>B15/B21</f>
        <v>94252.799999999988</v>
      </c>
      <c r="C22" t="s">
        <v>14</v>
      </c>
    </row>
    <row r="23" spans="1:13" x14ac:dyDescent="0.3">
      <c r="A23" s="5"/>
      <c r="B23" s="1"/>
    </row>
    <row r="24" spans="1:13" x14ac:dyDescent="0.3">
      <c r="A24" s="15" t="s">
        <v>15</v>
      </c>
      <c r="B24" s="9"/>
      <c r="M24" t="s">
        <v>17</v>
      </c>
    </row>
    <row r="25" spans="1:13" x14ac:dyDescent="0.3">
      <c r="A25" s="5" t="s">
        <v>16</v>
      </c>
      <c r="B25" s="10">
        <v>47027</v>
      </c>
    </row>
    <row r="26" spans="1:13" x14ac:dyDescent="0.3">
      <c r="A26" s="5" t="s">
        <v>18</v>
      </c>
      <c r="B26" s="12">
        <v>2029</v>
      </c>
      <c r="K26" t="s">
        <v>17</v>
      </c>
    </row>
    <row r="27" spans="1:13" x14ac:dyDescent="0.3">
      <c r="A27" s="5" t="s">
        <v>19</v>
      </c>
      <c r="B27" s="13">
        <f>0.75</f>
        <v>0.75</v>
      </c>
    </row>
    <row r="28" spans="1:13" x14ac:dyDescent="0.3">
      <c r="A28" s="11" t="s">
        <v>20</v>
      </c>
      <c r="B28" s="16">
        <f>0.01</f>
        <v>0.01</v>
      </c>
      <c r="C28" t="s">
        <v>9</v>
      </c>
    </row>
    <row r="29" spans="1:13" x14ac:dyDescent="0.3">
      <c r="A29" s="5" t="s">
        <v>21</v>
      </c>
      <c r="B29" s="14">
        <f>(1+$B$28)^4*B22</f>
        <v>98079.841633727992</v>
      </c>
    </row>
    <row r="31" spans="1:13" x14ac:dyDescent="0.3">
      <c r="A31" s="15" t="s">
        <v>43</v>
      </c>
      <c r="B31" s="8"/>
    </row>
    <row r="32" spans="1:13" x14ac:dyDescent="0.3">
      <c r="A32" s="2" t="s">
        <v>22</v>
      </c>
      <c r="B32" s="14">
        <f>B21*B29/4</f>
        <v>1225.9980204215999</v>
      </c>
    </row>
    <row r="33" spans="1:2" x14ac:dyDescent="0.3">
      <c r="A33" s="2" t="s">
        <v>23</v>
      </c>
      <c r="B33" s="14">
        <f>B29*(B21-0.005)*3/4</f>
        <v>3310.1946551383203</v>
      </c>
    </row>
    <row r="34" spans="1:2" x14ac:dyDescent="0.3">
      <c r="A34" s="2" t="s">
        <v>5</v>
      </c>
      <c r="B34" s="14">
        <f>SUM(B32:B33)</f>
        <v>4536.1926755599197</v>
      </c>
    </row>
    <row r="36" spans="1:2" x14ac:dyDescent="0.3">
      <c r="A36" s="7" t="s">
        <v>44</v>
      </c>
      <c r="B36" s="6"/>
    </row>
    <row r="37" spans="1:2" x14ac:dyDescent="0.3">
      <c r="A37" s="2" t="s">
        <v>24</v>
      </c>
      <c r="B37" s="14">
        <f>B21*B29</f>
        <v>4903.9920816863996</v>
      </c>
    </row>
    <row r="38" spans="1:2" x14ac:dyDescent="0.3">
      <c r="A38" s="2" t="s">
        <v>25</v>
      </c>
      <c r="B38" s="14">
        <f>B34</f>
        <v>4536.1926755599197</v>
      </c>
    </row>
    <row r="39" spans="1:2" x14ac:dyDescent="0.3">
      <c r="A39" s="2" t="s">
        <v>26</v>
      </c>
      <c r="B39" s="14">
        <f>B37-B38</f>
        <v>367.79940612647988</v>
      </c>
    </row>
    <row r="41" spans="1:2" x14ac:dyDescent="0.3">
      <c r="A41" s="2" t="s">
        <v>17</v>
      </c>
    </row>
    <row r="42" spans="1:2" x14ac:dyDescent="0.3">
      <c r="A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5927-DA79-43F3-894D-33B8E43C24B4}">
  <dimension ref="A1:W32"/>
  <sheetViews>
    <sheetView tabSelected="1" topLeftCell="A16" workbookViewId="0">
      <selection activeCell="K39" sqref="K39"/>
    </sheetView>
  </sheetViews>
  <sheetFormatPr defaultRowHeight="14.4" x14ac:dyDescent="0.3"/>
  <cols>
    <col min="1" max="1" width="43.44140625" customWidth="1"/>
    <col min="3" max="5" width="9.109375" bestFit="1" customWidth="1"/>
    <col min="6" max="11" width="10.88671875" customWidth="1"/>
    <col min="12" max="12" width="5.44140625" customWidth="1"/>
    <col min="13" max="13" width="18.21875" customWidth="1"/>
  </cols>
  <sheetData>
    <row r="1" spans="1:23" x14ac:dyDescent="0.3">
      <c r="A1" t="s">
        <v>31</v>
      </c>
      <c r="B1" s="16">
        <f>0.03</f>
        <v>0.03</v>
      </c>
    </row>
    <row r="2" spans="1:23" x14ac:dyDescent="0.3">
      <c r="A2" s="2" t="s">
        <v>38</v>
      </c>
      <c r="B2" s="16">
        <f>Logic_Model!$B$21</f>
        <v>0.05</v>
      </c>
    </row>
    <row r="3" spans="1:23" x14ac:dyDescent="0.3">
      <c r="C3" s="2" t="s">
        <v>17</v>
      </c>
      <c r="D3" s="2" t="s">
        <v>17</v>
      </c>
    </row>
    <row r="4" spans="1:23" x14ac:dyDescent="0.3">
      <c r="A4" s="2" t="s">
        <v>29</v>
      </c>
      <c r="C4">
        <f>2025</f>
        <v>2025</v>
      </c>
      <c r="D4">
        <f>C4+1</f>
        <v>2026</v>
      </c>
      <c r="E4">
        <f t="shared" ref="E4:K4" si="0">D4+1</f>
        <v>2027</v>
      </c>
      <c r="F4">
        <f t="shared" si="0"/>
        <v>2028</v>
      </c>
      <c r="G4">
        <f t="shared" si="0"/>
        <v>2029</v>
      </c>
      <c r="H4">
        <f t="shared" si="0"/>
        <v>2030</v>
      </c>
      <c r="I4">
        <f t="shared" si="0"/>
        <v>2031</v>
      </c>
      <c r="J4">
        <f t="shared" si="0"/>
        <v>2032</v>
      </c>
      <c r="K4">
        <f t="shared" si="0"/>
        <v>2033</v>
      </c>
    </row>
    <row r="5" spans="1:23" x14ac:dyDescent="0.3">
      <c r="A5" t="s">
        <v>34</v>
      </c>
      <c r="C5" s="1">
        <f>Logic_Model!$B$15</f>
        <v>4712.6399999999994</v>
      </c>
      <c r="D5" s="1"/>
      <c r="E5" s="1"/>
      <c r="F5" s="1"/>
      <c r="G5" s="1"/>
      <c r="H5" s="1"/>
      <c r="I5" s="1"/>
      <c r="J5" s="1"/>
      <c r="K5" s="1"/>
    </row>
    <row r="6" spans="1:23" x14ac:dyDescent="0.3">
      <c r="A6" s="2" t="s">
        <v>32</v>
      </c>
      <c r="C6" s="1">
        <f>Logic_Model!$B$22</f>
        <v>94252.799999999988</v>
      </c>
      <c r="D6" s="1">
        <f>C6*(1+$B$1)</f>
        <v>97080.383999999991</v>
      </c>
      <c r="E6" s="1">
        <f t="shared" ref="E6:K6" si="1">D6*(1+$B$1)</f>
        <v>99992.79552</v>
      </c>
      <c r="F6" s="1">
        <f t="shared" si="1"/>
        <v>102992.57938560001</v>
      </c>
      <c r="G6" s="1">
        <f t="shared" si="1"/>
        <v>106082.35676716801</v>
      </c>
      <c r="H6" s="1">
        <f t="shared" si="1"/>
        <v>109264.82747018305</v>
      </c>
      <c r="I6" s="1">
        <f t="shared" si="1"/>
        <v>112542.77229428854</v>
      </c>
      <c r="J6" s="1">
        <f t="shared" si="1"/>
        <v>115919.0554631172</v>
      </c>
      <c r="K6" s="1">
        <f t="shared" si="1"/>
        <v>119396.62712701071</v>
      </c>
    </row>
    <row r="7" spans="1:23" x14ac:dyDescent="0.3">
      <c r="A7" s="2" t="s">
        <v>35</v>
      </c>
      <c r="C7" s="1"/>
      <c r="D7" s="1">
        <f>Logic_Model!$B$21*D6</f>
        <v>4854.0191999999997</v>
      </c>
      <c r="E7" s="1">
        <f>Logic_Model!$B$21*E6</f>
        <v>4999.639776</v>
      </c>
      <c r="F7" s="1">
        <f>Logic_Model!$B$21*F6</f>
        <v>5149.628969280001</v>
      </c>
      <c r="G7" s="1">
        <f>Logic_Model!$B$21*G6</f>
        <v>5304.1178383584011</v>
      </c>
      <c r="H7" s="1">
        <f>Logic_Model!$B$21*H6</f>
        <v>5463.2413735091532</v>
      </c>
      <c r="I7" s="1">
        <f>Logic_Model!$B$21*I6</f>
        <v>5627.1386147144276</v>
      </c>
      <c r="J7" s="1">
        <f>Logic_Model!$B$21*J6</f>
        <v>5795.9527731558601</v>
      </c>
      <c r="K7" s="1">
        <f>Logic_Model!$B$21*K6</f>
        <v>5969.8313563505362</v>
      </c>
    </row>
    <row r="8" spans="1:23" x14ac:dyDescent="0.3">
      <c r="A8" s="2"/>
    </row>
    <row r="9" spans="1:23" x14ac:dyDescent="0.3">
      <c r="A9" s="2" t="s">
        <v>30</v>
      </c>
      <c r="C9" s="4">
        <f>Logic_Model!$B$21</f>
        <v>0.05</v>
      </c>
      <c r="D9" s="4">
        <f>Logic_Model!$B$21</f>
        <v>0.05</v>
      </c>
      <c r="E9" s="4">
        <f>Logic_Model!$B$21</f>
        <v>0.05</v>
      </c>
      <c r="F9" s="4">
        <f>E10</f>
        <v>0.05</v>
      </c>
      <c r="G9" s="4">
        <f t="shared" ref="G9:J9" si="2">F10</f>
        <v>0.05</v>
      </c>
      <c r="H9" s="4">
        <f t="shared" si="2"/>
        <v>4.5000000000000005E-2</v>
      </c>
      <c r="I9" s="4">
        <f t="shared" si="2"/>
        <v>4.0000000000000008E-2</v>
      </c>
      <c r="J9" s="4">
        <f t="shared" si="2"/>
        <v>3.500000000000001E-2</v>
      </c>
      <c r="K9" s="4">
        <f>J10</f>
        <v>3.500000000000001E-2</v>
      </c>
    </row>
    <row r="10" spans="1:23" x14ac:dyDescent="0.3">
      <c r="A10" s="2" t="s">
        <v>39</v>
      </c>
      <c r="C10" s="4">
        <f>Logic_Model!$B$21</f>
        <v>0.05</v>
      </c>
      <c r="D10" s="4">
        <f>Logic_Model!$B$21</f>
        <v>0.05</v>
      </c>
      <c r="E10" s="4">
        <f>Logic_Model!$B$21</f>
        <v>0.05</v>
      </c>
      <c r="F10" s="4">
        <f>Logic_Model!$B$21</f>
        <v>0.05</v>
      </c>
      <c r="G10" s="4">
        <f t="shared" ref="G10:I10" si="3">G9-0.005</f>
        <v>4.5000000000000005E-2</v>
      </c>
      <c r="H10" s="4">
        <f t="shared" si="3"/>
        <v>4.0000000000000008E-2</v>
      </c>
      <c r="I10" s="4">
        <f t="shared" si="3"/>
        <v>3.500000000000001E-2</v>
      </c>
      <c r="J10" s="4">
        <f>J9</f>
        <v>3.500000000000001E-2</v>
      </c>
      <c r="K10" s="4">
        <f>K9</f>
        <v>3.500000000000001E-2</v>
      </c>
    </row>
    <row r="11" spans="1:23" x14ac:dyDescent="0.3">
      <c r="A11" t="s">
        <v>36</v>
      </c>
      <c r="C11" s="1"/>
      <c r="D11" s="1">
        <f t="shared" ref="D11:K11" si="4">D6*(D9/4 + D10*3/4)</f>
        <v>4854.0191999999997</v>
      </c>
      <c r="E11" s="1">
        <f t="shared" si="4"/>
        <v>4999.639776</v>
      </c>
      <c r="F11" s="1">
        <f t="shared" si="4"/>
        <v>5149.628969280001</v>
      </c>
      <c r="G11" s="1">
        <f t="shared" si="4"/>
        <v>4906.3090004815203</v>
      </c>
      <c r="H11" s="1">
        <f t="shared" si="4"/>
        <v>4507.1741331450521</v>
      </c>
      <c r="I11" s="1">
        <f t="shared" si="4"/>
        <v>4079.6754956679611</v>
      </c>
      <c r="J11" s="1">
        <f t="shared" si="4"/>
        <v>4057.1669412091032</v>
      </c>
      <c r="K11" s="1">
        <f t="shared" si="4"/>
        <v>4178.8819494453764</v>
      </c>
    </row>
    <row r="12" spans="1:23" x14ac:dyDescent="0.3">
      <c r="C12" s="1"/>
      <c r="D12" s="1"/>
      <c r="E12" s="1"/>
      <c r="F12" s="1"/>
      <c r="G12" s="1"/>
      <c r="H12" s="1"/>
      <c r="I12" s="1"/>
      <c r="J12" s="1"/>
      <c r="K12" s="1"/>
    </row>
    <row r="13" spans="1:23" x14ac:dyDescent="0.3">
      <c r="A13" s="2" t="s">
        <v>37</v>
      </c>
      <c r="C13" s="1"/>
      <c r="D13" s="1">
        <f t="shared" ref="D13:K13" si="5">D7-D11</f>
        <v>0</v>
      </c>
      <c r="E13" s="1">
        <f t="shared" si="5"/>
        <v>0</v>
      </c>
      <c r="F13" s="1">
        <f t="shared" si="5"/>
        <v>0</v>
      </c>
      <c r="G13" s="1">
        <f t="shared" si="5"/>
        <v>397.80883787688072</v>
      </c>
      <c r="H13" s="1">
        <f t="shared" si="5"/>
        <v>956.06724036410105</v>
      </c>
      <c r="I13" s="1">
        <f t="shared" si="5"/>
        <v>1547.4631190464665</v>
      </c>
      <c r="J13" s="1">
        <f t="shared" si="5"/>
        <v>1738.7858319467568</v>
      </c>
      <c r="K13" s="1">
        <f t="shared" si="5"/>
        <v>1790.9494069051598</v>
      </c>
    </row>
    <row r="15" spans="1:23" s="18" customFormat="1" x14ac:dyDescent="0.3">
      <c r="A15" s="25" t="s">
        <v>97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M15" s="25" t="s">
        <v>98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3">
      <c r="A16" s="27" t="s">
        <v>29</v>
      </c>
      <c r="B16" s="28"/>
      <c r="C16" s="28">
        <f>2025</f>
        <v>2025</v>
      </c>
      <c r="D16" s="28">
        <f>C16+1</f>
        <v>2026</v>
      </c>
      <c r="E16" s="28">
        <f t="shared" ref="E16" si="6">D16+1</f>
        <v>2027</v>
      </c>
      <c r="F16" s="28">
        <f t="shared" ref="F16" si="7">E16+1</f>
        <v>2028</v>
      </c>
      <c r="G16" s="28">
        <f t="shared" ref="G16" si="8">F16+1</f>
        <v>2029</v>
      </c>
      <c r="H16" s="28">
        <f t="shared" ref="H16" si="9">G16+1</f>
        <v>2030</v>
      </c>
      <c r="I16" s="28">
        <f t="shared" ref="I16" si="10">H16+1</f>
        <v>2031</v>
      </c>
      <c r="J16" s="28">
        <f t="shared" ref="J16" si="11">I16+1</f>
        <v>2032</v>
      </c>
      <c r="K16" s="28">
        <f t="shared" ref="K16" si="12">J16+1</f>
        <v>2033</v>
      </c>
      <c r="M16" s="27" t="s">
        <v>29</v>
      </c>
      <c r="N16" s="28"/>
      <c r="O16" s="28">
        <f>2025</f>
        <v>2025</v>
      </c>
      <c r="P16" s="28">
        <f>O16+1</f>
        <v>2026</v>
      </c>
      <c r="Q16" s="28">
        <f t="shared" ref="Q16" si="13">P16+1</f>
        <v>2027</v>
      </c>
      <c r="R16" s="28">
        <f t="shared" ref="R16" si="14">Q16+1</f>
        <v>2028</v>
      </c>
      <c r="S16" s="28">
        <f t="shared" ref="S16" si="15">R16+1</f>
        <v>2029</v>
      </c>
      <c r="T16" s="28">
        <f t="shared" ref="T16" si="16">S16+1</f>
        <v>2030</v>
      </c>
      <c r="U16" s="28">
        <f t="shared" ref="U16" si="17">T16+1</f>
        <v>2031</v>
      </c>
      <c r="V16" s="28">
        <f t="shared" ref="V16" si="18">U16+1</f>
        <v>2032</v>
      </c>
      <c r="W16" s="28">
        <f t="shared" ref="W16" si="19">V16+1</f>
        <v>2033</v>
      </c>
    </row>
    <row r="17" spans="1:23" x14ac:dyDescent="0.3">
      <c r="A17" s="27" t="s">
        <v>45</v>
      </c>
      <c r="B17" s="29"/>
      <c r="C17" s="30"/>
      <c r="D17" s="30"/>
      <c r="E17" s="30"/>
      <c r="F17" s="30"/>
      <c r="G17" s="30"/>
      <c r="H17" s="30"/>
      <c r="I17" s="30"/>
      <c r="J17" s="30"/>
      <c r="K17" s="30"/>
      <c r="M17" s="27" t="s">
        <v>45</v>
      </c>
      <c r="N17" s="29"/>
      <c r="O17" s="30"/>
      <c r="P17" s="30"/>
      <c r="Q17" s="30"/>
      <c r="R17" s="30"/>
      <c r="S17" s="30"/>
      <c r="T17" s="30"/>
      <c r="U17" s="30"/>
      <c r="V17" s="30"/>
      <c r="W17" s="30"/>
    </row>
    <row r="18" spans="1:23" x14ac:dyDescent="0.3">
      <c r="A18" s="31" t="s">
        <v>46</v>
      </c>
      <c r="B18" s="29">
        <f>0</f>
        <v>0</v>
      </c>
      <c r="C18" s="30"/>
      <c r="D18" s="30">
        <v>0</v>
      </c>
      <c r="E18" s="30">
        <v>0</v>
      </c>
      <c r="F18" s="30">
        <v>0</v>
      </c>
      <c r="G18" s="30">
        <v>286.95750000000044</v>
      </c>
      <c r="H18" s="30">
        <v>669.56749999999965</v>
      </c>
      <c r="I18" s="30">
        <v>1052.1774999999993</v>
      </c>
      <c r="J18" s="30">
        <v>1147.8299999999995</v>
      </c>
      <c r="K18" s="30">
        <v>1147.8299999999995</v>
      </c>
      <c r="M18" s="31" t="s">
        <v>46</v>
      </c>
      <c r="N18" s="29">
        <f>0</f>
        <v>0</v>
      </c>
      <c r="O18" s="30"/>
      <c r="P18" s="30">
        <v>0</v>
      </c>
      <c r="Q18" s="30">
        <v>0</v>
      </c>
      <c r="R18" s="30">
        <v>0</v>
      </c>
      <c r="S18" s="30">
        <v>353.44800000000032</v>
      </c>
      <c r="T18" s="30">
        <v>824.71199999999908</v>
      </c>
      <c r="U18" s="30">
        <v>1295.9759999999987</v>
      </c>
      <c r="V18" s="30">
        <v>1413.791999999999</v>
      </c>
      <c r="W18" s="30">
        <v>1413.791999999999</v>
      </c>
    </row>
    <row r="19" spans="1:23" x14ac:dyDescent="0.3">
      <c r="A19" s="31" t="s">
        <v>47</v>
      </c>
      <c r="B19" s="29">
        <f>0.03</f>
        <v>0.03</v>
      </c>
      <c r="C19" s="30"/>
      <c r="D19" s="30">
        <v>0</v>
      </c>
      <c r="E19" s="30">
        <v>0</v>
      </c>
      <c r="F19" s="30">
        <v>0</v>
      </c>
      <c r="G19" s="30">
        <v>322.97319434557494</v>
      </c>
      <c r="H19" s="30">
        <v>776.21224374386429</v>
      </c>
      <c r="I19" s="30">
        <v>1256.3549602311414</v>
      </c>
      <c r="J19" s="30">
        <v>1411.6861189506285</v>
      </c>
      <c r="K19" s="30">
        <v>1454.0367025191472</v>
      </c>
      <c r="M19" s="31" t="s">
        <v>47</v>
      </c>
      <c r="N19" s="29">
        <f>0.03</f>
        <v>0.03</v>
      </c>
      <c r="O19" s="30"/>
      <c r="P19" s="44">
        <v>0</v>
      </c>
      <c r="Q19" s="44">
        <v>0</v>
      </c>
      <c r="R19" s="44">
        <v>0</v>
      </c>
      <c r="S19" s="44">
        <v>397.80883787688072</v>
      </c>
      <c r="T19" s="44">
        <v>956.06724036410105</v>
      </c>
      <c r="U19" s="44">
        <v>1547.4631190464665</v>
      </c>
      <c r="V19" s="44">
        <v>1738.7858319467568</v>
      </c>
      <c r="W19" s="44">
        <v>1790.9494069051598</v>
      </c>
    </row>
    <row r="20" spans="1:23" x14ac:dyDescent="0.3">
      <c r="A20" s="31" t="s">
        <v>48</v>
      </c>
      <c r="B20" s="29">
        <f>-0.03</f>
        <v>-0.03</v>
      </c>
      <c r="C20" s="30"/>
      <c r="D20" s="30">
        <v>0</v>
      </c>
      <c r="E20" s="30">
        <v>0</v>
      </c>
      <c r="F20" s="30">
        <v>0</v>
      </c>
      <c r="G20" s="30">
        <v>254.04141152557531</v>
      </c>
      <c r="H20" s="30">
        <v>574.98039475288397</v>
      </c>
      <c r="I20" s="30">
        <v>876.43440171618204</v>
      </c>
      <c r="J20" s="30">
        <v>927.42694872512357</v>
      </c>
      <c r="K20" s="30">
        <v>899.60414026337003</v>
      </c>
      <c r="M20" s="31" t="s">
        <v>48</v>
      </c>
      <c r="N20" s="29">
        <f>-0.03</f>
        <v>-0.03</v>
      </c>
      <c r="O20" s="30"/>
      <c r="P20" s="30">
        <v>0</v>
      </c>
      <c r="Q20" s="30">
        <v>0</v>
      </c>
      <c r="R20" s="30">
        <v>0</v>
      </c>
      <c r="S20" s="30">
        <v>312.90497310887986</v>
      </c>
      <c r="T20" s="30">
        <v>708.20825580309747</v>
      </c>
      <c r="U20" s="30">
        <v>1079.5117270598648</v>
      </c>
      <c r="V20" s="30">
        <v>1142.3196820888024</v>
      </c>
      <c r="W20" s="30">
        <v>1108.0500916261381</v>
      </c>
    </row>
    <row r="32" spans="1:23" x14ac:dyDescent="0.3">
      <c r="M32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767B-2BB6-41AE-878A-0DB456AEBA59}">
  <dimension ref="A1:K43"/>
  <sheetViews>
    <sheetView topLeftCell="A36" workbookViewId="0">
      <selection activeCell="E10" sqref="E10"/>
    </sheetView>
  </sheetViews>
  <sheetFormatPr defaultRowHeight="14.4" x14ac:dyDescent="0.3"/>
  <cols>
    <col min="1" max="1" width="57.77734375" customWidth="1"/>
    <col min="2" max="4" width="13" style="20" customWidth="1"/>
    <col min="5" max="5" width="15" style="21" customWidth="1"/>
    <col min="6" max="6" width="66.33203125" customWidth="1"/>
    <col min="7" max="7" width="3.33203125" customWidth="1"/>
    <col min="10" max="10" width="16.5546875" customWidth="1"/>
    <col min="11" max="11" width="35.6640625" customWidth="1"/>
  </cols>
  <sheetData>
    <row r="1" spans="1:11" x14ac:dyDescent="0.3">
      <c r="A1" s="2" t="s">
        <v>60</v>
      </c>
      <c r="B1" s="19"/>
      <c r="C1" s="19"/>
      <c r="D1" s="19"/>
    </row>
    <row r="2" spans="1:11" x14ac:dyDescent="0.3">
      <c r="A2" s="2" t="s">
        <v>57</v>
      </c>
      <c r="B2" s="19"/>
      <c r="C2" s="19"/>
      <c r="D2" s="19"/>
    </row>
    <row r="3" spans="1:11" x14ac:dyDescent="0.3">
      <c r="A3" s="2"/>
      <c r="B3" s="19"/>
      <c r="C3" s="19"/>
      <c r="D3" s="19"/>
    </row>
    <row r="4" spans="1:11" x14ac:dyDescent="0.3">
      <c r="A4" s="17" t="s">
        <v>50</v>
      </c>
      <c r="B4" s="22" t="s">
        <v>51</v>
      </c>
      <c r="C4" s="22" t="s">
        <v>54</v>
      </c>
      <c r="D4" s="22" t="s">
        <v>55</v>
      </c>
      <c r="E4" s="23" t="s">
        <v>56</v>
      </c>
      <c r="F4" s="32" t="s">
        <v>61</v>
      </c>
      <c r="H4" s="17" t="s">
        <v>91</v>
      </c>
    </row>
    <row r="5" spans="1:11" ht="43.2" x14ac:dyDescent="0.3">
      <c r="A5" s="36" t="s">
        <v>74</v>
      </c>
      <c r="B5" s="33"/>
      <c r="C5" s="33"/>
      <c r="D5" s="33"/>
      <c r="E5" s="34"/>
      <c r="F5" s="35"/>
      <c r="H5" s="40" t="s">
        <v>81</v>
      </c>
      <c r="I5" s="41" t="s">
        <v>88</v>
      </c>
      <c r="J5" s="41" t="s">
        <v>89</v>
      </c>
      <c r="K5" s="40" t="s">
        <v>82</v>
      </c>
    </row>
    <row r="6" spans="1:11" x14ac:dyDescent="0.3">
      <c r="A6" t="s">
        <v>59</v>
      </c>
      <c r="B6" s="20">
        <v>2683</v>
      </c>
      <c r="C6" s="21">
        <v>1446.97605</v>
      </c>
      <c r="D6" s="21">
        <v>1588.290933</v>
      </c>
      <c r="E6" s="21">
        <v>1821.5</v>
      </c>
      <c r="H6" s="40">
        <v>344</v>
      </c>
      <c r="I6" s="40">
        <v>316</v>
      </c>
      <c r="J6" s="42">
        <v>53.647150000000003</v>
      </c>
      <c r="K6" s="40" t="s">
        <v>83</v>
      </c>
    </row>
    <row r="7" spans="1:11" x14ac:dyDescent="0.3">
      <c r="A7" t="s">
        <v>58</v>
      </c>
      <c r="B7" s="20">
        <v>133</v>
      </c>
      <c r="C7" s="21">
        <v>1872.20327</v>
      </c>
      <c r="D7" s="21">
        <f>1931.945387</f>
        <v>1931.945387</v>
      </c>
      <c r="E7" s="21">
        <v>2004.5732680000001</v>
      </c>
      <c r="H7" s="40">
        <v>329</v>
      </c>
      <c r="I7" s="40">
        <v>300</v>
      </c>
      <c r="J7" s="42">
        <v>2946.643</v>
      </c>
      <c r="K7" s="40" t="s">
        <v>84</v>
      </c>
    </row>
    <row r="8" spans="1:11" x14ac:dyDescent="0.3">
      <c r="A8" t="s">
        <v>49</v>
      </c>
      <c r="B8" s="20">
        <v>2374</v>
      </c>
      <c r="C8" s="21">
        <v>272.13896199999999</v>
      </c>
      <c r="D8" s="21">
        <v>298.96449899999999</v>
      </c>
      <c r="E8" s="21">
        <f>331.44791</f>
        <v>331.44790999999998</v>
      </c>
      <c r="F8" s="21" t="s">
        <v>62</v>
      </c>
      <c r="H8" s="40">
        <v>793</v>
      </c>
      <c r="I8" s="40">
        <v>646</v>
      </c>
      <c r="J8" s="42">
        <v>13518.791044</v>
      </c>
      <c r="K8" s="40" t="s">
        <v>90</v>
      </c>
    </row>
    <row r="9" spans="1:11" x14ac:dyDescent="0.3">
      <c r="A9" t="s">
        <v>52</v>
      </c>
      <c r="B9" s="20">
        <v>2495</v>
      </c>
      <c r="C9" s="21">
        <f>1.55397</f>
        <v>1.5539700000000001</v>
      </c>
      <c r="D9" s="21">
        <f>1.57399</f>
        <v>1.57399</v>
      </c>
      <c r="E9" s="21">
        <f>1.534335</f>
        <v>1.534335</v>
      </c>
      <c r="H9" s="40">
        <v>68</v>
      </c>
      <c r="I9" s="40">
        <v>88</v>
      </c>
      <c r="J9" s="42">
        <v>1.789533</v>
      </c>
      <c r="K9" s="40" t="s">
        <v>85</v>
      </c>
    </row>
    <row r="10" spans="1:11" x14ac:dyDescent="0.3">
      <c r="A10" t="s">
        <v>53</v>
      </c>
      <c r="B10" s="20">
        <v>129</v>
      </c>
      <c r="C10" s="21">
        <v>769.20060100000001</v>
      </c>
      <c r="D10" s="21">
        <v>821.35751500000003</v>
      </c>
      <c r="E10" s="21">
        <v>886.54</v>
      </c>
      <c r="H10" s="40">
        <v>346</v>
      </c>
      <c r="I10" s="40">
        <v>318</v>
      </c>
      <c r="J10" s="42">
        <v>4749.363652</v>
      </c>
      <c r="K10" s="40" t="s">
        <v>86</v>
      </c>
    </row>
    <row r="11" spans="1:11" x14ac:dyDescent="0.3">
      <c r="A11" s="2" t="s">
        <v>5</v>
      </c>
      <c r="C11" s="21">
        <f t="shared" ref="C11" si="0">SUM(C6:C10)</f>
        <v>4362.0728529999997</v>
      </c>
      <c r="D11" s="21">
        <f>SUM(D6:D10)</f>
        <v>4642.1323240000002</v>
      </c>
      <c r="E11" s="21">
        <f>SUM(E6:E10)</f>
        <v>5045.5955130000002</v>
      </c>
      <c r="H11" s="40">
        <v>345</v>
      </c>
      <c r="I11" s="40">
        <v>317</v>
      </c>
      <c r="J11" s="42">
        <v>784.35010999999997</v>
      </c>
      <c r="K11" s="40" t="s">
        <v>87</v>
      </c>
    </row>
    <row r="12" spans="1:11" x14ac:dyDescent="0.3">
      <c r="A12" s="36" t="s">
        <v>75</v>
      </c>
      <c r="B12" s="37"/>
      <c r="C12" s="34"/>
      <c r="D12" s="34"/>
      <c r="E12" s="34"/>
      <c r="F12" s="35"/>
    </row>
    <row r="13" spans="1:11" x14ac:dyDescent="0.3">
      <c r="A13" s="24" t="s">
        <v>76</v>
      </c>
      <c r="C13" s="21">
        <v>4088.3799209099998</v>
      </c>
      <c r="D13" s="21">
        <v>4341.5937351900002</v>
      </c>
      <c r="E13" s="3">
        <v>4712.6278564699996</v>
      </c>
    </row>
    <row r="14" spans="1:11" x14ac:dyDescent="0.3">
      <c r="A14" s="5" t="s">
        <v>70</v>
      </c>
      <c r="C14" s="21">
        <f>C11-C13</f>
        <v>273.69293208999989</v>
      </c>
      <c r="D14" s="21">
        <f t="shared" ref="D14:E14" si="1">D11-D13</f>
        <v>300.53858880999996</v>
      </c>
      <c r="E14" s="21">
        <f t="shared" si="1"/>
        <v>332.96765653000057</v>
      </c>
    </row>
    <row r="15" spans="1:11" x14ac:dyDescent="0.3">
      <c r="A15" s="11" t="s">
        <v>78</v>
      </c>
      <c r="C15" s="21">
        <f>C11-C8</f>
        <v>4089.9338909999997</v>
      </c>
      <c r="D15" s="21">
        <f>D11-D8</f>
        <v>4343.1678250000004</v>
      </c>
      <c r="E15" s="21">
        <f>E11-E8</f>
        <v>4714.1476030000003</v>
      </c>
    </row>
    <row r="16" spans="1:11" x14ac:dyDescent="0.3">
      <c r="A16" s="5" t="s">
        <v>79</v>
      </c>
      <c r="C16" s="21">
        <f>C15-C9</f>
        <v>4088.3799209999997</v>
      </c>
      <c r="D16" s="21">
        <f>D15-D9</f>
        <v>4341.5938350000006</v>
      </c>
      <c r="E16" s="21">
        <f>E15-E9</f>
        <v>4712.6132680000001</v>
      </c>
    </row>
    <row r="17" spans="1:11" x14ac:dyDescent="0.3">
      <c r="A17" s="5" t="s">
        <v>77</v>
      </c>
      <c r="C17" s="21">
        <f>C16-C13</f>
        <v>8.9999957708641887E-8</v>
      </c>
      <c r="D17" s="21">
        <f t="shared" ref="D17:E17" si="2">D16-D13</f>
        <v>9.9810000392608345E-5</v>
      </c>
      <c r="E17" s="21">
        <f t="shared" si="2"/>
        <v>-1.4588469999580411E-2</v>
      </c>
    </row>
    <row r="18" spans="1:11" x14ac:dyDescent="0.3">
      <c r="A18" s="38" t="s">
        <v>80</v>
      </c>
      <c r="B18" s="37"/>
      <c r="C18" s="34"/>
      <c r="D18" s="34"/>
      <c r="E18" s="39"/>
      <c r="F18" s="35"/>
    </row>
    <row r="19" spans="1:11" x14ac:dyDescent="0.3">
      <c r="A19" s="24" t="s">
        <v>68</v>
      </c>
      <c r="C19" s="21">
        <v>4361</v>
      </c>
      <c r="D19" s="21">
        <v>4641</v>
      </c>
      <c r="E19" s="3"/>
      <c r="F19" t="s">
        <v>69</v>
      </c>
    </row>
    <row r="20" spans="1:11" x14ac:dyDescent="0.3">
      <c r="A20" t="s">
        <v>63</v>
      </c>
      <c r="F20" t="s">
        <v>64</v>
      </c>
    </row>
    <row r="21" spans="1:11" x14ac:dyDescent="0.3">
      <c r="A21" t="s">
        <v>66</v>
      </c>
      <c r="F21" t="s">
        <v>65</v>
      </c>
    </row>
    <row r="22" spans="1:11" x14ac:dyDescent="0.3">
      <c r="A22" t="s">
        <v>17</v>
      </c>
    </row>
    <row r="23" spans="1:11" x14ac:dyDescent="0.3">
      <c r="A23" s="2" t="s">
        <v>67</v>
      </c>
    </row>
    <row r="24" spans="1:11" x14ac:dyDescent="0.3">
      <c r="K24" t="s">
        <v>17</v>
      </c>
    </row>
    <row r="40" spans="1:1" x14ac:dyDescent="0.3">
      <c r="A40" s="2" t="s">
        <v>71</v>
      </c>
    </row>
    <row r="41" spans="1:1" x14ac:dyDescent="0.3">
      <c r="A41" t="s">
        <v>72</v>
      </c>
    </row>
    <row r="42" spans="1:1" x14ac:dyDescent="0.3">
      <c r="A42" t="s">
        <v>73</v>
      </c>
    </row>
    <row r="43" spans="1:1" x14ac:dyDescent="0.3">
      <c r="A43" t="s">
        <v>92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B70C-E854-44E1-B702-55CFF500D0D2}">
  <dimension ref="A1:E19"/>
  <sheetViews>
    <sheetView workbookViewId="0">
      <selection activeCell="H18" sqref="H18"/>
    </sheetView>
  </sheetViews>
  <sheetFormatPr defaultRowHeight="14.4" x14ac:dyDescent="0.3"/>
  <cols>
    <col min="1" max="1" width="42" customWidth="1"/>
    <col min="2" max="2" width="32.6640625" customWidth="1"/>
    <col min="3" max="3" width="40.21875" customWidth="1"/>
  </cols>
  <sheetData>
    <row r="1" spans="1:5" x14ac:dyDescent="0.3">
      <c r="A1" t="s">
        <v>102</v>
      </c>
    </row>
    <row r="2" spans="1:5" x14ac:dyDescent="0.3">
      <c r="C2" s="2" t="s">
        <v>100</v>
      </c>
      <c r="D2" s="2" t="s">
        <v>81</v>
      </c>
      <c r="E2" s="2" t="s">
        <v>103</v>
      </c>
    </row>
    <row r="3" spans="1:5" x14ac:dyDescent="0.3">
      <c r="A3" t="s">
        <v>99</v>
      </c>
      <c r="B3" s="1">
        <v>1821.5</v>
      </c>
      <c r="C3" t="s">
        <v>101</v>
      </c>
      <c r="D3" s="2" t="s">
        <v>111</v>
      </c>
      <c r="E3" s="1">
        <v>372.82100400000002</v>
      </c>
    </row>
    <row r="4" spans="1:5" x14ac:dyDescent="0.3">
      <c r="B4" s="1"/>
      <c r="C4" t="s">
        <v>104</v>
      </c>
      <c r="D4" s="2" t="s">
        <v>112</v>
      </c>
      <c r="E4" s="1">
        <v>1448.6935840000001</v>
      </c>
    </row>
    <row r="5" spans="1:5" x14ac:dyDescent="0.3">
      <c r="A5" t="s">
        <v>105</v>
      </c>
      <c r="B5" s="1">
        <v>886.54</v>
      </c>
      <c r="C5" t="s">
        <v>101</v>
      </c>
      <c r="D5" s="2" t="s">
        <v>111</v>
      </c>
      <c r="E5" s="1">
        <v>886.54</v>
      </c>
    </row>
    <row r="6" spans="1:5" x14ac:dyDescent="0.3">
      <c r="A6" s="2" t="s">
        <v>106</v>
      </c>
      <c r="B6" s="1">
        <v>2004.6</v>
      </c>
      <c r="C6" t="s">
        <v>107</v>
      </c>
      <c r="D6" s="2" t="s">
        <v>109</v>
      </c>
      <c r="E6" s="1">
        <v>23.345963999999999</v>
      </c>
    </row>
    <row r="7" spans="1:5" x14ac:dyDescent="0.3">
      <c r="B7" s="1"/>
      <c r="C7" t="s">
        <v>108</v>
      </c>
      <c r="D7" s="2" t="s">
        <v>110</v>
      </c>
      <c r="E7" s="1">
        <v>1981.227304</v>
      </c>
    </row>
    <row r="8" spans="1:5" x14ac:dyDescent="0.3">
      <c r="B8" s="1"/>
      <c r="D8" s="2"/>
      <c r="E8" s="1"/>
    </row>
    <row r="9" spans="1:5" x14ac:dyDescent="0.3">
      <c r="A9" s="2" t="s">
        <v>5</v>
      </c>
      <c r="B9" s="1">
        <f>SUM(B3:B6)</f>
        <v>4712.6399999999994</v>
      </c>
      <c r="D9" s="2"/>
      <c r="E9" s="1">
        <f>SUM(E3:E7)</f>
        <v>4712.6278560000001</v>
      </c>
    </row>
    <row r="11" spans="1:5" x14ac:dyDescent="0.3">
      <c r="B11" s="1"/>
    </row>
    <row r="12" spans="1:5" x14ac:dyDescent="0.3">
      <c r="A12" s="2" t="s">
        <v>113</v>
      </c>
      <c r="B12" s="45" t="s">
        <v>100</v>
      </c>
      <c r="C12" s="2" t="s">
        <v>103</v>
      </c>
    </row>
    <row r="13" spans="1:5" x14ac:dyDescent="0.3">
      <c r="A13" t="s">
        <v>114</v>
      </c>
      <c r="B13" t="s">
        <v>101</v>
      </c>
      <c r="C13" s="1">
        <v>372.82100400000002</v>
      </c>
    </row>
    <row r="14" spans="1:5" x14ac:dyDescent="0.3">
      <c r="A14" t="s">
        <v>114</v>
      </c>
      <c r="B14" t="s">
        <v>104</v>
      </c>
      <c r="C14" s="1">
        <v>1448.6935840000001</v>
      </c>
    </row>
    <row r="15" spans="1:5" x14ac:dyDescent="0.3">
      <c r="A15" t="s">
        <v>105</v>
      </c>
      <c r="B15" t="s">
        <v>101</v>
      </c>
      <c r="C15" s="1">
        <v>886.54</v>
      </c>
    </row>
    <row r="16" spans="1:5" x14ac:dyDescent="0.3">
      <c r="A16" s="2" t="s">
        <v>106</v>
      </c>
      <c r="B16" t="s">
        <v>107</v>
      </c>
      <c r="C16" s="1">
        <v>23.345963999999999</v>
      </c>
    </row>
    <row r="17" spans="1:3" x14ac:dyDescent="0.3">
      <c r="A17" s="2" t="s">
        <v>106</v>
      </c>
      <c r="B17" t="s">
        <v>108</v>
      </c>
      <c r="C17" s="1">
        <v>1981.227304</v>
      </c>
    </row>
    <row r="18" spans="1:3" x14ac:dyDescent="0.3">
      <c r="B18" s="1"/>
    </row>
    <row r="19" spans="1:3" x14ac:dyDescent="0.3">
      <c r="B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Logic_Model</vt:lpstr>
      <vt:lpstr>Revenue_Forecasts</vt:lpstr>
      <vt:lpstr>For_Alea</vt:lpstr>
      <vt:lpstr>Sankey_Alea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Worthington</dc:creator>
  <cp:lastModifiedBy>Paula Worthington</cp:lastModifiedBy>
  <cp:lastPrinted>2025-09-06T15:19:19Z</cp:lastPrinted>
  <dcterms:created xsi:type="dcterms:W3CDTF">2025-08-23T17:53:33Z</dcterms:created>
  <dcterms:modified xsi:type="dcterms:W3CDTF">2025-09-06T15:19:27Z</dcterms:modified>
</cp:coreProperties>
</file>