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8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F8R-810</v>
      </c>
      <c r="D2" t="str">
        <v>F8R-810</v>
      </c>
      <c r="E2" t="str">
        <v/>
      </c>
      <c r="F2" t="str">
        <v>867806078868827</v>
      </c>
      <c r="G2" t="str">
        <v>TBD</v>
      </c>
      <c r="H2" t="str">
        <v/>
      </c>
      <c r="I2" t="str">
        <v/>
      </c>
      <c r="J2" t="str">
        <v>01/10/2026</v>
      </c>
      <c r="K2" t="str">
        <v>06:28:27</v>
      </c>
      <c r="L2">
        <v>-12.214875</v>
      </c>
      <c r="M2">
        <v>-76.96788</v>
      </c>
      <c r="N2">
        <f>HYPERLINK("https://www.google.com/maps/search/?api=1&amp;query=-12.214875,-76.96788","Villa El Salvador, Lima")</f>
      </c>
      <c r="O2" t="str">
        <v>Vehículo encendido</v>
      </c>
      <c r="P2" t="str">
        <v/>
      </c>
      <c r="Q2">
        <v>2043.6</v>
      </c>
      <c r="R2" t="str">
        <v/>
      </c>
      <c r="S2">
        <v>0</v>
      </c>
      <c r="T2">
        <v>79.83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93</v>
      </c>
      <c r="AC2" t="str">
        <v>01/10/2026</v>
      </c>
      <c r="AD2" t="str">
        <v>06:28:22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06:28:36</v>
      </c>
      <c r="AL2" t="str">
        <v>06:28:36</v>
      </c>
      <c r="AM2" t="str">
        <v/>
      </c>
    </row>
    <row r="3">
      <c r="A3">
        <v>2</v>
      </c>
      <c r="B3" t="str">
        <v>MASS BSF</v>
      </c>
      <c r="C3" t="str">
        <v>F8R-810</v>
      </c>
      <c r="D3" t="str">
        <v>F8R-810</v>
      </c>
      <c r="E3" t="str">
        <v/>
      </c>
      <c r="F3" t="str">
        <v>867806078868827</v>
      </c>
      <c r="G3" t="str">
        <v>TBD</v>
      </c>
      <c r="H3" t="str">
        <v/>
      </c>
      <c r="I3" t="str">
        <v/>
      </c>
      <c r="J3" t="str">
        <v>01/10/2026</v>
      </c>
      <c r="K3" t="str">
        <v>06:31:09</v>
      </c>
      <c r="L3">
        <v>-12.214889</v>
      </c>
      <c r="M3">
        <v>-76.96785</v>
      </c>
      <c r="N3">
        <f>HYPERLINK("https://www.google.com/maps/search/?api=1&amp;query=-12.214889,-76.96785","Villa El Salvador, Lima")</f>
      </c>
      <c r="O3" t="str">
        <v>Se movio</v>
      </c>
      <c r="P3" t="str">
        <v/>
      </c>
      <c r="Q3">
        <v>2043.6</v>
      </c>
      <c r="R3" t="str">
        <v/>
      </c>
      <c r="S3">
        <v>0</v>
      </c>
      <c r="T3">
        <v>79.83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93</v>
      </c>
      <c r="AC3" t="str">
        <v>01/10/2026</v>
      </c>
      <c r="AD3" t="str">
        <v>06:31:05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06:31:20</v>
      </c>
      <c r="AL3" t="str">
        <v>06:31:20</v>
      </c>
      <c r="AM3" t="str">
        <v/>
      </c>
    </row>
    <row r="4">
      <c r="A4">
        <v>3</v>
      </c>
      <c r="B4" t="str">
        <v>MASS BSF</v>
      </c>
      <c r="C4" t="str">
        <v>F8R-810</v>
      </c>
      <c r="D4" t="str">
        <v>F8R-810</v>
      </c>
      <c r="E4" t="str">
        <v/>
      </c>
      <c r="F4" t="str">
        <v>867806078868827</v>
      </c>
      <c r="G4" t="str">
        <v>TBD</v>
      </c>
      <c r="H4" t="str">
        <v/>
      </c>
      <c r="I4" t="str">
        <v/>
      </c>
      <c r="J4" t="str">
        <v>01/10/2026</v>
      </c>
      <c r="K4" t="str">
        <v>06:31:29</v>
      </c>
      <c r="L4">
        <v>-12.214927</v>
      </c>
      <c r="M4">
        <v>-76.96781</v>
      </c>
      <c r="N4">
        <f>HYPERLINK("https://www.google.com/maps/search/?api=1&amp;query=-12.214927,-76.96781","Villa El Salvador, Lima")</f>
      </c>
      <c r="O4" t="str">
        <v>Fin de ralentí</v>
      </c>
      <c r="P4" t="str">
        <v/>
      </c>
      <c r="Q4">
        <v>2043.6</v>
      </c>
      <c r="R4" t="str">
        <v/>
      </c>
      <c r="S4">
        <v>5.5</v>
      </c>
      <c r="T4">
        <v>79.83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93</v>
      </c>
      <c r="AC4" t="str">
        <v>01/10/2026</v>
      </c>
      <c r="AD4" t="str">
        <v>06:31:25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06:31:40</v>
      </c>
      <c r="AL4" t="str">
        <v>06:31:40</v>
      </c>
      <c r="AM4" t="str">
        <v/>
      </c>
    </row>
    <row r="5">
      <c r="A5">
        <v>4</v>
      </c>
      <c r="B5" t="str">
        <v>MASS BSF</v>
      </c>
      <c r="C5" t="str">
        <v>F8R-810</v>
      </c>
      <c r="D5" t="str">
        <v>F8R-810</v>
      </c>
      <c r="E5" t="str">
        <v/>
      </c>
      <c r="F5" t="str">
        <v>867806078868827</v>
      </c>
      <c r="G5" t="str">
        <v>TBD</v>
      </c>
      <c r="H5" t="str">
        <v/>
      </c>
      <c r="I5" t="str">
        <v/>
      </c>
      <c r="J5" t="str">
        <v>01/10/2026</v>
      </c>
      <c r="K5" t="str">
        <v>06:31:33</v>
      </c>
      <c r="L5">
        <v>-12.21493</v>
      </c>
      <c r="M5">
        <v>-76.96777</v>
      </c>
      <c r="N5">
        <f>HYPERLINK("https://www.google.com/maps/search/?api=1&amp;query=-12.21493,-76.96777","Villa El Salvador, Lima")</f>
      </c>
      <c r="O5" t="str">
        <v>Acelerado y giro brusco</v>
      </c>
      <c r="P5" t="str">
        <v/>
      </c>
      <c r="Q5">
        <v>2043.6</v>
      </c>
      <c r="R5" t="str">
        <v/>
      </c>
      <c r="S5">
        <v>6.4</v>
      </c>
      <c r="T5">
        <v>79.83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80</v>
      </c>
      <c r="AC5" t="str">
        <v>01/10/2026</v>
      </c>
      <c r="AD5" t="str">
        <v>06:31:28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06:31:48</v>
      </c>
      <c r="AL5" t="str">
        <v>06:31:48</v>
      </c>
      <c r="AM5" t="str">
        <v/>
      </c>
    </row>
    <row r="6">
      <c r="A6">
        <v>5</v>
      </c>
      <c r="B6" t="str">
        <v>MASS BSF</v>
      </c>
      <c r="C6" t="str">
        <v>F8R-810</v>
      </c>
      <c r="D6" t="str">
        <v>F8R-810</v>
      </c>
      <c r="E6" t="str">
        <v/>
      </c>
      <c r="F6" t="str">
        <v>867806078868827</v>
      </c>
      <c r="G6" t="str">
        <v>TBD</v>
      </c>
      <c r="H6" t="str">
        <v/>
      </c>
      <c r="I6" t="str">
        <v/>
      </c>
      <c r="J6" t="str">
        <v>01/10/2026</v>
      </c>
      <c r="K6" t="str">
        <v>06:31:43</v>
      </c>
      <c r="L6">
        <v>-12.214907</v>
      </c>
      <c r="M6">
        <v>-76.9676</v>
      </c>
      <c r="N6">
        <f>HYPERLINK("https://www.google.com/maps/search/?api=1&amp;query=-12.214907,-76.9676","Avenida El Sol, Villa El Salvador, Lima")</f>
      </c>
      <c r="O6" t="str">
        <v>Acelerado y giro brusco</v>
      </c>
      <c r="P6" t="str">
        <v/>
      </c>
      <c r="Q6">
        <v>2043.6</v>
      </c>
      <c r="R6" t="str">
        <v/>
      </c>
      <c r="S6">
        <v>7.4</v>
      </c>
      <c r="T6">
        <v>79.83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80</v>
      </c>
      <c r="AC6" t="str">
        <v>01/10/2026</v>
      </c>
      <c r="AD6" t="str">
        <v>06:31:38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06:31:59</v>
      </c>
      <c r="AL6" t="str">
        <v>06:31:59</v>
      </c>
      <c r="AM6" t="str">
        <v/>
      </c>
    </row>
    <row r="7">
      <c r="A7">
        <v>6</v>
      </c>
      <c r="B7" t="str">
        <v>MASS BSF</v>
      </c>
      <c r="C7" t="str">
        <v>F8R-810</v>
      </c>
      <c r="D7" t="str">
        <v>F8R-810</v>
      </c>
      <c r="E7" t="str">
        <v/>
      </c>
      <c r="F7" t="str">
        <v>867806078868827</v>
      </c>
      <c r="G7" t="str">
        <v>TBD</v>
      </c>
      <c r="H7" t="str">
        <v/>
      </c>
      <c r="I7" t="str">
        <v/>
      </c>
      <c r="J7" t="str">
        <v>01/10/2026</v>
      </c>
      <c r="K7" t="str">
        <v>06:32:11</v>
      </c>
      <c r="L7">
        <v>-12.214931</v>
      </c>
      <c r="M7">
        <v>-76.96738</v>
      </c>
      <c r="N7">
        <f>HYPERLINK("https://www.google.com/maps/search/?api=1&amp;query=-12.214931,-76.96738","Avenida El Sol, Villa El Salvador, Lima")</f>
      </c>
      <c r="O7" t="str">
        <v>Acelerado y giro brusco</v>
      </c>
      <c r="P7" t="str">
        <v/>
      </c>
      <c r="Q7">
        <v>2043.6</v>
      </c>
      <c r="R7" t="str">
        <v/>
      </c>
      <c r="S7">
        <v>1.6</v>
      </c>
      <c r="T7">
        <v>79.83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80</v>
      </c>
      <c r="AC7" t="str">
        <v>01/10/2026</v>
      </c>
      <c r="AD7" t="str">
        <v>06:32:06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06:32:26</v>
      </c>
      <c r="AL7" t="str">
        <v>06:32:26</v>
      </c>
      <c r="AM7" t="str">
        <v/>
      </c>
    </row>
    <row r="8">
      <c r="A8">
        <v>7</v>
      </c>
      <c r="B8" t="str">
        <v>MASS BSF</v>
      </c>
      <c r="C8" t="str">
        <v>F8R-810</v>
      </c>
      <c r="D8" t="str">
        <v>F8R-810</v>
      </c>
      <c r="E8" t="str">
        <v/>
      </c>
      <c r="F8" t="str">
        <v>867806078868827</v>
      </c>
      <c r="G8" t="str">
        <v>TBD</v>
      </c>
      <c r="H8" t="str">
        <v/>
      </c>
      <c r="I8" t="str">
        <v/>
      </c>
      <c r="J8" t="str">
        <v>01/10/2026</v>
      </c>
      <c r="K8" t="str">
        <v>06:32:17</v>
      </c>
      <c r="L8">
        <v>-12.215078</v>
      </c>
      <c r="M8">
        <v>-76.96742</v>
      </c>
      <c r="N8">
        <f>HYPERLINK("https://www.google.com/maps/search/?api=1&amp;query=-12.215078,-76.96742","Avenida El Sol, Villa El Salvador, Lima")</f>
      </c>
      <c r="O8" t="str">
        <v>Acelerado y giro brusco</v>
      </c>
      <c r="P8" t="str">
        <v/>
      </c>
      <c r="Q8">
        <v>2043.6</v>
      </c>
      <c r="R8" t="str">
        <v/>
      </c>
      <c r="S8">
        <v>14.6</v>
      </c>
      <c r="T8">
        <v>79.83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80</v>
      </c>
      <c r="AC8" t="str">
        <v>01/10/2026</v>
      </c>
      <c r="AD8" t="str">
        <v>06:32:12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06:32:24</v>
      </c>
      <c r="AL8" t="str">
        <v>06:32:24</v>
      </c>
      <c r="AM8" t="str">
        <v/>
      </c>
    </row>
    <row r="9">
      <c r="A9">
        <v>8</v>
      </c>
      <c r="B9" t="str">
        <v>MASS BSF</v>
      </c>
      <c r="C9" t="str">
        <v>F8R-810</v>
      </c>
      <c r="D9" t="str">
        <v>F8R-810</v>
      </c>
      <c r="E9" t="str">
        <v/>
      </c>
      <c r="F9" t="str">
        <v>867806078868827</v>
      </c>
      <c r="G9" t="str">
        <v>TBD</v>
      </c>
      <c r="H9" t="str">
        <v/>
      </c>
      <c r="I9" t="str">
        <v/>
      </c>
      <c r="J9" t="str">
        <v>01/10/2026</v>
      </c>
      <c r="K9" t="str">
        <v>06:32:35</v>
      </c>
      <c r="L9">
        <v>-12.215992</v>
      </c>
      <c r="M9">
        <v>-76.967896</v>
      </c>
      <c r="N9">
        <f>HYPERLINK("https://www.google.com/maps/search/?api=1&amp;query=-12.215992,-76.967896","Avenida El Sol, Villa El Salvador, Lima")</f>
      </c>
      <c r="O9" t="str">
        <v>Aceleración brusca</v>
      </c>
      <c r="P9" t="str">
        <v>CMT-910</v>
      </c>
      <c r="Q9">
        <v>2043.8</v>
      </c>
      <c r="R9" t="str">
        <v/>
      </c>
      <c r="S9">
        <v>30</v>
      </c>
      <c r="T9">
        <v>79.83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90</v>
      </c>
      <c r="AC9" t="str">
        <v>01/10/2026</v>
      </c>
      <c r="AD9" t="str">
        <v>06:32:30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06:32:56</v>
      </c>
      <c r="AL9" t="str">
        <v>06:32:56</v>
      </c>
      <c r="AM9" t="str">
        <v/>
      </c>
    </row>
    <row r="10">
      <c r="A10">
        <v>9</v>
      </c>
      <c r="B10" t="str">
        <v>MASS BSF</v>
      </c>
      <c r="C10" t="str">
        <v>F8R-810</v>
      </c>
      <c r="D10" t="str">
        <v>F8R-810</v>
      </c>
      <c r="E10" t="str">
        <v/>
      </c>
      <c r="F10" t="str">
        <v>867806078868827</v>
      </c>
      <c r="G10" t="str">
        <v>TBD</v>
      </c>
      <c r="H10" t="str">
        <v/>
      </c>
      <c r="I10" t="str">
        <v/>
      </c>
      <c r="J10" t="str">
        <v>01/10/2026</v>
      </c>
      <c r="K10" t="str">
        <v>06:32:46</v>
      </c>
      <c r="L10">
        <v>-12.216452</v>
      </c>
      <c r="M10">
        <v>-76.96839</v>
      </c>
      <c r="N10">
        <f>HYPERLINK("https://www.google.com/maps/search/?api=1&amp;query=-12.216452,-76.96839","Avenida El Sol, Villa El Salvador, Lima")</f>
      </c>
      <c r="O10" t="str">
        <v>Bache</v>
      </c>
      <c r="P10" t="str">
        <v/>
      </c>
      <c r="Q10">
        <v>2043.8</v>
      </c>
      <c r="R10" t="str">
        <v/>
      </c>
      <c r="S10">
        <v>5.9</v>
      </c>
      <c r="T10">
        <v>79.83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90</v>
      </c>
      <c r="AC10" t="str">
        <v>01/10/2026</v>
      </c>
      <c r="AD10" t="str">
        <v>06:32:41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06:32:56</v>
      </c>
      <c r="AL10" t="str">
        <v>06:32:56</v>
      </c>
      <c r="AM10" t="str">
        <v/>
      </c>
    </row>
    <row r="11">
      <c r="A11">
        <v>10</v>
      </c>
      <c r="B11" t="str">
        <v>MASS BSF</v>
      </c>
      <c r="C11" t="str">
        <v>F8R-810</v>
      </c>
      <c r="D11" t="str">
        <v>F8R-810</v>
      </c>
      <c r="E11" t="str">
        <v/>
      </c>
      <c r="F11" t="str">
        <v>867806078868827</v>
      </c>
      <c r="G11" t="str">
        <v>TBD</v>
      </c>
      <c r="H11" t="str">
        <v/>
      </c>
      <c r="I11" t="str">
        <v/>
      </c>
      <c r="J11" t="str">
        <v>01/10/2026</v>
      </c>
      <c r="K11" t="str">
        <v>06:34:03</v>
      </c>
      <c r="L11">
        <v>-12.219787</v>
      </c>
      <c r="M11">
        <v>-76.97196</v>
      </c>
      <c r="N11">
        <f>HYPERLINK("https://www.google.com/maps/search/?api=1&amp;query=-12.219787,-76.97196","Avenida El Sol, Villa El Salvador, Lima")</f>
      </c>
      <c r="O11" t="str">
        <v>Aceleración brusca</v>
      </c>
      <c r="P11" t="str">
        <v>CMT-910</v>
      </c>
      <c r="Q11">
        <v>2044.3</v>
      </c>
      <c r="R11" t="str">
        <v/>
      </c>
      <c r="S11">
        <v>32.5</v>
      </c>
      <c r="T11">
        <v>79.83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90</v>
      </c>
      <c r="AC11" t="str">
        <v>01/10/2026</v>
      </c>
      <c r="AD11" t="str">
        <v>06:33:58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06:34:06</v>
      </c>
      <c r="AL11" t="str">
        <v>06:34:06</v>
      </c>
      <c r="AM11" t="str">
        <v/>
      </c>
    </row>
    <row r="12">
      <c r="A12">
        <v>11</v>
      </c>
      <c r="B12" t="str">
        <v>MASS BSF</v>
      </c>
      <c r="C12" t="str">
        <v>F8R-810</v>
      </c>
      <c r="D12" t="str">
        <v>F8R-810</v>
      </c>
      <c r="E12" t="str">
        <v/>
      </c>
      <c r="F12" t="str">
        <v>867806078868827</v>
      </c>
      <c r="G12" t="str">
        <v>TBD</v>
      </c>
      <c r="H12" t="str">
        <v/>
      </c>
      <c r="I12" t="str">
        <v/>
      </c>
      <c r="J12" t="str">
        <v>01/10/2026</v>
      </c>
      <c r="K12" t="str">
        <v>06:34:07</v>
      </c>
      <c r="L12">
        <v>-12.219969</v>
      </c>
      <c r="M12">
        <v>-76.97215</v>
      </c>
      <c r="N12">
        <f>HYPERLINK("https://www.google.com/maps/search/?api=1&amp;query=-12.219969,-76.97215","Avenida El Sol, Villa El Salvador, Lima")</f>
      </c>
      <c r="O12" t="str">
        <v>Acelerado y giro brusco</v>
      </c>
      <c r="P12" t="str">
        <v/>
      </c>
      <c r="Q12">
        <v>2044.4</v>
      </c>
      <c r="R12" t="str">
        <v/>
      </c>
      <c r="S12">
        <v>22.9</v>
      </c>
      <c r="T12">
        <v>79.83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90</v>
      </c>
      <c r="AC12" t="str">
        <v>01/10/2026</v>
      </c>
      <c r="AD12" t="str">
        <v>06:34:02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06:34:31</v>
      </c>
      <c r="AL12" t="str">
        <v>06:34:31</v>
      </c>
      <c r="AM12" t="str">
        <v/>
      </c>
    </row>
    <row r="13">
      <c r="A13">
        <v>12</v>
      </c>
      <c r="B13" t="str">
        <v>MASS BSF</v>
      </c>
      <c r="C13" t="str">
        <v>F8R-810</v>
      </c>
      <c r="D13" t="str">
        <v>F8R-810</v>
      </c>
      <c r="E13" t="str">
        <v/>
      </c>
      <c r="F13" t="str">
        <v>867806078868827</v>
      </c>
      <c r="G13" t="str">
        <v>TBD</v>
      </c>
      <c r="H13" t="str">
        <v/>
      </c>
      <c r="I13" t="str">
        <v/>
      </c>
      <c r="J13" t="str">
        <v>01/10/2026</v>
      </c>
      <c r="K13" t="str">
        <v>06:34:09</v>
      </c>
      <c r="L13">
        <v>-12.220085</v>
      </c>
      <c r="M13">
        <v>-76.97227</v>
      </c>
      <c r="N13">
        <f>HYPERLINK("https://www.google.com/maps/search/?api=1&amp;query=-12.220085,-76.97227","Avenida El Sol, Villa El Salvador, Lima")</f>
      </c>
      <c r="O13" t="str">
        <v>Acelerado y giro brusco</v>
      </c>
      <c r="P13" t="str">
        <v/>
      </c>
      <c r="Q13">
        <v>2044.4</v>
      </c>
      <c r="R13" t="str">
        <v/>
      </c>
      <c r="S13">
        <v>20.3</v>
      </c>
      <c r="T13">
        <v>79.83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90</v>
      </c>
      <c r="AC13" t="str">
        <v>01/10/2026</v>
      </c>
      <c r="AD13" t="str">
        <v>06:34:05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06:34:28</v>
      </c>
      <c r="AL13" t="str">
        <v>06:34:28</v>
      </c>
      <c r="AM13" t="str">
        <v/>
      </c>
    </row>
    <row r="14">
      <c r="A14">
        <v>13</v>
      </c>
      <c r="B14" t="str">
        <v>MASS BSF</v>
      </c>
      <c r="C14" t="str">
        <v>F8R-810</v>
      </c>
      <c r="D14" t="str">
        <v>F8R-810</v>
      </c>
      <c r="E14" t="str">
        <v/>
      </c>
      <c r="F14" t="str">
        <v>867806078868827</v>
      </c>
      <c r="G14" t="str">
        <v>TBD</v>
      </c>
      <c r="H14" t="str">
        <v/>
      </c>
      <c r="I14" t="str">
        <v/>
      </c>
      <c r="J14" t="str">
        <v>01/10/2026</v>
      </c>
      <c r="K14" t="str">
        <v>06:34:18</v>
      </c>
      <c r="L14">
        <v>-12.22049</v>
      </c>
      <c r="M14">
        <v>-76.9727</v>
      </c>
      <c r="N14">
        <f>HYPERLINK("https://www.google.com/maps/search/?api=1&amp;query=-12.22049,-76.9727","Avenida El Sol, Villa El Salvador, Lima")</f>
      </c>
      <c r="O14" t="str">
        <v>Aceleración brusca</v>
      </c>
      <c r="P14" t="str">
        <v>CMT-910</v>
      </c>
      <c r="Q14">
        <v>2044.5</v>
      </c>
      <c r="R14" t="str">
        <v/>
      </c>
      <c r="S14">
        <v>35.9</v>
      </c>
      <c r="T14">
        <v>79.83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90</v>
      </c>
      <c r="AC14" t="str">
        <v>01/10/2026</v>
      </c>
      <c r="AD14" t="str">
        <v>06:34:13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06:34:23</v>
      </c>
      <c r="AL14" t="str">
        <v>06:34:23</v>
      </c>
      <c r="AM14" t="str">
        <v/>
      </c>
    </row>
    <row r="15">
      <c r="A15">
        <v>14</v>
      </c>
      <c r="B15" t="str">
        <v>MASS BSF</v>
      </c>
      <c r="C15" t="str">
        <v>F8R-810</v>
      </c>
      <c r="D15" t="str">
        <v>F8R-810</v>
      </c>
      <c r="E15" t="str">
        <v/>
      </c>
      <c r="F15" t="str">
        <v>867806078868827</v>
      </c>
      <c r="G15" t="str">
        <v>TBD</v>
      </c>
      <c r="H15" t="str">
        <v/>
      </c>
      <c r="I15" t="str">
        <v/>
      </c>
      <c r="J15" t="str">
        <v>01/10/2026</v>
      </c>
      <c r="K15" t="str">
        <v>06:34:23</v>
      </c>
      <c r="L15">
        <v>-12.22091</v>
      </c>
      <c r="M15">
        <v>-76.973145</v>
      </c>
      <c r="N15">
        <f>HYPERLINK("https://www.google.com/maps/search/?api=1&amp;query=-12.22091,-76.973145","Avenida El Sol, Villa El Salvador, Lima")</f>
      </c>
      <c r="O15" t="str">
        <v>Acelerado y giro brusco</v>
      </c>
      <c r="P15" t="str">
        <v/>
      </c>
      <c r="Q15">
        <v>2044.5</v>
      </c>
      <c r="R15" t="str">
        <v/>
      </c>
      <c r="S15">
        <v>42.2</v>
      </c>
      <c r="T15">
        <v>79.83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90</v>
      </c>
      <c r="AC15" t="str">
        <v>01/10/2026</v>
      </c>
      <c r="AD15" t="str">
        <v>06:34:19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06:34:38</v>
      </c>
      <c r="AL15" t="str">
        <v>06:34:38</v>
      </c>
      <c r="AM15" t="str">
        <v/>
      </c>
    </row>
    <row r="16">
      <c r="A16">
        <v>15</v>
      </c>
      <c r="B16" t="str">
        <v>MASS BSF</v>
      </c>
      <c r="C16" t="str">
        <v>F8R-810</v>
      </c>
      <c r="D16" t="str">
        <v>F8R-810</v>
      </c>
      <c r="E16" t="str">
        <v/>
      </c>
      <c r="F16" t="str">
        <v>867806078868827</v>
      </c>
      <c r="G16" t="str">
        <v>TBD</v>
      </c>
      <c r="H16" t="str">
        <v/>
      </c>
      <c r="I16" t="str">
        <v/>
      </c>
      <c r="J16" t="str">
        <v>01/10/2026</v>
      </c>
      <c r="K16" t="str">
        <v>06:34:47</v>
      </c>
      <c r="L16">
        <v>-12.222055</v>
      </c>
      <c r="M16">
        <v>-76.974304</v>
      </c>
      <c r="N16">
        <f>HYPERLINK("https://www.google.com/maps/search/?api=1&amp;query=-12.222055,-76.974304","Avenida El Sol, Villa El Salvador, Lima")</f>
      </c>
      <c r="O16" t="str">
        <v>Bache</v>
      </c>
      <c r="P16" t="str">
        <v/>
      </c>
      <c r="Q16">
        <v>2044.7</v>
      </c>
      <c r="R16" t="str">
        <v/>
      </c>
      <c r="S16">
        <v>7.9</v>
      </c>
      <c r="T16">
        <v>79.83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90</v>
      </c>
      <c r="AC16" t="str">
        <v>01/10/2026</v>
      </c>
      <c r="AD16" t="str">
        <v>06:34:42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06:35:00</v>
      </c>
      <c r="AL16" t="str">
        <v>06:35:00</v>
      </c>
      <c r="AM16" t="str">
        <v/>
      </c>
    </row>
    <row r="17">
      <c r="A17">
        <v>16</v>
      </c>
      <c r="B17" t="str">
        <v>MASS BSF</v>
      </c>
      <c r="C17" t="str">
        <v>F8R-810</v>
      </c>
      <c r="D17" t="str">
        <v>F8R-810</v>
      </c>
      <c r="E17" t="str">
        <v/>
      </c>
      <c r="F17" t="str">
        <v>867806078868827</v>
      </c>
      <c r="G17" t="str">
        <v>TBD</v>
      </c>
      <c r="H17" t="str">
        <v/>
      </c>
      <c r="I17" t="str">
        <v/>
      </c>
      <c r="J17" t="str">
        <v>01/10/2026</v>
      </c>
      <c r="K17" t="str">
        <v>06:34:53</v>
      </c>
      <c r="L17">
        <v>-12.222141</v>
      </c>
      <c r="M17">
        <v>-76.97443</v>
      </c>
      <c r="N17">
        <f>HYPERLINK("https://www.google.com/maps/search/?api=1&amp;query=-12.222141,-76.97443","Avenida El Sol, Villa El Salvador, Lima")</f>
      </c>
      <c r="O17" t="str">
        <v>Acelerado y giro brusco</v>
      </c>
      <c r="P17" t="str">
        <v/>
      </c>
      <c r="Q17">
        <v>2044.7</v>
      </c>
      <c r="R17" t="str">
        <v/>
      </c>
      <c r="S17">
        <v>11.6</v>
      </c>
      <c r="T17">
        <v>79.83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90</v>
      </c>
      <c r="AC17" t="str">
        <v>01/10/2026</v>
      </c>
      <c r="AD17" t="str">
        <v>06:34:48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06:35:13</v>
      </c>
      <c r="AL17" t="str">
        <v>06:35:13</v>
      </c>
      <c r="AM17" t="str">
        <v/>
      </c>
    </row>
    <row r="18">
      <c r="A18">
        <v>17</v>
      </c>
      <c r="B18" t="str">
        <v>MASS BSF</v>
      </c>
      <c r="C18" t="str">
        <v>F8R-810</v>
      </c>
      <c r="D18" t="str">
        <v>F8R-810</v>
      </c>
      <c r="E18" t="str">
        <v/>
      </c>
      <c r="F18" t="str">
        <v>867806078868827</v>
      </c>
      <c r="G18" t="str">
        <v>TBD</v>
      </c>
      <c r="H18" t="str">
        <v/>
      </c>
      <c r="I18" t="str">
        <v/>
      </c>
      <c r="J18" t="str">
        <v>01/10/2026</v>
      </c>
      <c r="K18" t="str">
        <v>06:35:15</v>
      </c>
      <c r="L18">
        <v>-12.221046</v>
      </c>
      <c r="M18">
        <v>-76.97551</v>
      </c>
      <c r="N18">
        <f>HYPERLINK("https://www.google.com/maps/search/?api=1&amp;query=-12.221046,-76.97551","Antigua Panamericana Sur, Villa El Salvador, Lima")</f>
      </c>
      <c r="O18" t="str">
        <v>Acelerado y giro brusco</v>
      </c>
      <c r="P18" t="str">
        <v/>
      </c>
      <c r="Q18">
        <v>2044.9</v>
      </c>
      <c r="R18" t="str">
        <v/>
      </c>
      <c r="S18">
        <v>40.1</v>
      </c>
      <c r="T18">
        <v>79.83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90</v>
      </c>
      <c r="AC18" t="str">
        <v>01/10/2026</v>
      </c>
      <c r="AD18" t="str">
        <v>06:35:10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06:35:23</v>
      </c>
      <c r="AL18" t="str">
        <v>06:35:23</v>
      </c>
      <c r="AM18" t="str">
        <v/>
      </c>
    </row>
    <row r="19">
      <c r="A19">
        <v>18</v>
      </c>
      <c r="B19" t="str">
        <v>MASS BSF</v>
      </c>
      <c r="C19" t="str">
        <v>F8R-810</v>
      </c>
      <c r="D19" t="str">
        <v>F8R-810</v>
      </c>
      <c r="E19" t="str">
        <v/>
      </c>
      <c r="F19" t="str">
        <v>867806078868827</v>
      </c>
      <c r="G19" t="str">
        <v>TBD</v>
      </c>
      <c r="H19" t="str">
        <v/>
      </c>
      <c r="I19" t="str">
        <v/>
      </c>
      <c r="J19" t="str">
        <v>01/10/2026</v>
      </c>
      <c r="K19" t="str">
        <v>06:35:32</v>
      </c>
      <c r="L19">
        <v>-12.219775</v>
      </c>
      <c r="M19">
        <v>-76.975685</v>
      </c>
      <c r="N19">
        <f>HYPERLINK("https://www.google.com/maps/search/?api=1&amp;query=-12.219775,-76.975685","Antigua Panamericana Sur, Villa El Salvador, Lima")</f>
      </c>
      <c r="O19" t="str">
        <v>Acelerado y giro brusco</v>
      </c>
      <c r="P19" t="str">
        <v/>
      </c>
      <c r="Q19">
        <v>2045</v>
      </c>
      <c r="R19" t="str">
        <v/>
      </c>
      <c r="S19">
        <v>7</v>
      </c>
      <c r="T19">
        <v>79.83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90</v>
      </c>
      <c r="AC19" t="str">
        <v>01/10/2026</v>
      </c>
      <c r="AD19" t="str">
        <v>06:35:27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06:35:41</v>
      </c>
      <c r="AL19" t="str">
        <v>06:35:41</v>
      </c>
      <c r="AM19" t="str">
        <v/>
      </c>
    </row>
    <row r="20">
      <c r="A20">
        <v>19</v>
      </c>
      <c r="B20" t="str">
        <v>MASS BSF</v>
      </c>
      <c r="C20" t="str">
        <v>F8R-810</v>
      </c>
      <c r="D20" t="str">
        <v>F8R-810</v>
      </c>
      <c r="E20" t="str">
        <v/>
      </c>
      <c r="F20" t="str">
        <v>867806078868827</v>
      </c>
      <c r="G20" t="str">
        <v>TBD</v>
      </c>
      <c r="H20" t="str">
        <v/>
      </c>
      <c r="I20" t="str">
        <v/>
      </c>
      <c r="J20" t="str">
        <v>01/10/2026</v>
      </c>
      <c r="K20" t="str">
        <v>06:35:45</v>
      </c>
      <c r="L20">
        <v>-12.219539</v>
      </c>
      <c r="M20">
        <v>-76.97578</v>
      </c>
      <c r="N20">
        <f>HYPERLINK("https://www.google.com/maps/search/?api=1&amp;query=-12.219539,-76.97578","Antigua Panamericana Sur, Villa El Salvador, Lima")</f>
      </c>
      <c r="O20" t="str">
        <v>Acelerado y giro brusco</v>
      </c>
      <c r="P20" t="str">
        <v/>
      </c>
      <c r="Q20">
        <v>2045.1</v>
      </c>
      <c r="R20" t="str">
        <v/>
      </c>
      <c r="S20">
        <v>18.8</v>
      </c>
      <c r="T20">
        <v>79.83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70</v>
      </c>
      <c r="AC20" t="str">
        <v>01/10/2026</v>
      </c>
      <c r="AD20" t="str">
        <v>06:35:40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06:36:03</v>
      </c>
      <c r="AL20" t="str">
        <v>06:36:03</v>
      </c>
      <c r="AM20" t="str">
        <v/>
      </c>
    </row>
    <row r="21">
      <c r="A21">
        <v>20</v>
      </c>
      <c r="B21" t="str">
        <v>MASS BSF</v>
      </c>
      <c r="C21" t="str">
        <v>F8R-810</v>
      </c>
      <c r="D21" t="str">
        <v>F8R-810</v>
      </c>
      <c r="E21" t="str">
        <v/>
      </c>
      <c r="F21" t="str">
        <v>867806078868827</v>
      </c>
      <c r="G21" t="str">
        <v>TBD</v>
      </c>
      <c r="H21" t="str">
        <v/>
      </c>
      <c r="I21" t="str">
        <v/>
      </c>
      <c r="J21" t="str">
        <v>01/10/2026</v>
      </c>
      <c r="K21" t="str">
        <v>06:35:49</v>
      </c>
      <c r="L21">
        <v>-12.219336</v>
      </c>
      <c r="M21">
        <v>-76.97578</v>
      </c>
      <c r="N21">
        <f>HYPERLINK("https://www.google.com/maps/search/?api=1&amp;query=-12.219336,-76.97578","Antigua Panamericana Sur, Villa El Salvador, Lima")</f>
      </c>
      <c r="O21" t="str">
        <v>Acelerado y giro brusco</v>
      </c>
      <c r="P21" t="str">
        <v/>
      </c>
      <c r="Q21">
        <v>2045.1</v>
      </c>
      <c r="R21" t="str">
        <v/>
      </c>
      <c r="S21">
        <v>25</v>
      </c>
      <c r="T21">
        <v>79.83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84</v>
      </c>
      <c r="AC21" t="str">
        <v>01/10/2026</v>
      </c>
      <c r="AD21" t="str">
        <v>06:35:44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06:35:52</v>
      </c>
      <c r="AL21" t="str">
        <v>06:35:52</v>
      </c>
      <c r="AM21" t="str">
        <v/>
      </c>
    </row>
    <row r="22">
      <c r="A22">
        <v>21</v>
      </c>
      <c r="B22" t="str">
        <v>MASS BSF</v>
      </c>
      <c r="C22" t="str">
        <v>F8R-810</v>
      </c>
      <c r="D22" t="str">
        <v>F8R-810</v>
      </c>
      <c r="E22" t="str">
        <v/>
      </c>
      <c r="F22" t="str">
        <v>867806078868827</v>
      </c>
      <c r="G22" t="str">
        <v>TBD</v>
      </c>
      <c r="H22" t="str">
        <v/>
      </c>
      <c r="I22" t="str">
        <v/>
      </c>
      <c r="J22" t="str">
        <v>01/10/2026</v>
      </c>
      <c r="K22" t="str">
        <v>06:36:10</v>
      </c>
      <c r="L22">
        <v>-12.217923</v>
      </c>
      <c r="M22">
        <v>-76.976654</v>
      </c>
      <c r="N22">
        <f>HYPERLINK("https://www.google.com/maps/search/?api=1&amp;query=-12.217923,-76.976654","Avenida Caminos del Inca, Villa El Salvador, Lima")</f>
      </c>
      <c r="O22" t="str">
        <v>Acelerado y giro brusco</v>
      </c>
      <c r="P22" t="str">
        <v/>
      </c>
      <c r="Q22">
        <v>2045.3</v>
      </c>
      <c r="R22" t="str">
        <v/>
      </c>
      <c r="S22">
        <v>40.9</v>
      </c>
      <c r="T22">
        <v>79.83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70</v>
      </c>
      <c r="AC22" t="str">
        <v>01/10/2026</v>
      </c>
      <c r="AD22" t="str">
        <v>06:36:05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06:36:40</v>
      </c>
      <c r="AL22" t="str">
        <v>06:36:40</v>
      </c>
      <c r="AM22" t="str">
        <v/>
      </c>
    </row>
    <row r="23">
      <c r="A23">
        <v>22</v>
      </c>
      <c r="B23" t="str">
        <v>MASS BSF</v>
      </c>
      <c r="C23" t="str">
        <v>F8R-810</v>
      </c>
      <c r="D23" t="str">
        <v>F8R-810</v>
      </c>
      <c r="E23" t="str">
        <v/>
      </c>
      <c r="F23" t="str">
        <v>867806078868827</v>
      </c>
      <c r="G23" t="str">
        <v>TBD</v>
      </c>
      <c r="H23" t="str">
        <v/>
      </c>
      <c r="I23" t="str">
        <v/>
      </c>
      <c r="J23" t="str">
        <v>01/10/2026</v>
      </c>
      <c r="K23" t="str">
        <v>06:36:27</v>
      </c>
      <c r="L23">
        <v>-12.217872</v>
      </c>
      <c r="M23">
        <v>-76.97797</v>
      </c>
      <c r="N23">
        <f>HYPERLINK("https://www.google.com/maps/search/?api=1&amp;query=-12.217872,-76.97797","Avenida Caminos del Inca, Chorrillos, Lima")</f>
      </c>
      <c r="O23" t="str">
        <v>Bache</v>
      </c>
      <c r="P23" t="str">
        <v/>
      </c>
      <c r="Q23">
        <v>2045.4</v>
      </c>
      <c r="R23" t="str">
        <v/>
      </c>
      <c r="S23">
        <v>10.3</v>
      </c>
      <c r="T23">
        <v>79.83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70</v>
      </c>
      <c r="AC23" t="str">
        <v>01/10/2026</v>
      </c>
      <c r="AD23" t="str">
        <v>06:36:22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06:36:50</v>
      </c>
      <c r="AL23" t="str">
        <v>06:36:50</v>
      </c>
      <c r="AM23" t="str">
        <v/>
      </c>
    </row>
    <row r="24">
      <c r="A24">
        <v>23</v>
      </c>
      <c r="B24" t="str">
        <v>MASS BSF</v>
      </c>
      <c r="C24" t="str">
        <v>F8R-810</v>
      </c>
      <c r="D24" t="str">
        <v>F8R-810</v>
      </c>
      <c r="E24" t="str">
        <v/>
      </c>
      <c r="F24" t="str">
        <v>867806078868827</v>
      </c>
      <c r="G24" t="str">
        <v>TBD</v>
      </c>
      <c r="H24" t="str">
        <v/>
      </c>
      <c r="I24" t="str">
        <v/>
      </c>
      <c r="J24" t="str">
        <v>01/10/2026</v>
      </c>
      <c r="K24" t="str">
        <v>06:36:41</v>
      </c>
      <c r="L24">
        <v>-12.217622</v>
      </c>
      <c r="M24">
        <v>-76.97905</v>
      </c>
      <c r="N24">
        <f>HYPERLINK("https://www.google.com/maps/search/?api=1&amp;query=-12.217622,-76.97905","Avenida Caminos del Inca, Chorrillos, Lima")</f>
      </c>
      <c r="O24" t="str">
        <v>Acelerado y giro brusco</v>
      </c>
      <c r="P24" t="str">
        <v/>
      </c>
      <c r="Q24">
        <v>2045.6</v>
      </c>
      <c r="R24" t="str">
        <v/>
      </c>
      <c r="S24">
        <v>47.7</v>
      </c>
      <c r="T24">
        <v>79.83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70</v>
      </c>
      <c r="AC24" t="str">
        <v>01/10/2026</v>
      </c>
      <c r="AD24" t="str">
        <v>06:36:36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06:36:50</v>
      </c>
      <c r="AL24" t="str">
        <v>06:36:50</v>
      </c>
      <c r="AM24" t="str">
        <v/>
      </c>
    </row>
    <row r="25">
      <c r="A25">
        <v>24</v>
      </c>
      <c r="B25" t="str">
        <v>MASS BSF</v>
      </c>
      <c r="C25" t="str">
        <v>F8R-810</v>
      </c>
      <c r="D25" t="str">
        <v>F8R-810</v>
      </c>
      <c r="E25" t="str">
        <v/>
      </c>
      <c r="F25" t="str">
        <v>867806078868827</v>
      </c>
      <c r="G25" t="str">
        <v>TBD</v>
      </c>
      <c r="H25" t="str">
        <v/>
      </c>
      <c r="I25" t="str">
        <v/>
      </c>
      <c r="J25" t="str">
        <v>01/10/2026</v>
      </c>
      <c r="K25" t="str">
        <v>06:37:58</v>
      </c>
      <c r="L25">
        <v>-12.219459</v>
      </c>
      <c r="M25">
        <v>-76.977394</v>
      </c>
      <c r="N25">
        <f>HYPERLINK("https://www.google.com/maps/search/?api=1&amp;query=-12.219459,-76.977394","Chorrillos, Lima")</f>
      </c>
      <c r="O25" t="str">
        <v>Acelerado y giro brusco</v>
      </c>
      <c r="P25" t="str">
        <v/>
      </c>
      <c r="Q25">
        <v>2046.5</v>
      </c>
      <c r="R25" t="str">
        <v/>
      </c>
      <c r="S25">
        <v>64.4</v>
      </c>
      <c r="T25">
        <v>79.83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84</v>
      </c>
      <c r="AC25" t="str">
        <v>01/10/2026</v>
      </c>
      <c r="AD25" t="str">
        <v>06:37:53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06:38:08</v>
      </c>
      <c r="AL25" t="str">
        <v>06:38:08</v>
      </c>
      <c r="AM25" t="str">
        <v/>
      </c>
    </row>
    <row r="26">
      <c r="A26">
        <v>25</v>
      </c>
      <c r="B26" t="str">
        <v>MASS BSF</v>
      </c>
      <c r="C26" t="str">
        <v>F8R-810</v>
      </c>
      <c r="D26" t="str">
        <v>F8R-810</v>
      </c>
      <c r="E26" t="str">
        <v/>
      </c>
      <c r="F26" t="str">
        <v>867806078868827</v>
      </c>
      <c r="G26" t="str">
        <v>TBD</v>
      </c>
      <c r="H26" t="str">
        <v/>
      </c>
      <c r="I26" t="str">
        <v/>
      </c>
      <c r="J26" t="str">
        <v>01/10/2026</v>
      </c>
      <c r="K26" t="str">
        <v>06:38:00</v>
      </c>
      <c r="L26">
        <v>-12.219856</v>
      </c>
      <c r="M26">
        <v>-76.9771</v>
      </c>
      <c r="N26">
        <f>HYPERLINK("https://www.google.com/maps/search/?api=1&amp;query=-12.219856,-76.9771","Carretera Panamericana Sur, Chorrillos, Lima")</f>
      </c>
      <c r="O26" t="str">
        <v>Bache</v>
      </c>
      <c r="P26" t="str">
        <v/>
      </c>
      <c r="Q26">
        <v>2046.5</v>
      </c>
      <c r="R26" t="str">
        <v/>
      </c>
      <c r="S26">
        <v>66.1</v>
      </c>
      <c r="T26">
        <v>79.83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84</v>
      </c>
      <c r="AC26" t="str">
        <v>01/10/2026</v>
      </c>
      <c r="AD26" t="str">
        <v>06:37:56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06:38:26</v>
      </c>
      <c r="AL26" t="str">
        <v>06:38:26</v>
      </c>
      <c r="AM26" t="str">
        <v/>
      </c>
    </row>
    <row r="27">
      <c r="A27">
        <v>26</v>
      </c>
      <c r="B27" t="str">
        <v>MASS BSF</v>
      </c>
      <c r="C27" t="str">
        <v>F8R-810</v>
      </c>
      <c r="D27" t="str">
        <v>F8R-810</v>
      </c>
      <c r="E27" t="str">
        <v/>
      </c>
      <c r="F27" t="str">
        <v>867806078868827</v>
      </c>
      <c r="G27" t="str">
        <v>TBD</v>
      </c>
      <c r="H27" t="str">
        <v/>
      </c>
      <c r="I27" t="str">
        <v/>
      </c>
      <c r="J27" t="str">
        <v>01/10/2026</v>
      </c>
      <c r="K27" t="str">
        <v>06:38:06</v>
      </c>
      <c r="L27">
        <v>-12.220505</v>
      </c>
      <c r="M27">
        <v>-76.976616</v>
      </c>
      <c r="N27">
        <f>HYPERLINK("https://www.google.com/maps/search/?api=1&amp;query=-12.220505,-76.976616","Carretera Panamericana Sur, Chorrillos, Lima")</f>
      </c>
      <c r="O27" t="str">
        <v>Acelerado y giro brusco</v>
      </c>
      <c r="P27" t="str">
        <v/>
      </c>
      <c r="Q27">
        <v>2046.6</v>
      </c>
      <c r="R27" t="str">
        <v/>
      </c>
      <c r="S27">
        <v>60.7</v>
      </c>
      <c r="T27">
        <v>79.83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84</v>
      </c>
      <c r="AC27" t="str">
        <v>01/10/2026</v>
      </c>
      <c r="AD27" t="str">
        <v>06:38:01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06:38:21</v>
      </c>
      <c r="AL27" t="str">
        <v>06:38:21</v>
      </c>
      <c r="AM27" t="str">
        <v/>
      </c>
    </row>
    <row r="28">
      <c r="A28">
        <v>27</v>
      </c>
      <c r="B28" t="str">
        <v>MASS BSF</v>
      </c>
      <c r="C28" t="str">
        <v>F8R-810</v>
      </c>
      <c r="D28" t="str">
        <v>F8R-810</v>
      </c>
      <c r="E28" t="str">
        <v/>
      </c>
      <c r="F28" t="str">
        <v>867806078868827</v>
      </c>
      <c r="G28" t="str">
        <v>TBD</v>
      </c>
      <c r="H28" t="str">
        <v/>
      </c>
      <c r="I28" t="str">
        <v/>
      </c>
      <c r="J28" t="str">
        <v>01/10/2026</v>
      </c>
      <c r="K28" t="str">
        <v>06:38:16</v>
      </c>
      <c r="L28">
        <v>-12.221474</v>
      </c>
      <c r="M28">
        <v>-76.975716</v>
      </c>
      <c r="N28">
        <f>HYPERLINK("https://www.google.com/maps/search/?api=1&amp;query=-12.221474,-76.975716","Carretera Panamericana Sur, Chorrillos, Lima")</f>
      </c>
      <c r="O28" t="str">
        <v>Acelerado y giro brusco</v>
      </c>
      <c r="P28" t="str">
        <v/>
      </c>
      <c r="Q28">
        <v>2046.7</v>
      </c>
      <c r="R28" t="str">
        <v/>
      </c>
      <c r="S28">
        <v>42.4</v>
      </c>
      <c r="T28">
        <v>79.83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84</v>
      </c>
      <c r="AC28" t="str">
        <v>01/10/2026</v>
      </c>
      <c r="AD28" t="str">
        <v>06:38:11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06:38:29</v>
      </c>
      <c r="AL28" t="str">
        <v>06:38:29</v>
      </c>
      <c r="AM28" t="str">
        <v/>
      </c>
    </row>
    <row r="29">
      <c r="A29">
        <v>28</v>
      </c>
      <c r="B29" t="str">
        <v>MASS BSF</v>
      </c>
      <c r="C29" t="str">
        <v>F8R-810</v>
      </c>
      <c r="D29" t="str">
        <v>F8R-810</v>
      </c>
      <c r="E29" t="str">
        <v/>
      </c>
      <c r="F29" t="str">
        <v>867806078868827</v>
      </c>
      <c r="G29" t="str">
        <v>TBD</v>
      </c>
      <c r="H29" t="str">
        <v/>
      </c>
      <c r="I29" t="str">
        <v/>
      </c>
      <c r="J29" t="str">
        <v>01/10/2026</v>
      </c>
      <c r="K29" t="str">
        <v>06:38:20</v>
      </c>
      <c r="L29">
        <v>-12.221733</v>
      </c>
      <c r="M29">
        <v>-76.97543</v>
      </c>
      <c r="N29">
        <f>HYPERLINK("https://www.google.com/maps/search/?api=1&amp;query=-12.221733,-76.97543","Carretera Panamericana Sur, Chorrillos, Lima")</f>
      </c>
      <c r="O29" t="str">
        <v>Acelerado y giro brusco</v>
      </c>
      <c r="P29" t="str">
        <v/>
      </c>
      <c r="Q29">
        <v>2046.8</v>
      </c>
      <c r="R29" t="str">
        <v/>
      </c>
      <c r="S29">
        <v>30.1</v>
      </c>
      <c r="T29">
        <v>79.83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84</v>
      </c>
      <c r="AC29" t="str">
        <v>01/10/2026</v>
      </c>
      <c r="AD29" t="str">
        <v>06:38:15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06:38:39</v>
      </c>
      <c r="AL29" t="str">
        <v>06:38:39</v>
      </c>
      <c r="AM29" t="str">
        <v/>
      </c>
    </row>
    <row r="30">
      <c r="A30">
        <v>29</v>
      </c>
      <c r="B30" t="str">
        <v>MASS BSF</v>
      </c>
      <c r="C30" t="str">
        <v>F8R-810</v>
      </c>
      <c r="D30" t="str">
        <v>F8R-810</v>
      </c>
      <c r="E30" t="str">
        <v/>
      </c>
      <c r="F30" t="str">
        <v>867806078868827</v>
      </c>
      <c r="G30" t="str">
        <v>TBD</v>
      </c>
      <c r="H30" t="str">
        <v/>
      </c>
      <c r="I30" t="str">
        <v/>
      </c>
      <c r="J30" t="str">
        <v>01/10/2026</v>
      </c>
      <c r="K30" t="str">
        <v>06:39:13</v>
      </c>
      <c r="L30">
        <v>-12.225937</v>
      </c>
      <c r="M30">
        <v>-76.971306</v>
      </c>
      <c r="N30">
        <f>HYPERLINK("https://www.google.com/maps/search/?api=1&amp;query=-12.225937,-76.971306","Carretera Panamericana Sur, Villa El Salvador, Lima")</f>
      </c>
      <c r="O30" t="str">
        <v>Bache</v>
      </c>
      <c r="P30" t="str">
        <v/>
      </c>
      <c r="Q30">
        <v>2047.4</v>
      </c>
      <c r="R30" t="str">
        <v/>
      </c>
      <c r="S30">
        <v>38.7</v>
      </c>
      <c r="T30">
        <v>79.83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84</v>
      </c>
      <c r="AC30" t="str">
        <v>01/10/2026</v>
      </c>
      <c r="AD30" t="str">
        <v>06:39:08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06:39:23</v>
      </c>
      <c r="AL30" t="str">
        <v>06:39:23</v>
      </c>
      <c r="AM30" t="str">
        <v/>
      </c>
    </row>
    <row r="31">
      <c r="A31">
        <v>30</v>
      </c>
      <c r="B31" t="str">
        <v>MASS BSF</v>
      </c>
      <c r="C31" t="str">
        <v>F8R-810</v>
      </c>
      <c r="D31" t="str">
        <v>F8R-810</v>
      </c>
      <c r="E31" t="str">
        <v/>
      </c>
      <c r="F31" t="str">
        <v>867806078868827</v>
      </c>
      <c r="G31" t="str">
        <v>TBD</v>
      </c>
      <c r="H31" t="str">
        <v/>
      </c>
      <c r="I31" t="str">
        <v/>
      </c>
      <c r="J31" t="str">
        <v>01/10/2026</v>
      </c>
      <c r="K31" t="str">
        <v>06:39:16</v>
      </c>
      <c r="L31">
        <v>-12.22622</v>
      </c>
      <c r="M31">
        <v>-76.97102</v>
      </c>
      <c r="N31">
        <f>HYPERLINK("https://www.google.com/maps/search/?api=1&amp;query=-12.22622,-76.97102","Carretera Panamericana Sur, Villa El Salvador, Lima")</f>
      </c>
      <c r="O31" t="str">
        <v>Acelerado y giro brusco</v>
      </c>
      <c r="P31" t="str">
        <v/>
      </c>
      <c r="Q31">
        <v>2047.5</v>
      </c>
      <c r="R31" t="str">
        <v/>
      </c>
      <c r="S31">
        <v>38.5</v>
      </c>
      <c r="T31">
        <v>79.83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84</v>
      </c>
      <c r="AC31" t="str">
        <v>01/10/2026</v>
      </c>
      <c r="AD31" t="str">
        <v>06:39:12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06:39:32</v>
      </c>
      <c r="AL31" t="str">
        <v>06:39:32</v>
      </c>
      <c r="AM31" t="str">
        <v/>
      </c>
    </row>
    <row r="32">
      <c r="A32">
        <v>31</v>
      </c>
      <c r="B32" t="str">
        <v>MASS BSF</v>
      </c>
      <c r="C32" t="str">
        <v>F8R-810</v>
      </c>
      <c r="D32" t="str">
        <v>F8R-810</v>
      </c>
      <c r="E32" t="str">
        <v/>
      </c>
      <c r="F32" t="str">
        <v>867806078868827</v>
      </c>
      <c r="G32" t="str">
        <v>TBD</v>
      </c>
      <c r="H32" t="str">
        <v/>
      </c>
      <c r="I32" t="str">
        <v/>
      </c>
      <c r="J32" t="str">
        <v>01/10/2026</v>
      </c>
      <c r="K32" t="str">
        <v>06:39:34</v>
      </c>
      <c r="L32">
        <v>-12.227205</v>
      </c>
      <c r="M32">
        <v>-76.97</v>
      </c>
      <c r="N32">
        <f>HYPERLINK("https://www.google.com/maps/search/?api=1&amp;query=-12.227205,-76.97","Carretera Panamericana Sur, Villa El Salvador, Lima")</f>
      </c>
      <c r="O32" t="str">
        <v>Acelerado y giro brusco</v>
      </c>
      <c r="P32" t="str">
        <v/>
      </c>
      <c r="Q32">
        <v>2047.6</v>
      </c>
      <c r="R32" t="str">
        <v/>
      </c>
      <c r="S32">
        <v>42.4</v>
      </c>
      <c r="T32">
        <v>79.83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84</v>
      </c>
      <c r="AC32" t="str">
        <v>01/10/2026</v>
      </c>
      <c r="AD32" t="str">
        <v>06:39:29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06:39:47</v>
      </c>
      <c r="AL32" t="str">
        <v>06:39:47</v>
      </c>
      <c r="AM32" t="str">
        <v/>
      </c>
    </row>
    <row r="33">
      <c r="A33">
        <v>32</v>
      </c>
      <c r="B33" t="str">
        <v>MASS BSF</v>
      </c>
      <c r="C33" t="str">
        <v>F8R-810</v>
      </c>
      <c r="D33" t="str">
        <v>F8R-810</v>
      </c>
      <c r="E33" t="str">
        <v/>
      </c>
      <c r="F33" t="str">
        <v>867806078868827</v>
      </c>
      <c r="G33" t="str">
        <v>TBD</v>
      </c>
      <c r="H33" t="str">
        <v/>
      </c>
      <c r="I33" t="str">
        <v/>
      </c>
      <c r="J33" t="str">
        <v>01/10/2026</v>
      </c>
      <c r="K33" t="str">
        <v>06:39:41</v>
      </c>
      <c r="L33">
        <v>-12.227763</v>
      </c>
      <c r="M33">
        <v>-76.96941</v>
      </c>
      <c r="N33">
        <f>HYPERLINK("https://www.google.com/maps/search/?api=1&amp;query=-12.227763,-76.96941","Carretera Panamericana Sur, Villa El Salvador, Lima")</f>
      </c>
      <c r="O33" t="str">
        <v>Acelerado y giro brusco</v>
      </c>
      <c r="P33" t="str">
        <v/>
      </c>
      <c r="Q33">
        <v>2047.7</v>
      </c>
      <c r="R33" t="str">
        <v/>
      </c>
      <c r="S33">
        <v>49.2</v>
      </c>
      <c r="T33">
        <v>79.83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84</v>
      </c>
      <c r="AC33" t="str">
        <v>01/10/2026</v>
      </c>
      <c r="AD33" t="str">
        <v>06:39:36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06:39:48</v>
      </c>
      <c r="AL33" t="str">
        <v>06:39:48</v>
      </c>
      <c r="AM33" t="str">
        <v/>
      </c>
    </row>
    <row r="34">
      <c r="A34">
        <v>33</v>
      </c>
      <c r="B34" t="str">
        <v>MASS BSF</v>
      </c>
      <c r="C34" t="str">
        <v>F8R-810</v>
      </c>
      <c r="D34" t="str">
        <v>F8R-810</v>
      </c>
      <c r="E34" t="str">
        <v/>
      </c>
      <c r="F34" t="str">
        <v>867806078868827</v>
      </c>
      <c r="G34" t="str">
        <v>TBD</v>
      </c>
      <c r="H34" t="str">
        <v/>
      </c>
      <c r="I34" t="str">
        <v/>
      </c>
      <c r="J34" t="str">
        <v>01/10/2026</v>
      </c>
      <c r="K34" t="str">
        <v>06:39:57</v>
      </c>
      <c r="L34">
        <v>-12.229433</v>
      </c>
      <c r="M34">
        <v>-76.96785</v>
      </c>
      <c r="N34">
        <f>HYPERLINK("https://www.google.com/maps/search/?api=1&amp;query=-12.229433,-76.96785","Carretera Panamericana Sur, Villa El Salvador, Lima")</f>
      </c>
      <c r="O34" t="str">
        <v>Acelerado y giro brusco</v>
      </c>
      <c r="P34" t="str">
        <v/>
      </c>
      <c r="Q34">
        <v>2048</v>
      </c>
      <c r="R34" t="str">
        <v/>
      </c>
      <c r="S34">
        <v>54.4</v>
      </c>
      <c r="T34">
        <v>79.83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84</v>
      </c>
      <c r="AC34" t="str">
        <v>01/10/2026</v>
      </c>
      <c r="AD34" t="str">
        <v>06:39:53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06:40:06</v>
      </c>
      <c r="AL34" t="str">
        <v>06:40:06</v>
      </c>
      <c r="AM34" t="str">
        <v/>
      </c>
    </row>
    <row r="35">
      <c r="A35">
        <v>34</v>
      </c>
      <c r="B35" t="str">
        <v>MASS BSF</v>
      </c>
      <c r="C35" t="str">
        <v>F8R-810</v>
      </c>
      <c r="D35" t="str">
        <v>F8R-810</v>
      </c>
      <c r="E35" t="str">
        <v/>
      </c>
      <c r="F35" t="str">
        <v>867806078868827</v>
      </c>
      <c r="G35" t="str">
        <v>TBD</v>
      </c>
      <c r="H35" t="str">
        <v/>
      </c>
      <c r="I35" t="str">
        <v/>
      </c>
      <c r="J35" t="str">
        <v>01/10/2026</v>
      </c>
      <c r="K35" t="str">
        <v>06:40:05</v>
      </c>
      <c r="L35">
        <v>-12.230119</v>
      </c>
      <c r="M35">
        <v>-76.96715</v>
      </c>
      <c r="N35">
        <f>HYPERLINK("https://www.google.com/maps/search/?api=1&amp;query=-12.230119,-76.96715","Carretera Panamericana Sur, Villa El Salvador, Lima")</f>
      </c>
      <c r="O35" t="str">
        <v>Acelerado y giro brusco</v>
      </c>
      <c r="P35" t="str">
        <v/>
      </c>
      <c r="Q35">
        <v>2048.1</v>
      </c>
      <c r="R35" t="str">
        <v/>
      </c>
      <c r="S35">
        <v>56.1</v>
      </c>
      <c r="T35">
        <v>79.83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84</v>
      </c>
      <c r="AC35" t="str">
        <v>01/10/2026</v>
      </c>
      <c r="AD35" t="str">
        <v>06:40:00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06:40:06</v>
      </c>
      <c r="AL35" t="str">
        <v>06:40:06</v>
      </c>
      <c r="AM35" t="str">
        <v/>
      </c>
    </row>
    <row r="36">
      <c r="A36">
        <v>35</v>
      </c>
      <c r="B36" t="str">
        <v>MASS BSF</v>
      </c>
      <c r="C36" t="str">
        <v>F8R-810</v>
      </c>
      <c r="D36" t="str">
        <v>F8R-810</v>
      </c>
      <c r="E36" t="str">
        <v/>
      </c>
      <c r="F36" t="str">
        <v>867806078868827</v>
      </c>
      <c r="G36" t="str">
        <v>TBD</v>
      </c>
      <c r="H36" t="str">
        <v/>
      </c>
      <c r="I36" t="str">
        <v/>
      </c>
      <c r="J36" t="str">
        <v>01/10/2026</v>
      </c>
      <c r="K36" t="str">
        <v>06:40:50</v>
      </c>
      <c r="L36">
        <v>-12.23388</v>
      </c>
      <c r="M36">
        <v>-76.96057</v>
      </c>
      <c r="N36">
        <f>HYPERLINK("https://www.google.com/maps/search/?api=1&amp;query=-12.23388,-76.96057","Carretera Panamericana Sur, Villa El Salvador, Lima")</f>
      </c>
      <c r="O36" t="str">
        <v>Aceleración brusca</v>
      </c>
      <c r="P36" t="str">
        <v>CMT-910</v>
      </c>
      <c r="Q36">
        <v>2048.9</v>
      </c>
      <c r="R36" t="str">
        <v/>
      </c>
      <c r="S36">
        <v>70.7</v>
      </c>
      <c r="T36">
        <v>79.83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84</v>
      </c>
      <c r="AC36" t="str">
        <v>01/10/2026</v>
      </c>
      <c r="AD36" t="str">
        <v>06:40:45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06:40:54</v>
      </c>
      <c r="AL36" t="str">
        <v>06:40:54</v>
      </c>
      <c r="AM36" t="str">
        <v/>
      </c>
    </row>
    <row r="37">
      <c r="A37">
        <v>36</v>
      </c>
      <c r="B37" t="str">
        <v>MASS BSF</v>
      </c>
      <c r="C37" t="str">
        <v>F8R-810</v>
      </c>
      <c r="D37" t="str">
        <v>F8R-810</v>
      </c>
      <c r="E37" t="str">
        <v/>
      </c>
      <c r="F37" t="str">
        <v>867806078868827</v>
      </c>
      <c r="G37" t="str">
        <v>TBD</v>
      </c>
      <c r="H37" t="str">
        <v/>
      </c>
      <c r="I37" t="str">
        <v/>
      </c>
      <c r="J37" t="str">
        <v>01/10/2026</v>
      </c>
      <c r="K37" t="str">
        <v>06:41:05</v>
      </c>
      <c r="L37">
        <v>-12.235137</v>
      </c>
      <c r="M37">
        <v>-76.958145</v>
      </c>
      <c r="N37">
        <f>HYPERLINK("https://www.google.com/maps/search/?api=1&amp;query=-12.235137,-76.958145","Carretera Panamericana Sur, Villa El Salvador, Lima")</f>
      </c>
      <c r="O37" t="str">
        <v>Aceleración brusca</v>
      </c>
      <c r="P37" t="str">
        <v>CMT-910</v>
      </c>
      <c r="Q37">
        <v>2049.2</v>
      </c>
      <c r="R37" t="str">
        <v/>
      </c>
      <c r="S37">
        <v>70.5</v>
      </c>
      <c r="T37">
        <v>79.83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84</v>
      </c>
      <c r="AC37" t="str">
        <v>01/10/2026</v>
      </c>
      <c r="AD37" t="str">
        <v>06:41:00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06:41:18</v>
      </c>
      <c r="AL37" t="str">
        <v>06:41:18</v>
      </c>
      <c r="AM37" t="str">
        <v/>
      </c>
    </row>
    <row r="38">
      <c r="A38">
        <v>37</v>
      </c>
      <c r="B38" t="str">
        <v>MASS BSF</v>
      </c>
      <c r="C38" t="str">
        <v>F8R-810</v>
      </c>
      <c r="D38" t="str">
        <v>F8R-810</v>
      </c>
      <c r="E38" t="str">
        <v/>
      </c>
      <c r="F38" t="str">
        <v>867806078868827</v>
      </c>
      <c r="G38" t="str">
        <v>TBD</v>
      </c>
      <c r="H38" t="str">
        <v/>
      </c>
      <c r="I38" t="str">
        <v/>
      </c>
      <c r="J38" t="str">
        <v>01/10/2026</v>
      </c>
      <c r="K38" t="str">
        <v>06:41:34</v>
      </c>
      <c r="L38">
        <v>-12.237525</v>
      </c>
      <c r="M38">
        <v>-76.953545</v>
      </c>
      <c r="N38">
        <f>HYPERLINK("https://www.google.com/maps/search/?api=1&amp;query=-12.237525,-76.953545","Carretera Panamericana Sur, Villa El Salvador, Lima")</f>
      </c>
      <c r="O38" t="str">
        <v>Aceleración brusca</v>
      </c>
      <c r="P38" t="str">
        <v>CMT-910</v>
      </c>
      <c r="Q38">
        <v>2049.7</v>
      </c>
      <c r="R38" t="str">
        <v/>
      </c>
      <c r="S38">
        <v>64.4</v>
      </c>
      <c r="T38">
        <v>79.83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84</v>
      </c>
      <c r="AC38" t="str">
        <v>01/10/2026</v>
      </c>
      <c r="AD38" t="str">
        <v>06:41:30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06:41:42</v>
      </c>
      <c r="AL38" t="str">
        <v>06:41:42</v>
      </c>
      <c r="AM38" t="str">
        <v/>
      </c>
    </row>
    <row r="39">
      <c r="A39">
        <v>38</v>
      </c>
      <c r="B39" t="str">
        <v>MASS BSF</v>
      </c>
      <c r="C39" t="str">
        <v>F8R-810</v>
      </c>
      <c r="D39" t="str">
        <v>F8R-810</v>
      </c>
      <c r="E39" t="str">
        <v/>
      </c>
      <c r="F39" t="str">
        <v>867806078868827</v>
      </c>
      <c r="G39" t="str">
        <v>TBD</v>
      </c>
      <c r="H39" t="str">
        <v/>
      </c>
      <c r="I39" t="str">
        <v/>
      </c>
      <c r="J39" t="str">
        <v>01/10/2026</v>
      </c>
      <c r="K39" t="str">
        <v>06:41:39</v>
      </c>
      <c r="L39">
        <v>-12.237826</v>
      </c>
      <c r="M39">
        <v>-76.95297</v>
      </c>
      <c r="N39">
        <f>HYPERLINK("https://www.google.com/maps/search/?api=1&amp;query=-12.237826,-76.95297","Carretera Panamericana Sur, Villa El Salvador, Lima")</f>
      </c>
      <c r="O39" t="str">
        <v>Aceleración brusca</v>
      </c>
      <c r="P39" t="str">
        <v>CMT-910</v>
      </c>
      <c r="Q39">
        <v>2049.8</v>
      </c>
      <c r="R39" t="str">
        <v/>
      </c>
      <c r="S39">
        <v>63.3</v>
      </c>
      <c r="T39">
        <v>79.83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84</v>
      </c>
      <c r="AC39" t="str">
        <v>01/10/2026</v>
      </c>
      <c r="AD39" t="str">
        <v>06:41:34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06:41:49</v>
      </c>
      <c r="AL39" t="str">
        <v>06:41:49</v>
      </c>
      <c r="AM39" t="str">
        <v/>
      </c>
    </row>
    <row r="40">
      <c r="A40">
        <v>39</v>
      </c>
      <c r="B40" t="str">
        <v>MASS BSF</v>
      </c>
      <c r="C40" t="str">
        <v>F8R-810</v>
      </c>
      <c r="D40" t="str">
        <v>F8R-810</v>
      </c>
      <c r="E40" t="str">
        <v/>
      </c>
      <c r="F40" t="str">
        <v>867806078868827</v>
      </c>
      <c r="G40" t="str">
        <v>TBD</v>
      </c>
      <c r="H40" t="str">
        <v/>
      </c>
      <c r="I40" t="str">
        <v/>
      </c>
      <c r="J40" t="str">
        <v>01/10/2026</v>
      </c>
      <c r="K40" t="str">
        <v>06:42:10</v>
      </c>
      <c r="L40">
        <v>-12.240396</v>
      </c>
      <c r="M40">
        <v>-76.94801</v>
      </c>
      <c r="N40">
        <f>HYPERLINK("https://www.google.com/maps/search/?api=1&amp;query=-12.240396,-76.94801","Carretera Panamericana Sur, Villa El Salvador, Lima")</f>
      </c>
      <c r="O40" t="str">
        <v>Aceleración brusca</v>
      </c>
      <c r="P40" t="str">
        <v>CMT-910</v>
      </c>
      <c r="Q40">
        <v>2050.4</v>
      </c>
      <c r="R40" t="str">
        <v/>
      </c>
      <c r="S40">
        <v>76.8</v>
      </c>
      <c r="T40">
        <v>79.83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84</v>
      </c>
      <c r="AC40" t="str">
        <v>01/10/2026</v>
      </c>
      <c r="AD40" t="str">
        <v>06:42:05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06:42:24</v>
      </c>
      <c r="AL40" t="str">
        <v>06:42:24</v>
      </c>
      <c r="AM40" t="str">
        <v/>
      </c>
    </row>
    <row r="41">
      <c r="A41">
        <v>40</v>
      </c>
      <c r="B41" t="str">
        <v>MASS BSF</v>
      </c>
      <c r="C41" t="str">
        <v>F8R-810</v>
      </c>
      <c r="D41" t="str">
        <v>F8R-810</v>
      </c>
      <c r="E41" t="str">
        <v/>
      </c>
      <c r="F41" t="str">
        <v>867806078868827</v>
      </c>
      <c r="G41" t="str">
        <v>TBD</v>
      </c>
      <c r="H41" t="str">
        <v/>
      </c>
      <c r="I41" t="str">
        <v/>
      </c>
      <c r="J41" t="str">
        <v>01/10/2026</v>
      </c>
      <c r="K41" t="str">
        <v>06:42:25</v>
      </c>
      <c r="L41">
        <v>-12.241738</v>
      </c>
      <c r="M41">
        <v>-76.94543</v>
      </c>
      <c r="N41">
        <f>HYPERLINK("https://www.google.com/maps/search/?api=1&amp;query=-12.241738,-76.94543","Carretera Panamericana Sur, Villa El Salvador, Lima")</f>
      </c>
      <c r="O41" t="str">
        <v>Aceleración brusca</v>
      </c>
      <c r="P41" t="str">
        <v>CMT-910</v>
      </c>
      <c r="Q41">
        <v>2050.7</v>
      </c>
      <c r="R41" t="str">
        <v/>
      </c>
      <c r="S41">
        <v>75.7</v>
      </c>
      <c r="T41">
        <v>79.83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84</v>
      </c>
      <c r="AC41" t="str">
        <v>01/10/2026</v>
      </c>
      <c r="AD41" t="str">
        <v>06:42:20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06:42:47</v>
      </c>
      <c r="AL41" t="str">
        <v>06:42:47</v>
      </c>
      <c r="AM41" t="str">
        <v/>
      </c>
    </row>
    <row r="42">
      <c r="A42">
        <v>41</v>
      </c>
      <c r="B42" t="str">
        <v>MASS BSF</v>
      </c>
      <c r="C42" t="str">
        <v>F8R-810</v>
      </c>
      <c r="D42" t="str">
        <v>F8R-810</v>
      </c>
      <c r="E42" t="str">
        <v/>
      </c>
      <c r="F42" t="str">
        <v>867806078868827</v>
      </c>
      <c r="G42" t="str">
        <v>TBD</v>
      </c>
      <c r="H42" t="str">
        <v/>
      </c>
      <c r="I42" t="str">
        <v/>
      </c>
      <c r="J42" t="str">
        <v>01/10/2026</v>
      </c>
      <c r="K42" t="str">
        <v>06:42:37</v>
      </c>
      <c r="L42">
        <v>-12.242811</v>
      </c>
      <c r="M42">
        <v>-76.943375</v>
      </c>
      <c r="N42">
        <f>HYPERLINK("https://www.google.com/maps/search/?api=1&amp;query=-12.242811,-76.943375","Carretera Panamericana Sur, Villa El Salvador, Lima")</f>
      </c>
      <c r="O42" t="str">
        <v>Aceleración brusca</v>
      </c>
      <c r="P42" t="str">
        <v>CMT-910</v>
      </c>
      <c r="Q42">
        <v>2051</v>
      </c>
      <c r="R42" t="str">
        <v/>
      </c>
      <c r="S42">
        <v>76.6</v>
      </c>
      <c r="T42">
        <v>79.83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84</v>
      </c>
      <c r="AC42" t="str">
        <v>01/10/2026</v>
      </c>
      <c r="AD42" t="str">
        <v>06:42:32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06:42:41</v>
      </c>
      <c r="AL42" t="str">
        <v>06:42:41</v>
      </c>
      <c r="AM42" t="str">
        <v/>
      </c>
    </row>
    <row r="43">
      <c r="A43">
        <v>42</v>
      </c>
      <c r="B43" t="str">
        <v>MASS BSF</v>
      </c>
      <c r="C43" t="str">
        <v>F8R-810</v>
      </c>
      <c r="D43" t="str">
        <v>F8R-810</v>
      </c>
      <c r="E43" t="str">
        <v/>
      </c>
      <c r="F43" t="str">
        <v>867806078868827</v>
      </c>
      <c r="G43" t="str">
        <v>TBD</v>
      </c>
      <c r="H43" t="str">
        <v/>
      </c>
      <c r="I43" t="str">
        <v/>
      </c>
      <c r="J43" t="str">
        <v>01/10/2026</v>
      </c>
      <c r="K43" t="str">
        <v>06:42:53</v>
      </c>
      <c r="L43">
        <v>-12.244235</v>
      </c>
      <c r="M43">
        <v>-76.94062</v>
      </c>
      <c r="N43">
        <f>HYPERLINK("https://www.google.com/maps/search/?api=1&amp;query=-12.244235,-76.94062","Carretera Panamericana Sur, Villa El Salvador, Lima")</f>
      </c>
      <c r="O43" t="str">
        <v>Aceleración brusca</v>
      </c>
      <c r="P43" t="str">
        <v>CMT-910</v>
      </c>
      <c r="Q43">
        <v>2051.3</v>
      </c>
      <c r="R43" t="str">
        <v/>
      </c>
      <c r="S43">
        <v>75.7</v>
      </c>
      <c r="T43">
        <v>79.83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84</v>
      </c>
      <c r="AC43" t="str">
        <v>01/10/2026</v>
      </c>
      <c r="AD43" t="str">
        <v>06:42:48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06:43:05</v>
      </c>
      <c r="AL43" t="str">
        <v>06:43:05</v>
      </c>
      <c r="AM43" t="str">
        <v/>
      </c>
    </row>
    <row r="44">
      <c r="A44">
        <v>43</v>
      </c>
      <c r="B44" t="str">
        <v>MASS BSF</v>
      </c>
      <c r="C44" t="str">
        <v>F8R-810</v>
      </c>
      <c r="D44" t="str">
        <v>F8R-810</v>
      </c>
      <c r="E44" t="str">
        <v/>
      </c>
      <c r="F44" t="str">
        <v>867806078868827</v>
      </c>
      <c r="G44" t="str">
        <v>TBD</v>
      </c>
      <c r="H44" t="str">
        <v/>
      </c>
      <c r="I44" t="str">
        <v/>
      </c>
      <c r="J44" t="str">
        <v>01/10/2026</v>
      </c>
      <c r="K44" t="str">
        <v>06:43:26</v>
      </c>
      <c r="L44">
        <v>-12.24717</v>
      </c>
      <c r="M44">
        <v>-76.935005</v>
      </c>
      <c r="N44">
        <f>HYPERLINK("https://www.google.com/maps/search/?api=1&amp;query=-12.24717,-76.935005","Carretera Panamericana Sur, Lurín, Lima")</f>
      </c>
      <c r="O44" t="str">
        <v>Aceleración brusca</v>
      </c>
      <c r="P44" t="str">
        <v>CMT-910</v>
      </c>
      <c r="Q44">
        <v>2052</v>
      </c>
      <c r="R44" t="str">
        <v/>
      </c>
      <c r="S44">
        <v>74</v>
      </c>
      <c r="T44">
        <v>79.83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85</v>
      </c>
      <c r="AC44" t="str">
        <v>01/10/2026</v>
      </c>
      <c r="AD44" t="str">
        <v>06:43:21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06:43:37</v>
      </c>
      <c r="AL44" t="str">
        <v>06:43:37</v>
      </c>
      <c r="AM44" t="str">
        <v/>
      </c>
    </row>
    <row r="45">
      <c r="A45">
        <v>44</v>
      </c>
      <c r="B45" t="str">
        <v>MASS BSF</v>
      </c>
      <c r="C45" t="str">
        <v>F8R-810</v>
      </c>
      <c r="D45" t="str">
        <v>F8R-810</v>
      </c>
      <c r="E45" t="str">
        <v/>
      </c>
      <c r="F45" t="str">
        <v>867806078868827</v>
      </c>
      <c r="G45" t="str">
        <v>TBD</v>
      </c>
      <c r="H45" t="str">
        <v/>
      </c>
      <c r="I45" t="str">
        <v/>
      </c>
      <c r="J45" t="str">
        <v>01/10/2026</v>
      </c>
      <c r="K45" t="str">
        <v>06:44:53</v>
      </c>
      <c r="L45">
        <v>-12.255678</v>
      </c>
      <c r="M45">
        <v>-76.922455</v>
      </c>
      <c r="N45">
        <f>HYPERLINK("https://www.google.com/maps/search/?api=1&amp;query=-12.255678,-76.922455","Carretera Panamericana Sur, Lurín, Lima")</f>
      </c>
      <c r="O45" t="str">
        <v>Aceleración brusca</v>
      </c>
      <c r="P45" t="str">
        <v>CMT-910</v>
      </c>
      <c r="Q45">
        <v>2053.7</v>
      </c>
      <c r="R45" t="str">
        <v/>
      </c>
      <c r="S45">
        <v>69.6</v>
      </c>
      <c r="T45">
        <v>79.83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85</v>
      </c>
      <c r="AC45" t="str">
        <v>01/10/2026</v>
      </c>
      <c r="AD45" t="str">
        <v>06:44:48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06:44:55</v>
      </c>
      <c r="AL45" t="str">
        <v>06:44:55</v>
      </c>
      <c r="AM45" t="str">
        <v/>
      </c>
    </row>
    <row r="46">
      <c r="A46">
        <v>45</v>
      </c>
      <c r="B46" t="str">
        <v>MASS BSF</v>
      </c>
      <c r="C46" t="str">
        <v>F8R-810</v>
      </c>
      <c r="D46" t="str">
        <v>F8R-810</v>
      </c>
      <c r="E46" t="str">
        <v/>
      </c>
      <c r="F46" t="str">
        <v>867806078868827</v>
      </c>
      <c r="G46" t="str">
        <v>TBD</v>
      </c>
      <c r="H46" t="str">
        <v/>
      </c>
      <c r="I46" t="str">
        <v/>
      </c>
      <c r="J46" t="str">
        <v>01/10/2026</v>
      </c>
      <c r="K46" t="str">
        <v>06:45:56</v>
      </c>
      <c r="L46">
        <v>-12.26153</v>
      </c>
      <c r="M46">
        <v>-76.91309</v>
      </c>
      <c r="N46">
        <f>HYPERLINK("https://www.google.com/maps/search/?api=1&amp;query=-12.26153,-76.91309","Carretera Panamericana Sur, Lurín, Lima")</f>
      </c>
      <c r="O46" t="str">
        <v>Acelerado y giro brusco</v>
      </c>
      <c r="P46" t="str">
        <v/>
      </c>
      <c r="Q46">
        <v>2054.9</v>
      </c>
      <c r="R46" t="str">
        <v/>
      </c>
      <c r="S46">
        <v>69.4</v>
      </c>
      <c r="T46">
        <v>79.83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85</v>
      </c>
      <c r="AC46" t="str">
        <v>01/10/2026</v>
      </c>
      <c r="AD46" t="str">
        <v>06:45:51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06:46:08</v>
      </c>
      <c r="AL46" t="str">
        <v>06:46:08</v>
      </c>
      <c r="AM46" t="str">
        <v/>
      </c>
    </row>
    <row r="47">
      <c r="A47">
        <v>46</v>
      </c>
      <c r="B47" t="str">
        <v>MASS BSF</v>
      </c>
      <c r="C47" t="str">
        <v>F8R-810</v>
      </c>
      <c r="D47" t="str">
        <v>F8R-810</v>
      </c>
      <c r="E47" t="str">
        <v/>
      </c>
      <c r="F47" t="str">
        <v>867806078868827</v>
      </c>
      <c r="G47" t="str">
        <v>TBD</v>
      </c>
      <c r="H47" t="str">
        <v/>
      </c>
      <c r="I47" t="str">
        <v/>
      </c>
      <c r="J47" t="str">
        <v>01/10/2026</v>
      </c>
      <c r="K47" t="str">
        <v>06:46:04</v>
      </c>
      <c r="L47">
        <v>-12.26227</v>
      </c>
      <c r="M47">
        <v>-76.91193</v>
      </c>
      <c r="N47">
        <f>HYPERLINK("https://www.google.com/maps/search/?api=1&amp;query=-12.26227,-76.91193","Carretera Panamericana Sur, Lurín, Lima")</f>
      </c>
      <c r="O47" t="str">
        <v>Acelerado y giro brusco</v>
      </c>
      <c r="P47" t="str">
        <v/>
      </c>
      <c r="Q47">
        <v>2055</v>
      </c>
      <c r="R47" t="str">
        <v/>
      </c>
      <c r="S47">
        <v>65.7</v>
      </c>
      <c r="T47">
        <v>79.83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85</v>
      </c>
      <c r="AC47" t="str">
        <v>01/10/2026</v>
      </c>
      <c r="AD47" t="str">
        <v>06:45:59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06:46:09</v>
      </c>
      <c r="AL47" t="str">
        <v>06:46:09</v>
      </c>
      <c r="AM47" t="str">
        <v/>
      </c>
    </row>
    <row r="48">
      <c r="A48">
        <v>47</v>
      </c>
      <c r="B48" t="str">
        <v>MASS BSF</v>
      </c>
      <c r="C48" t="str">
        <v>F8R-810</v>
      </c>
      <c r="D48" t="str">
        <v>F8R-810</v>
      </c>
      <c r="E48" t="str">
        <v/>
      </c>
      <c r="F48" t="str">
        <v>867806078868827</v>
      </c>
      <c r="G48" t="str">
        <v>TBD</v>
      </c>
      <c r="H48" t="str">
        <v/>
      </c>
      <c r="I48" t="str">
        <v/>
      </c>
      <c r="J48" t="str">
        <v>01/10/2026</v>
      </c>
      <c r="K48" t="str">
        <v>06:46:16</v>
      </c>
      <c r="L48">
        <v>-12.263351</v>
      </c>
      <c r="M48">
        <v>-76.91021</v>
      </c>
      <c r="N48">
        <f>HYPERLINK("https://www.google.com/maps/search/?api=1&amp;query=-12.263351,-76.91021","Carretera Panamericana Sur, Lurín, Lima")</f>
      </c>
      <c r="O48" t="str">
        <v>Aceleración brusca</v>
      </c>
      <c r="P48" t="str">
        <v>CMT-910</v>
      </c>
      <c r="Q48">
        <v>2055.2</v>
      </c>
      <c r="R48" t="str">
        <v/>
      </c>
      <c r="S48">
        <v>66.6</v>
      </c>
      <c r="T48">
        <v>79.83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83</v>
      </c>
      <c r="AC48" t="str">
        <v>01/10/2026</v>
      </c>
      <c r="AD48" t="str">
        <v>06:46:11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06:46:16</v>
      </c>
      <c r="AL48" t="str">
        <v>06:46:16</v>
      </c>
      <c r="AM48" t="str">
        <v/>
      </c>
    </row>
    <row r="49">
      <c r="A49">
        <v>48</v>
      </c>
      <c r="B49" t="str">
        <v>MASS BSF</v>
      </c>
      <c r="C49" t="str">
        <v>F8R-810</v>
      </c>
      <c r="D49" t="str">
        <v>F8R-810</v>
      </c>
      <c r="E49" t="str">
        <v/>
      </c>
      <c r="F49" t="str">
        <v>867806078868827</v>
      </c>
      <c r="G49" t="str">
        <v>TBD</v>
      </c>
      <c r="H49" t="str">
        <v/>
      </c>
      <c r="I49" t="str">
        <v/>
      </c>
      <c r="J49" t="str">
        <v>01/10/2026</v>
      </c>
      <c r="K49" t="str">
        <v>06:46:36</v>
      </c>
      <c r="L49">
        <v>-12.264998</v>
      </c>
      <c r="M49">
        <v>-76.90759</v>
      </c>
      <c r="N49">
        <f>HYPERLINK("https://www.google.com/maps/search/?api=1&amp;query=-12.264998,-76.90759","Carretera Panamericana Sur, Lurín, Lima")</f>
      </c>
      <c r="O49" t="str">
        <v>Acelerado y giro brusco</v>
      </c>
      <c r="P49" t="str">
        <v/>
      </c>
      <c r="Q49">
        <v>2055.6</v>
      </c>
      <c r="R49" t="str">
        <v/>
      </c>
      <c r="S49">
        <v>57.4</v>
      </c>
      <c r="T49">
        <v>79.83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85</v>
      </c>
      <c r="AC49" t="str">
        <v>01/10/2026</v>
      </c>
      <c r="AD49" t="str">
        <v>06:46:31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06:46:56</v>
      </c>
      <c r="AL49" t="str">
        <v>06:46:56</v>
      </c>
      <c r="AM49" t="str">
        <v/>
      </c>
    </row>
    <row r="50">
      <c r="A50">
        <v>49</v>
      </c>
      <c r="B50" t="str">
        <v>MASS BSF</v>
      </c>
      <c r="C50" t="str">
        <v>F8R-810</v>
      </c>
      <c r="D50" t="str">
        <v>F8R-810</v>
      </c>
      <c r="E50" t="str">
        <v/>
      </c>
      <c r="F50" t="str">
        <v>867806078868827</v>
      </c>
      <c r="G50" t="str">
        <v>TBD</v>
      </c>
      <c r="H50" t="str">
        <v/>
      </c>
      <c r="I50" t="str">
        <v/>
      </c>
      <c r="J50" t="str">
        <v>01/10/2026</v>
      </c>
      <c r="K50" t="str">
        <v>06:49:09</v>
      </c>
      <c r="L50">
        <v>-12.27856</v>
      </c>
      <c r="M50">
        <v>-76.885994</v>
      </c>
      <c r="N50">
        <f>HYPERLINK("https://www.google.com/maps/search/?api=1&amp;query=-12.27856,-76.885994","Carretera Panamericana Sur, Lurín, Lima")</f>
      </c>
      <c r="O50" t="str">
        <v>Aceleración brusca</v>
      </c>
      <c r="P50" t="str">
        <v>CMT-910</v>
      </c>
      <c r="Q50">
        <v>2058.4</v>
      </c>
      <c r="R50" t="str">
        <v/>
      </c>
      <c r="S50">
        <v>72.9</v>
      </c>
      <c r="T50">
        <v>79.83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85</v>
      </c>
      <c r="AC50" t="str">
        <v>01/10/2026</v>
      </c>
      <c r="AD50" t="str">
        <v>06:49:04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06:49:19</v>
      </c>
      <c r="AL50" t="str">
        <v>06:49:19</v>
      </c>
      <c r="AM50" t="str">
        <v/>
      </c>
    </row>
    <row r="51">
      <c r="A51">
        <v>50</v>
      </c>
      <c r="B51" t="str">
        <v>MASS BSF</v>
      </c>
      <c r="C51" t="str">
        <v>F8R-810</v>
      </c>
      <c r="D51" t="str">
        <v>F8R-810</v>
      </c>
      <c r="E51" t="str">
        <v/>
      </c>
      <c r="F51" t="str">
        <v>867806078868827</v>
      </c>
      <c r="G51" t="str">
        <v>TBD</v>
      </c>
      <c r="H51" t="str">
        <v/>
      </c>
      <c r="I51" t="str">
        <v/>
      </c>
      <c r="J51" t="str">
        <v>01/10/2026</v>
      </c>
      <c r="K51" t="str">
        <v>06:51:31</v>
      </c>
      <c r="L51">
        <v>-12.29287</v>
      </c>
      <c r="M51">
        <v>-76.86324</v>
      </c>
      <c r="N51">
        <f>HYPERLINK("https://www.google.com/maps/search/?api=1&amp;query=-12.29287,-76.86324","Carretera Panamericana Sur, Lurín, Lima")</f>
      </c>
      <c r="O51" t="str">
        <v>Aceleración brusca</v>
      </c>
      <c r="P51" t="str">
        <v>CMT-910</v>
      </c>
      <c r="Q51">
        <v>2061.3</v>
      </c>
      <c r="R51" t="str">
        <v/>
      </c>
      <c r="S51">
        <v>76.1</v>
      </c>
      <c r="T51">
        <v>79.83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85</v>
      </c>
      <c r="AC51" t="str">
        <v>01/10/2026</v>
      </c>
      <c r="AD51" t="str">
        <v>06:51:26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06:51:48</v>
      </c>
      <c r="AL51" t="str">
        <v>06:51:48</v>
      </c>
      <c r="AM51" t="str">
        <v/>
      </c>
    </row>
    <row r="52">
      <c r="A52">
        <v>51</v>
      </c>
      <c r="B52" t="str">
        <v>MASS BSF</v>
      </c>
      <c r="C52" t="str">
        <v>F8R-810</v>
      </c>
      <c r="D52" t="str">
        <v>F8R-810</v>
      </c>
      <c r="E52" t="str">
        <v/>
      </c>
      <c r="F52" t="str">
        <v>867806078868827</v>
      </c>
      <c r="G52" t="str">
        <v>TBD</v>
      </c>
      <c r="H52" t="str">
        <v/>
      </c>
      <c r="I52" t="str">
        <v/>
      </c>
      <c r="J52" t="str">
        <v>01/10/2026</v>
      </c>
      <c r="K52" t="str">
        <v>06:52:08</v>
      </c>
      <c r="L52">
        <v>-12.296433</v>
      </c>
      <c r="M52">
        <v>-76.85722</v>
      </c>
      <c r="N52">
        <f>HYPERLINK("https://www.google.com/maps/search/?api=1&amp;query=-12.296433,-76.85722","Carretera Panamericana Sur, Lurín, Lima")</f>
      </c>
      <c r="O52" t="str">
        <v>Aceleración brusca</v>
      </c>
      <c r="P52" t="str">
        <v>CMT-910</v>
      </c>
      <c r="Q52">
        <v>2062</v>
      </c>
      <c r="R52" t="str">
        <v/>
      </c>
      <c r="S52">
        <v>71.1</v>
      </c>
      <c r="T52">
        <v>79.83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85</v>
      </c>
      <c r="AC52" t="str">
        <v>01/10/2026</v>
      </c>
      <c r="AD52" t="str">
        <v>06:52:03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06:52:15</v>
      </c>
      <c r="AL52" t="str">
        <v>06:52:15</v>
      </c>
      <c r="AM52" t="str">
        <v/>
      </c>
    </row>
    <row r="53">
      <c r="A53">
        <v>52</v>
      </c>
      <c r="B53" t="str">
        <v>MASS BSF</v>
      </c>
      <c r="C53" t="str">
        <v>F8R-810</v>
      </c>
      <c r="D53" t="str">
        <v>F8R-810</v>
      </c>
      <c r="E53" t="str">
        <v/>
      </c>
      <c r="F53" t="str">
        <v>867806078868827</v>
      </c>
      <c r="G53" t="str">
        <v>TBD</v>
      </c>
      <c r="H53" t="str">
        <v/>
      </c>
      <c r="I53" t="str">
        <v/>
      </c>
      <c r="J53" t="str">
        <v>01/10/2026</v>
      </c>
      <c r="K53" t="str">
        <v>06:52:41</v>
      </c>
      <c r="L53">
        <v>-12.298754</v>
      </c>
      <c r="M53">
        <v>-76.85191</v>
      </c>
      <c r="N53">
        <f>HYPERLINK("https://www.google.com/maps/search/?api=1&amp;query=-12.298754,-76.85191","Carretera Panamericana Sur, Lurín, Lima")</f>
      </c>
      <c r="O53" t="str">
        <v>Aceleración brusca</v>
      </c>
      <c r="P53" t="str">
        <v>CMT-910</v>
      </c>
      <c r="Q53">
        <v>2062.7</v>
      </c>
      <c r="R53" t="str">
        <v/>
      </c>
      <c r="S53">
        <v>62.9</v>
      </c>
      <c r="T53">
        <v>79.83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88</v>
      </c>
      <c r="AC53" t="str">
        <v>01/10/2026</v>
      </c>
      <c r="AD53" t="str">
        <v>06:52:36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06:52:51</v>
      </c>
      <c r="AL53" t="str">
        <v>06:52:51</v>
      </c>
      <c r="AM53" t="str">
        <v/>
      </c>
    </row>
    <row r="54">
      <c r="A54">
        <v>53</v>
      </c>
      <c r="B54" t="str">
        <v>MASS BSF</v>
      </c>
      <c r="C54" t="str">
        <v>F8R-810</v>
      </c>
      <c r="D54" t="str">
        <v>F8R-810</v>
      </c>
      <c r="E54" t="str">
        <v/>
      </c>
      <c r="F54" t="str">
        <v>867806078868827</v>
      </c>
      <c r="G54" t="str">
        <v>TBD</v>
      </c>
      <c r="H54" t="str">
        <v/>
      </c>
      <c r="I54" t="str">
        <v/>
      </c>
      <c r="J54" t="str">
        <v>01/10/2026</v>
      </c>
      <c r="K54" t="str">
        <v>06:53:08</v>
      </c>
      <c r="L54">
        <v>-12.300645</v>
      </c>
      <c r="M54">
        <v>-76.84763</v>
      </c>
      <c r="N54">
        <f>HYPERLINK("https://www.google.com/maps/search/?api=1&amp;query=-12.300645,-76.84763","Carretera Panamericana Sur, Lurín, Lima")</f>
      </c>
      <c r="O54" t="str">
        <v>Aceleración brusca</v>
      </c>
      <c r="P54" t="str">
        <v>CMT-910</v>
      </c>
      <c r="Q54">
        <v>2063.2</v>
      </c>
      <c r="R54" t="str">
        <v/>
      </c>
      <c r="S54">
        <v>74</v>
      </c>
      <c r="T54">
        <v>79.83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88</v>
      </c>
      <c r="AC54" t="str">
        <v>01/10/2026</v>
      </c>
      <c r="AD54" t="str">
        <v>06:53:03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06:53:09</v>
      </c>
      <c r="AL54" t="str">
        <v>06:53:09</v>
      </c>
      <c r="AM54" t="str">
        <v/>
      </c>
    </row>
    <row r="55">
      <c r="A55">
        <v>54</v>
      </c>
      <c r="B55" t="str">
        <v>MASS BSF</v>
      </c>
      <c r="C55" t="str">
        <v>F8R-810</v>
      </c>
      <c r="D55" t="str">
        <v>F8R-810</v>
      </c>
      <c r="E55" t="str">
        <v/>
      </c>
      <c r="F55" t="str">
        <v>867806078868827</v>
      </c>
      <c r="G55" t="str">
        <v>TBD</v>
      </c>
      <c r="H55" t="str">
        <v/>
      </c>
      <c r="I55" t="str">
        <v/>
      </c>
      <c r="J55" t="str">
        <v>01/10/2026</v>
      </c>
      <c r="K55" t="str">
        <v>06:53:18</v>
      </c>
      <c r="L55">
        <v>-12.301443</v>
      </c>
      <c r="M55">
        <v>-76.84587</v>
      </c>
      <c r="N55">
        <f>HYPERLINK("https://www.google.com/maps/search/?api=1&amp;query=-12.301443,-76.84587","Carretera Panamericana Sur, Lurín, Lima")</f>
      </c>
      <c r="O55" t="str">
        <v>Aceleración brusca</v>
      </c>
      <c r="P55" t="str">
        <v>CMT-910</v>
      </c>
      <c r="Q55">
        <v>2063.4</v>
      </c>
      <c r="R55" t="str">
        <v/>
      </c>
      <c r="S55">
        <v>77.7</v>
      </c>
      <c r="T55">
        <v>79.83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88</v>
      </c>
      <c r="AC55" t="str">
        <v>01/10/2026</v>
      </c>
      <c r="AD55" t="str">
        <v>06:53:13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06:53:27</v>
      </c>
      <c r="AL55" t="str">
        <v>06:53:27</v>
      </c>
      <c r="AM55" t="str">
        <v/>
      </c>
    </row>
    <row r="56">
      <c r="A56">
        <v>55</v>
      </c>
      <c r="B56" t="str">
        <v>MASS BSF</v>
      </c>
      <c r="C56" t="str">
        <v>F8R-810</v>
      </c>
      <c r="D56" t="str">
        <v>F8R-810</v>
      </c>
      <c r="E56" t="str">
        <v/>
      </c>
      <c r="F56" t="str">
        <v>867806078868827</v>
      </c>
      <c r="G56" t="str">
        <v>TBD</v>
      </c>
      <c r="H56" t="str">
        <v/>
      </c>
      <c r="I56" t="str">
        <v/>
      </c>
      <c r="J56" t="str">
        <v>01/10/2026</v>
      </c>
      <c r="K56" t="str">
        <v>06:53:53</v>
      </c>
      <c r="L56">
        <v>-12.304604</v>
      </c>
      <c r="M56">
        <v>-76.84026</v>
      </c>
      <c r="N56">
        <f>HYPERLINK("https://www.google.com/maps/search/?api=1&amp;query=-12.304604,-76.84026","Carretera Panamericana Sur, Lurín, Lima")</f>
      </c>
      <c r="O56" t="str">
        <v>Aceleración brusca</v>
      </c>
      <c r="P56" t="str">
        <v>CMT-910</v>
      </c>
      <c r="Q56">
        <v>2064.1</v>
      </c>
      <c r="R56" t="str">
        <v/>
      </c>
      <c r="S56">
        <v>68.7</v>
      </c>
      <c r="T56">
        <v>79.83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88</v>
      </c>
      <c r="AC56" t="str">
        <v>01/10/2026</v>
      </c>
      <c r="AD56" t="str">
        <v>06:53:48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06:54:01</v>
      </c>
      <c r="AL56" t="str">
        <v>06:54:01</v>
      </c>
      <c r="AM56" t="str">
        <v/>
      </c>
    </row>
    <row r="57">
      <c r="A57">
        <v>56</v>
      </c>
      <c r="B57" t="str">
        <v>MASS BSF</v>
      </c>
      <c r="C57" t="str">
        <v>F8R-810</v>
      </c>
      <c r="D57" t="str">
        <v>F8R-810</v>
      </c>
      <c r="E57" t="str">
        <v/>
      </c>
      <c r="F57" t="str">
        <v>867806078868827</v>
      </c>
      <c r="G57" t="str">
        <v>TBD</v>
      </c>
      <c r="H57" t="str">
        <v/>
      </c>
      <c r="I57" t="str">
        <v/>
      </c>
      <c r="J57" t="str">
        <v>01/10/2026</v>
      </c>
      <c r="K57" t="str">
        <v>06:54:25</v>
      </c>
      <c r="L57">
        <v>-12.308514</v>
      </c>
      <c r="M57">
        <v>-76.836624</v>
      </c>
      <c r="N57">
        <f>HYPERLINK("https://www.google.com/maps/search/?api=1&amp;query=-12.308514,-76.836624","Carretera Panamericana Sur, Punta Hermosa, Lima")</f>
      </c>
      <c r="O57" t="str">
        <v>Acelerado y giro brusco</v>
      </c>
      <c r="P57" t="str">
        <v/>
      </c>
      <c r="Q57">
        <v>2064.7</v>
      </c>
      <c r="R57" t="str">
        <v/>
      </c>
      <c r="S57">
        <v>67.2</v>
      </c>
      <c r="T57">
        <v>79.83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88</v>
      </c>
      <c r="AC57" t="str">
        <v>01/10/2026</v>
      </c>
      <c r="AD57" t="str">
        <v>06:54:21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06:54:34</v>
      </c>
      <c r="AL57" t="str">
        <v>06:54:34</v>
      </c>
      <c r="AM57" t="str">
        <v/>
      </c>
    </row>
    <row r="58">
      <c r="A58">
        <v>57</v>
      </c>
      <c r="B58" t="str">
        <v>MASS BSF</v>
      </c>
      <c r="C58" t="str">
        <v>F8R-810</v>
      </c>
      <c r="D58" t="str">
        <v>F8R-810</v>
      </c>
      <c r="E58" t="str">
        <v/>
      </c>
      <c r="F58" t="str">
        <v>867806078868827</v>
      </c>
      <c r="G58" t="str">
        <v>TBD</v>
      </c>
      <c r="H58" t="str">
        <v/>
      </c>
      <c r="I58" t="str">
        <v/>
      </c>
      <c r="J58" t="str">
        <v>01/10/2026</v>
      </c>
      <c r="K58" t="str">
        <v>06:55:36</v>
      </c>
      <c r="L58">
        <v>-12.31746</v>
      </c>
      <c r="M58">
        <v>-76.83067</v>
      </c>
      <c r="N58">
        <f>HYPERLINK("https://www.google.com/maps/search/?api=1&amp;query=-12.31746,-76.83067","Carretera Panamericana Sur, Punta Hermosa, Lima")</f>
      </c>
      <c r="O58" t="str">
        <v>Aceleración brusca</v>
      </c>
      <c r="P58" t="str">
        <v>CMT-910</v>
      </c>
      <c r="Q58">
        <v>2065.8</v>
      </c>
      <c r="R58" t="str">
        <v/>
      </c>
      <c r="S58">
        <v>45.1</v>
      </c>
      <c r="T58">
        <v>79.83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83</v>
      </c>
      <c r="AC58" t="str">
        <v>01/10/2026</v>
      </c>
      <c r="AD58" t="str">
        <v>06:55:31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06:55:43</v>
      </c>
      <c r="AL58" t="str">
        <v>06:55:43</v>
      </c>
      <c r="AM58" t="str">
        <v/>
      </c>
    </row>
    <row r="59">
      <c r="A59">
        <v>58</v>
      </c>
      <c r="B59" t="str">
        <v>MASS BSF</v>
      </c>
      <c r="C59" t="str">
        <v>F8R-810</v>
      </c>
      <c r="D59" t="str">
        <v>F8R-810</v>
      </c>
      <c r="E59" t="str">
        <v/>
      </c>
      <c r="F59" t="str">
        <v>867806078868827</v>
      </c>
      <c r="G59" t="str">
        <v>TBD</v>
      </c>
      <c r="H59" t="str">
        <v/>
      </c>
      <c r="I59" t="str">
        <v/>
      </c>
      <c r="J59" t="str">
        <v>01/10/2026</v>
      </c>
      <c r="K59" t="str">
        <v>06:57:50</v>
      </c>
      <c r="L59">
        <v>-12.318497</v>
      </c>
      <c r="M59">
        <v>-76.829994</v>
      </c>
      <c r="N59">
        <f>HYPERLINK("https://www.google.com/maps/search/?api=1&amp;query=-12.318497,-76.829994","Carretera Panamericana Sur, Punta Hermosa, Lima")</f>
      </c>
      <c r="O59" t="str">
        <v>Aceleración brusca</v>
      </c>
      <c r="P59" t="str">
        <v>CMT-910</v>
      </c>
      <c r="Q59">
        <v>2066</v>
      </c>
      <c r="R59" t="str">
        <v/>
      </c>
      <c r="S59">
        <v>32.2</v>
      </c>
      <c r="T59">
        <v>79.83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83</v>
      </c>
      <c r="AC59" t="str">
        <v>01/10/2026</v>
      </c>
      <c r="AD59" t="str">
        <v>06:57:50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06:58:08</v>
      </c>
      <c r="AL59" t="str">
        <v>06:58:08</v>
      </c>
      <c r="AM59" t="str">
        <v/>
      </c>
    </row>
    <row r="60">
      <c r="A60">
        <v>59</v>
      </c>
      <c r="B60" t="str">
        <v>MASS BSF</v>
      </c>
      <c r="C60" t="str">
        <v>F8R-810</v>
      </c>
      <c r="D60" t="str">
        <v>F8R-810</v>
      </c>
      <c r="E60" t="str">
        <v/>
      </c>
      <c r="F60" t="str">
        <v>867806078868827</v>
      </c>
      <c r="G60" t="str">
        <v>TBD</v>
      </c>
      <c r="H60" t="str">
        <v/>
      </c>
      <c r="I60" t="str">
        <v/>
      </c>
      <c r="J60" t="str">
        <v>01/10/2026</v>
      </c>
      <c r="K60" t="str">
        <v>06:57:59</v>
      </c>
      <c r="L60">
        <v>-12.319242</v>
      </c>
      <c r="M60">
        <v>-76.82946</v>
      </c>
      <c r="N60">
        <f>HYPERLINK("https://www.google.com/maps/search/?api=1&amp;query=-12.319242,-76.82946","Carretera Panamericana Sur, Punta Hermosa, Lima")</f>
      </c>
      <c r="O60" t="str">
        <v>Aceleración brusca</v>
      </c>
      <c r="P60" t="str">
        <v>CMT-910</v>
      </c>
      <c r="Q60">
        <v>2066.1</v>
      </c>
      <c r="R60" t="str">
        <v/>
      </c>
      <c r="S60">
        <v>50.3</v>
      </c>
      <c r="T60">
        <v>79.83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83</v>
      </c>
      <c r="AC60" t="str">
        <v>01/10/2026</v>
      </c>
      <c r="AD60" t="str">
        <v>06:57:59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06:58:19</v>
      </c>
      <c r="AL60" t="str">
        <v>06:58:19</v>
      </c>
      <c r="AM60" t="str">
        <v/>
      </c>
    </row>
    <row r="61">
      <c r="A61">
        <v>60</v>
      </c>
      <c r="B61" t="str">
        <v>MASS BSF</v>
      </c>
      <c r="C61" t="str">
        <v>F8R-810</v>
      </c>
      <c r="D61" t="str">
        <v>F8R-810</v>
      </c>
      <c r="E61" t="str">
        <v/>
      </c>
      <c r="F61" t="str">
        <v>867806078868827</v>
      </c>
      <c r="G61" t="str">
        <v>TBD</v>
      </c>
      <c r="H61" t="str">
        <v/>
      </c>
      <c r="I61" t="str">
        <v/>
      </c>
      <c r="J61" t="str">
        <v>01/10/2026</v>
      </c>
      <c r="K61" t="str">
        <v>06:58:15</v>
      </c>
      <c r="L61">
        <v>-12.321194</v>
      </c>
      <c r="M61">
        <v>-76.82815</v>
      </c>
      <c r="N61">
        <f>HYPERLINK("https://www.google.com/maps/search/?api=1&amp;query=-12.321194,-76.82815","Carretera Panamericana Sur, Punta Hermosa, Lima")</f>
      </c>
      <c r="O61" t="str">
        <v>Acelerado y giro brusco</v>
      </c>
      <c r="P61" t="str">
        <v/>
      </c>
      <c r="Q61">
        <v>2066.3</v>
      </c>
      <c r="R61" t="str">
        <v/>
      </c>
      <c r="S61">
        <v>66.3</v>
      </c>
      <c r="T61">
        <v>79.83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83</v>
      </c>
      <c r="AC61" t="str">
        <v>01/10/2026</v>
      </c>
      <c r="AD61" t="str">
        <v>06:58:15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06:58:46</v>
      </c>
      <c r="AL61" t="str">
        <v>06:58:46</v>
      </c>
      <c r="AM61" t="str">
        <v/>
      </c>
    </row>
    <row r="62">
      <c r="A62">
        <v>61</v>
      </c>
      <c r="B62" t="str">
        <v>MASS BSF</v>
      </c>
      <c r="C62" t="str">
        <v>F8R-810</v>
      </c>
      <c r="D62" t="str">
        <v>F8R-810</v>
      </c>
      <c r="E62" t="str">
        <v/>
      </c>
      <c r="F62" t="str">
        <v>867806078868827</v>
      </c>
      <c r="G62" t="str">
        <v>TBD</v>
      </c>
      <c r="H62" t="str">
        <v/>
      </c>
      <c r="I62" t="str">
        <v/>
      </c>
      <c r="J62" t="str">
        <v>01/10/2026</v>
      </c>
      <c r="K62" t="str">
        <v>06:58:20</v>
      </c>
      <c r="L62">
        <v>-12.321885</v>
      </c>
      <c r="M62">
        <v>-76.82768</v>
      </c>
      <c r="N62">
        <f>HYPERLINK("https://www.google.com/maps/search/?api=1&amp;query=-12.321885,-76.82768","Carretera Panamericana Sur, Punta Hermosa, Lima")</f>
      </c>
      <c r="O62" t="str">
        <v>Acelerado y giro brusco</v>
      </c>
      <c r="P62" t="str">
        <v/>
      </c>
      <c r="Q62">
        <v>2066.4</v>
      </c>
      <c r="R62" t="str">
        <v/>
      </c>
      <c r="S62">
        <v>66.8</v>
      </c>
      <c r="T62">
        <v>79.83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83</v>
      </c>
      <c r="AC62" t="str">
        <v>01/10/2026</v>
      </c>
      <c r="AD62" t="str">
        <v>06:58:20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06:58:46</v>
      </c>
      <c r="AL62" t="str">
        <v>06:58:46</v>
      </c>
      <c r="AM62" t="str">
        <v/>
      </c>
    </row>
    <row r="63">
      <c r="A63">
        <v>62</v>
      </c>
      <c r="B63" t="str">
        <v>MASS BSF</v>
      </c>
      <c r="C63" t="str">
        <v>F8R-810</v>
      </c>
      <c r="D63" t="str">
        <v>F8R-810</v>
      </c>
      <c r="E63" t="str">
        <v/>
      </c>
      <c r="F63" t="str">
        <v>867806078868827</v>
      </c>
      <c r="G63" t="str">
        <v>TBD</v>
      </c>
      <c r="H63" t="str">
        <v/>
      </c>
      <c r="I63" t="str">
        <v/>
      </c>
      <c r="J63" t="str">
        <v>01/10/2026</v>
      </c>
      <c r="K63" t="str">
        <v>06:58:48</v>
      </c>
      <c r="L63">
        <v>-12.32585</v>
      </c>
      <c r="M63">
        <v>-76.82504</v>
      </c>
      <c r="N63">
        <f>HYPERLINK("https://www.google.com/maps/search/?api=1&amp;query=-12.32585,-76.82504","Carretera Panamericana Sur, Punta Hermosa, Lima")</f>
      </c>
      <c r="O63" t="str">
        <v>Aceleración brusca</v>
      </c>
      <c r="P63" t="str">
        <v>CMT-910</v>
      </c>
      <c r="Q63">
        <v>2066.9</v>
      </c>
      <c r="R63" t="str">
        <v/>
      </c>
      <c r="S63">
        <v>68.7</v>
      </c>
      <c r="T63">
        <v>79.83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83</v>
      </c>
      <c r="AC63" t="str">
        <v>01/10/2026</v>
      </c>
      <c r="AD63" t="str">
        <v>06:58:48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06:59:00</v>
      </c>
      <c r="AL63" t="str">
        <v>06:59:00</v>
      </c>
      <c r="AM63" t="str">
        <v/>
      </c>
    </row>
    <row r="64">
      <c r="A64">
        <v>63</v>
      </c>
      <c r="B64" t="str">
        <v>MASS BSF</v>
      </c>
      <c r="C64" t="str">
        <v>F8R-810</v>
      </c>
      <c r="D64" t="str">
        <v>F8R-810</v>
      </c>
      <c r="E64" t="str">
        <v/>
      </c>
      <c r="F64" t="str">
        <v>867806078868827</v>
      </c>
      <c r="G64" t="str">
        <v>TBD</v>
      </c>
      <c r="H64" t="str">
        <v/>
      </c>
      <c r="I64" t="str">
        <v/>
      </c>
      <c r="J64" t="str">
        <v>01/10/2026</v>
      </c>
      <c r="K64" t="str">
        <v>06:58:55</v>
      </c>
      <c r="L64">
        <v>-12.326812</v>
      </c>
      <c r="M64">
        <v>-76.8244</v>
      </c>
      <c r="N64">
        <f>HYPERLINK("https://www.google.com/maps/search/?api=1&amp;query=-12.326812,-76.8244","Carretera Panamericana Sur, Punta Hermosa, Lima")</f>
      </c>
      <c r="O64" t="str">
        <v>Acelerado y giro brusco</v>
      </c>
      <c r="P64" t="str">
        <v/>
      </c>
      <c r="Q64">
        <v>2067.1</v>
      </c>
      <c r="R64" t="str">
        <v/>
      </c>
      <c r="S64">
        <v>63.3</v>
      </c>
      <c r="T64">
        <v>79.83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83</v>
      </c>
      <c r="AC64" t="str">
        <v>01/10/2026</v>
      </c>
      <c r="AD64" t="str">
        <v>06:58:55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06:59:15</v>
      </c>
      <c r="AL64" t="str">
        <v>06:59:15</v>
      </c>
      <c r="AM64" t="str">
        <v/>
      </c>
    </row>
    <row r="65">
      <c r="A65">
        <v>64</v>
      </c>
      <c r="B65" t="str">
        <v>MASS BSF</v>
      </c>
      <c r="C65" t="str">
        <v>F8R-810</v>
      </c>
      <c r="D65" t="str">
        <v>F8R-810</v>
      </c>
      <c r="E65" t="str">
        <v/>
      </c>
      <c r="F65" t="str">
        <v>867806078868827</v>
      </c>
      <c r="G65" t="str">
        <v>TBD</v>
      </c>
      <c r="H65" t="str">
        <v/>
      </c>
      <c r="I65" t="str">
        <v/>
      </c>
      <c r="J65" t="str">
        <v>01/10/2026</v>
      </c>
      <c r="K65" t="str">
        <v>06:59:02</v>
      </c>
      <c r="L65">
        <v>-12.327715</v>
      </c>
      <c r="M65">
        <v>-76.82379</v>
      </c>
      <c r="N65">
        <f>HYPERLINK("https://www.google.com/maps/search/?api=1&amp;query=-12.327715,-76.82379","Carretera Panamericana Sur, Punta Hermosa, Lima")</f>
      </c>
      <c r="O65" t="str">
        <v>Aceleración brusca</v>
      </c>
      <c r="P65" t="str">
        <v>CMT-910</v>
      </c>
      <c r="Q65">
        <v>2067.2</v>
      </c>
      <c r="R65" t="str">
        <v/>
      </c>
      <c r="S65">
        <v>58.8</v>
      </c>
      <c r="T65">
        <v>79.83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83</v>
      </c>
      <c r="AC65" t="str">
        <v>01/10/2026</v>
      </c>
      <c r="AD65" t="str">
        <v>06:59:02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06:59:33</v>
      </c>
      <c r="AL65" t="str">
        <v>06:59:33</v>
      </c>
      <c r="AM65" t="str">
        <v/>
      </c>
    </row>
    <row r="66">
      <c r="A66">
        <v>65</v>
      </c>
      <c r="B66" t="str">
        <v>MASS BSF</v>
      </c>
      <c r="C66" t="str">
        <v>F8R-810</v>
      </c>
      <c r="D66" t="str">
        <v>F8R-810</v>
      </c>
      <c r="E66" t="str">
        <v/>
      </c>
      <c r="F66" t="str">
        <v>867806078868827</v>
      </c>
      <c r="G66" t="str">
        <v>TBD</v>
      </c>
      <c r="H66" t="str">
        <v/>
      </c>
      <c r="I66" t="str">
        <v/>
      </c>
      <c r="J66" t="str">
        <v>01/10/2026</v>
      </c>
      <c r="K66" t="str">
        <v>06:59:16</v>
      </c>
      <c r="L66">
        <v>-12.329425</v>
      </c>
      <c r="M66">
        <v>-76.822655</v>
      </c>
      <c r="N66">
        <f>HYPERLINK("https://www.google.com/maps/search/?api=1&amp;query=-12.329425,-76.822655","Carretera Panamericana Sur, Punta Hermosa, Lima")</f>
      </c>
      <c r="O66" t="str">
        <v>Acelerado y giro brusco</v>
      </c>
      <c r="P66" t="str">
        <v/>
      </c>
      <c r="Q66">
        <v>2067.4</v>
      </c>
      <c r="R66" t="str">
        <v/>
      </c>
      <c r="S66">
        <v>63.1</v>
      </c>
      <c r="T66">
        <v>79.83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98</v>
      </c>
      <c r="AC66" t="str">
        <v>01/10/2026</v>
      </c>
      <c r="AD66" t="str">
        <v>06:59:16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06:59:51</v>
      </c>
      <c r="AL66" t="str">
        <v>06:59:51</v>
      </c>
      <c r="AM66" t="str">
        <v/>
      </c>
    </row>
    <row r="67">
      <c r="A67">
        <v>66</v>
      </c>
      <c r="B67" t="str">
        <v>MASS BSF</v>
      </c>
      <c r="C67" t="str">
        <v>F8R-810</v>
      </c>
      <c r="D67" t="str">
        <v>F8R-810</v>
      </c>
      <c r="E67" t="str">
        <v/>
      </c>
      <c r="F67" t="str">
        <v>867806078868827</v>
      </c>
      <c r="G67" t="str">
        <v>TBD</v>
      </c>
      <c r="H67" t="str">
        <v/>
      </c>
      <c r="I67" t="str">
        <v/>
      </c>
      <c r="J67" t="str">
        <v>01/10/2026</v>
      </c>
      <c r="K67" t="str">
        <v>06:59:51</v>
      </c>
      <c r="L67">
        <v>-12.334095</v>
      </c>
      <c r="M67">
        <v>-76.81954</v>
      </c>
      <c r="N67">
        <f>HYPERLINK("https://www.google.com/maps/search/?api=1&amp;query=-12.334095,-76.81954","Carretera Panamericana Sur, Punta Hermosa, Lima")</f>
      </c>
      <c r="O67" t="str">
        <v>Acelerado y giro brusco</v>
      </c>
      <c r="P67" t="str">
        <v/>
      </c>
      <c r="Q67">
        <v>2068</v>
      </c>
      <c r="R67" t="str">
        <v/>
      </c>
      <c r="S67">
        <v>61.1</v>
      </c>
      <c r="T67">
        <v>79.83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88</v>
      </c>
      <c r="AC67" t="str">
        <v>01/10/2026</v>
      </c>
      <c r="AD67" t="str">
        <v>06:59:51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07:00:36</v>
      </c>
      <c r="AL67" t="str">
        <v>07:00:36</v>
      </c>
      <c r="AM67" t="str">
        <v/>
      </c>
    </row>
    <row r="68">
      <c r="A68">
        <v>67</v>
      </c>
      <c r="B68" t="str">
        <v>MASS BSF</v>
      </c>
      <c r="C68" t="str">
        <v>F8R-810</v>
      </c>
      <c r="D68" t="str">
        <v>F8R-810</v>
      </c>
      <c r="E68" t="str">
        <v/>
      </c>
      <c r="F68" t="str">
        <v>867806078868827</v>
      </c>
      <c r="G68" t="str">
        <v>TBD</v>
      </c>
      <c r="H68" t="str">
        <v/>
      </c>
      <c r="I68" t="str">
        <v/>
      </c>
      <c r="J68" t="str">
        <v>01/10/2026</v>
      </c>
      <c r="K68" t="str">
        <v>07:00:09</v>
      </c>
      <c r="L68">
        <v>-12.335813</v>
      </c>
      <c r="M68">
        <v>-76.81886</v>
      </c>
      <c r="N68">
        <f>HYPERLINK("https://www.google.com/maps/search/?api=1&amp;query=-12.335813,-76.81886","Antigua Panamericana Sur, Punta Hermosa, Lima")</f>
      </c>
      <c r="O68" t="str">
        <v>Acelerado y giro brusco</v>
      </c>
      <c r="P68" t="str">
        <v/>
      </c>
      <c r="Q68">
        <v>2068.3</v>
      </c>
      <c r="R68" t="str">
        <v/>
      </c>
      <c r="S68">
        <v>23.1</v>
      </c>
      <c r="T68">
        <v>79.83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88</v>
      </c>
      <c r="AC68" t="str">
        <v>01/10/2026</v>
      </c>
      <c r="AD68" t="str">
        <v>07:00:09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07:00:29</v>
      </c>
      <c r="AL68" t="str">
        <v>07:00:29</v>
      </c>
      <c r="AM68" t="str">
        <v/>
      </c>
    </row>
    <row r="69">
      <c r="A69">
        <v>68</v>
      </c>
      <c r="B69" t="str">
        <v>MASS BSF</v>
      </c>
      <c r="C69" t="str">
        <v>F8R-810</v>
      </c>
      <c r="D69" t="str">
        <v>F8R-810</v>
      </c>
      <c r="E69" t="str">
        <v/>
      </c>
      <c r="F69" t="str">
        <v>867806078868827</v>
      </c>
      <c r="G69" t="str">
        <v>TBD</v>
      </c>
      <c r="H69" t="str">
        <v/>
      </c>
      <c r="I69" t="str">
        <v/>
      </c>
      <c r="J69" t="str">
        <v>01/10/2026</v>
      </c>
      <c r="K69" t="str">
        <v>07:00:25</v>
      </c>
      <c r="L69">
        <v>-12.335207</v>
      </c>
      <c r="M69">
        <v>-76.81956</v>
      </c>
      <c r="N69">
        <f>HYPERLINK("https://www.google.com/maps/search/?api=1&amp;query=-12.335207,-76.81956","Antigua Panamericana Sur, Punta Hermosa, Lima")</f>
      </c>
      <c r="O69" t="str">
        <v>Acelerado y giro brusco</v>
      </c>
      <c r="P69" t="str">
        <v/>
      </c>
      <c r="Q69">
        <v>2068.4</v>
      </c>
      <c r="R69" t="str">
        <v/>
      </c>
      <c r="S69">
        <v>35.5</v>
      </c>
      <c r="T69">
        <v>79.83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88</v>
      </c>
      <c r="AC69" t="str">
        <v>01/10/2026</v>
      </c>
      <c r="AD69" t="str">
        <v>07:00:25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07:00:51</v>
      </c>
      <c r="AL69" t="str">
        <v>07:00:51</v>
      </c>
      <c r="AM69" t="str">
        <v/>
      </c>
    </row>
    <row r="70">
      <c r="A70">
        <v>69</v>
      </c>
      <c r="B70" t="str">
        <v>MASS BSF</v>
      </c>
      <c r="C70" t="str">
        <v>F8R-810</v>
      </c>
      <c r="D70" t="str">
        <v>F8R-810</v>
      </c>
      <c r="E70" t="str">
        <v/>
      </c>
      <c r="F70" t="str">
        <v>867806078868827</v>
      </c>
      <c r="G70" t="str">
        <v>TBD</v>
      </c>
      <c r="H70" t="str">
        <v/>
      </c>
      <c r="I70" t="str">
        <v/>
      </c>
      <c r="J70" t="str">
        <v>01/10/2026</v>
      </c>
      <c r="K70" t="str">
        <v>07:00:47</v>
      </c>
      <c r="L70">
        <v>-12.333868</v>
      </c>
      <c r="M70">
        <v>-76.82047</v>
      </c>
      <c r="N70">
        <f>HYPERLINK("https://www.google.com/maps/search/?api=1&amp;query=-12.333868,-76.82047","Antigua Panamericana Sur, Punta Hermosa, Lima")</f>
      </c>
      <c r="O70" t="str">
        <v>Acelerado y giro brusco</v>
      </c>
      <c r="P70" t="str">
        <v/>
      </c>
      <c r="Q70">
        <v>2068.5</v>
      </c>
      <c r="R70" t="str">
        <v/>
      </c>
      <c r="S70">
        <v>23.8</v>
      </c>
      <c r="T70">
        <v>79.83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88</v>
      </c>
      <c r="AC70" t="str">
        <v>01/10/2026</v>
      </c>
      <c r="AD70" t="str">
        <v>07:00:47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07:00:52</v>
      </c>
      <c r="AL70" t="str">
        <v>07:00:52</v>
      </c>
      <c r="AM70" t="str">
        <v/>
      </c>
    </row>
    <row r="71">
      <c r="A71">
        <v>70</v>
      </c>
      <c r="B71" t="str">
        <v>MASS BSF</v>
      </c>
      <c r="C71" t="str">
        <v>F8R-810</v>
      </c>
      <c r="D71" t="str">
        <v>F8R-810</v>
      </c>
      <c r="E71" t="str">
        <v/>
      </c>
      <c r="F71" t="str">
        <v>867806078868827</v>
      </c>
      <c r="G71" t="str">
        <v>TBD</v>
      </c>
      <c r="H71" t="str">
        <v/>
      </c>
      <c r="I71" t="str">
        <v/>
      </c>
      <c r="J71" t="str">
        <v>01/10/2026</v>
      </c>
      <c r="K71" t="str">
        <v>07:00:55</v>
      </c>
      <c r="L71">
        <v>-12.333716</v>
      </c>
      <c r="M71">
        <v>-76.82024</v>
      </c>
      <c r="N71">
        <f>HYPERLINK("https://www.google.com/maps/search/?api=1&amp;query=-12.333716,-76.82024","Punta Hermosa, Lima")</f>
      </c>
      <c r="O71" t="str">
        <v>Acelerado y giro brusco</v>
      </c>
      <c r="P71" t="str">
        <v/>
      </c>
      <c r="Q71">
        <v>2068.6</v>
      </c>
      <c r="R71" t="str">
        <v/>
      </c>
      <c r="S71">
        <v>28.7</v>
      </c>
      <c r="T71">
        <v>79.83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84</v>
      </c>
      <c r="AC71" t="str">
        <v>01/10/2026</v>
      </c>
      <c r="AD71" t="str">
        <v>07:00:55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07:01:26</v>
      </c>
      <c r="AL71" t="str">
        <v>07:01:26</v>
      </c>
      <c r="AM71" t="str">
        <v/>
      </c>
    </row>
    <row r="72">
      <c r="A72">
        <v>71</v>
      </c>
      <c r="B72" t="str">
        <v>MASS BSF</v>
      </c>
      <c r="C72" t="str">
        <v>F8R-810</v>
      </c>
      <c r="D72" t="str">
        <v>F8R-810</v>
      </c>
      <c r="E72" t="str">
        <v/>
      </c>
      <c r="F72" t="str">
        <v>867806078868827</v>
      </c>
      <c r="G72" t="str">
        <v>TBD</v>
      </c>
      <c r="H72" t="str">
        <v/>
      </c>
      <c r="I72" t="str">
        <v/>
      </c>
      <c r="J72" t="str">
        <v>01/10/2026</v>
      </c>
      <c r="K72" t="str">
        <v>07:00:59</v>
      </c>
      <c r="L72">
        <v>-12.333695</v>
      </c>
      <c r="M72">
        <v>-76.81991</v>
      </c>
      <c r="N72">
        <f>HYPERLINK("https://www.google.com/maps/search/?api=1&amp;query=-12.333695,-76.81991","Carretera Panamericana Sur, Punta Hermosa, Lima")</f>
      </c>
      <c r="O72" t="str">
        <v>Giro brusco</v>
      </c>
      <c r="P72" t="str">
        <v/>
      </c>
      <c r="Q72">
        <v>2068.6</v>
      </c>
      <c r="R72" t="str">
        <v/>
      </c>
      <c r="S72">
        <v>30.7</v>
      </c>
      <c r="T72">
        <v>79.83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85</v>
      </c>
      <c r="AC72" t="str">
        <v>01/10/2026</v>
      </c>
      <c r="AD72" t="str">
        <v>07:00:59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07:01:26</v>
      </c>
      <c r="AL72" t="str">
        <v>07:01:26</v>
      </c>
      <c r="AM72" t="str">
        <v/>
      </c>
    </row>
    <row r="73">
      <c r="A73">
        <v>72</v>
      </c>
      <c r="B73" t="str">
        <v>MASS BSF</v>
      </c>
      <c r="C73" t="str">
        <v>F8R-810</v>
      </c>
      <c r="D73" t="str">
        <v>F8R-810</v>
      </c>
      <c r="E73" t="str">
        <v/>
      </c>
      <c r="F73" t="str">
        <v>867806078868827</v>
      </c>
      <c r="G73" t="str">
        <v>TBD</v>
      </c>
      <c r="H73" t="str">
        <v/>
      </c>
      <c r="I73" t="str">
        <v/>
      </c>
      <c r="J73" t="str">
        <v>01/10/2026</v>
      </c>
      <c r="K73" t="str">
        <v>07:01:15</v>
      </c>
      <c r="L73">
        <v>-12.332677</v>
      </c>
      <c r="M73">
        <v>-76.820114</v>
      </c>
      <c r="N73">
        <f>HYPERLINK("https://www.google.com/maps/search/?api=1&amp;query=-12.332677,-76.820114","Carretera Panamericana Sur, Punta Hermosa, Lima")</f>
      </c>
      <c r="O73" t="str">
        <v>Aceleración brusca</v>
      </c>
      <c r="P73" t="str">
        <v>CMT-910</v>
      </c>
      <c r="Q73">
        <v>2068.8</v>
      </c>
      <c r="R73" t="str">
        <v/>
      </c>
      <c r="S73">
        <v>37.7</v>
      </c>
      <c r="T73">
        <v>79.83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85</v>
      </c>
      <c r="AC73" t="str">
        <v>01/10/2026</v>
      </c>
      <c r="AD73" t="str">
        <v>07:01:15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07:01:34</v>
      </c>
      <c r="AL73" t="str">
        <v>07:01:34</v>
      </c>
      <c r="AM73" t="str">
        <v/>
      </c>
    </row>
    <row r="74">
      <c r="A74">
        <v>73</v>
      </c>
      <c r="B74" t="str">
        <v>MASS BSF</v>
      </c>
      <c r="C74" t="str">
        <v>F8R-810</v>
      </c>
      <c r="D74" t="str">
        <v>F8R-810</v>
      </c>
      <c r="E74" t="str">
        <v/>
      </c>
      <c r="F74" t="str">
        <v>867806078868827</v>
      </c>
      <c r="G74" t="str">
        <v>TBD</v>
      </c>
      <c r="H74" t="str">
        <v/>
      </c>
      <c r="I74" t="str">
        <v/>
      </c>
      <c r="J74" t="str">
        <v>01/10/2026</v>
      </c>
      <c r="K74" t="str">
        <v>07:01:52</v>
      </c>
      <c r="L74">
        <v>-12.328861</v>
      </c>
      <c r="M74">
        <v>-76.822876</v>
      </c>
      <c r="N74">
        <f>HYPERLINK("https://www.google.com/maps/search/?api=1&amp;query=-12.328861,-76.822876","Carretera Panamericana Sur, Punta Hermosa, Lima")</f>
      </c>
      <c r="O74" t="str">
        <v>Aceleración brusca</v>
      </c>
      <c r="P74" t="str">
        <v>CMT-910</v>
      </c>
      <c r="Q74">
        <v>2069.3</v>
      </c>
      <c r="R74" t="str">
        <v/>
      </c>
      <c r="S74">
        <v>53.7</v>
      </c>
      <c r="T74">
        <v>79.83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85</v>
      </c>
      <c r="AC74" t="str">
        <v>01/10/2026</v>
      </c>
      <c r="AD74" t="str">
        <v>07:01:52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07:02:22</v>
      </c>
      <c r="AL74" t="str">
        <v>07:02:22</v>
      </c>
      <c r="AM74" t="str">
        <v/>
      </c>
    </row>
    <row r="75">
      <c r="A75">
        <v>74</v>
      </c>
      <c r="B75" t="str">
        <v>MASS BSF</v>
      </c>
      <c r="C75" t="str">
        <v>F8R-810</v>
      </c>
      <c r="D75" t="str">
        <v>F8R-810</v>
      </c>
      <c r="E75" t="str">
        <v/>
      </c>
      <c r="F75" t="str">
        <v>867806078868827</v>
      </c>
      <c r="G75" t="str">
        <v>TBD</v>
      </c>
      <c r="H75" t="str">
        <v/>
      </c>
      <c r="I75" t="str">
        <v/>
      </c>
      <c r="J75" t="str">
        <v>01/10/2026</v>
      </c>
      <c r="K75" t="str">
        <v>07:02:21</v>
      </c>
      <c r="L75">
        <v>-12.325865</v>
      </c>
      <c r="M75">
        <v>-76.824875</v>
      </c>
      <c r="N75">
        <f>HYPERLINK("https://www.google.com/maps/search/?api=1&amp;query=-12.325865,-76.824875","Carretera Panamericana Sur, Punta Hermosa, Lima")</f>
      </c>
      <c r="O75" t="str">
        <v>Aceleración brusca</v>
      </c>
      <c r="P75" t="str">
        <v>CMT-910</v>
      </c>
      <c r="Q75">
        <v>2069.7</v>
      </c>
      <c r="R75" t="str">
        <v/>
      </c>
      <c r="S75">
        <v>46.4</v>
      </c>
      <c r="T75">
        <v>79.83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83</v>
      </c>
      <c r="AC75" t="str">
        <v>01/10/2026</v>
      </c>
      <c r="AD75" t="str">
        <v>07:02:21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07:02:51</v>
      </c>
      <c r="AL75" t="str">
        <v>07:02:51</v>
      </c>
      <c r="AM75" t="str">
        <v/>
      </c>
    </row>
    <row r="76">
      <c r="A76">
        <v>75</v>
      </c>
      <c r="B76" t="str">
        <v>MASS BSF</v>
      </c>
      <c r="C76" t="str">
        <v>F8R-810</v>
      </c>
      <c r="D76" t="str">
        <v>F8R-810</v>
      </c>
      <c r="E76" t="str">
        <v/>
      </c>
      <c r="F76" t="str">
        <v>867806078868827</v>
      </c>
      <c r="G76" t="str">
        <v>TBD</v>
      </c>
      <c r="H76" t="str">
        <v/>
      </c>
      <c r="I76" t="str">
        <v/>
      </c>
      <c r="J76" t="str">
        <v>01/10/2026</v>
      </c>
      <c r="K76" t="str">
        <v>07:02:41</v>
      </c>
      <c r="L76">
        <v>-12.323914</v>
      </c>
      <c r="M76">
        <v>-76.82618</v>
      </c>
      <c r="N76">
        <f>HYPERLINK("https://www.google.com/maps/search/?api=1&amp;query=-12.323914,-76.82618","Carretera Panamericana Sur, Punta Hermosa, Lima")</f>
      </c>
      <c r="O76" t="str">
        <v>Acelerado y giro brusco</v>
      </c>
      <c r="P76" t="str">
        <v/>
      </c>
      <c r="Q76">
        <v>2069.9</v>
      </c>
      <c r="R76" t="str">
        <v/>
      </c>
      <c r="S76">
        <v>47.5</v>
      </c>
      <c r="T76">
        <v>79.83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83</v>
      </c>
      <c r="AC76" t="str">
        <v>01/10/2026</v>
      </c>
      <c r="AD76" t="str">
        <v>07:02:41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07:03:03</v>
      </c>
      <c r="AL76" t="str">
        <v>07:03:03</v>
      </c>
      <c r="AM76" t="str">
        <v/>
      </c>
    </row>
    <row r="77">
      <c r="A77">
        <v>76</v>
      </c>
      <c r="B77" t="str">
        <v>MASS BSF</v>
      </c>
      <c r="C77" t="str">
        <v>F8R-810</v>
      </c>
      <c r="D77" t="str">
        <v>F8R-810</v>
      </c>
      <c r="E77" t="str">
        <v/>
      </c>
      <c r="F77" t="str">
        <v>867806078868827</v>
      </c>
      <c r="G77" t="str">
        <v>TBD</v>
      </c>
      <c r="H77" t="str">
        <v/>
      </c>
      <c r="I77" t="str">
        <v/>
      </c>
      <c r="J77" t="str">
        <v>01/10/2026</v>
      </c>
      <c r="K77" t="str">
        <v>07:03:20</v>
      </c>
      <c r="L77">
        <v>-12.319563</v>
      </c>
      <c r="M77">
        <v>-76.82908</v>
      </c>
      <c r="N77">
        <f>HYPERLINK("https://www.google.com/maps/search/?api=1&amp;query=-12.319563,-76.82908","Carretera Panamericana Sur, Punta Hermosa, Lima")</f>
      </c>
      <c r="O77" t="str">
        <v>Acelerado y giro brusco</v>
      </c>
      <c r="P77" t="str">
        <v/>
      </c>
      <c r="Q77">
        <v>2070.5</v>
      </c>
      <c r="R77" t="str">
        <v/>
      </c>
      <c r="S77">
        <v>50.1</v>
      </c>
      <c r="T77">
        <v>79.83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83</v>
      </c>
      <c r="AC77" t="str">
        <v>01/10/2026</v>
      </c>
      <c r="AD77" t="str">
        <v>07:03:20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07:03:33</v>
      </c>
      <c r="AL77" t="str">
        <v>07:03:33</v>
      </c>
      <c r="AM77" t="str">
        <v/>
      </c>
    </row>
    <row r="78">
      <c r="A78">
        <v>77</v>
      </c>
      <c r="B78" t="str">
        <v>MASS BSF</v>
      </c>
      <c r="C78" t="str">
        <v>F8R-810</v>
      </c>
      <c r="D78" t="str">
        <v>F8R-810</v>
      </c>
      <c r="E78" t="str">
        <v/>
      </c>
      <c r="F78" t="str">
        <v>867806078868827</v>
      </c>
      <c r="G78" t="str">
        <v>TBD</v>
      </c>
      <c r="H78" t="str">
        <v/>
      </c>
      <c r="I78" t="str">
        <v/>
      </c>
      <c r="J78" t="str">
        <v>01/10/2026</v>
      </c>
      <c r="K78" t="str">
        <v>07:03:28</v>
      </c>
      <c r="L78">
        <v>-12.318815</v>
      </c>
      <c r="M78">
        <v>-76.82949</v>
      </c>
      <c r="N78">
        <f>HYPERLINK("https://www.google.com/maps/search/?api=1&amp;query=-12.318815,-76.82949","Carretera Panamericana Sur, Punta Hermosa, Lima")</f>
      </c>
      <c r="O78" t="str">
        <v>Acelerado y giro brusco</v>
      </c>
      <c r="P78" t="str">
        <v/>
      </c>
      <c r="Q78">
        <v>2070.6</v>
      </c>
      <c r="R78" t="str">
        <v/>
      </c>
      <c r="S78">
        <v>34.6</v>
      </c>
      <c r="T78">
        <v>79.83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83</v>
      </c>
      <c r="AC78" t="str">
        <v>01/10/2026</v>
      </c>
      <c r="AD78" t="str">
        <v>07:03:28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07:03:58</v>
      </c>
      <c r="AL78" t="str">
        <v>07:03:58</v>
      </c>
      <c r="AM78" t="str">
        <v/>
      </c>
    </row>
    <row r="79">
      <c r="A79">
        <v>78</v>
      </c>
      <c r="B79" t="str">
        <v>MASS BSF</v>
      </c>
      <c r="C79" t="str">
        <v>F8R-810</v>
      </c>
      <c r="D79" t="str">
        <v>F8R-810</v>
      </c>
      <c r="E79" t="str">
        <v/>
      </c>
      <c r="F79" t="str">
        <v>867806078868827</v>
      </c>
      <c r="G79" t="str">
        <v>TBD</v>
      </c>
      <c r="H79" t="str">
        <v/>
      </c>
      <c r="I79" t="str">
        <v/>
      </c>
      <c r="J79" t="str">
        <v>01/10/2026</v>
      </c>
      <c r="K79" t="str">
        <v>07:03:52</v>
      </c>
      <c r="L79">
        <v>-12.318153</v>
      </c>
      <c r="M79">
        <v>-76.8298</v>
      </c>
      <c r="N79">
        <f>HYPERLINK("https://www.google.com/maps/search/?api=1&amp;query=-12.318153,-76.8298","Carretera Panamericana Sur, Punta Hermosa, Lima")</f>
      </c>
      <c r="O79" t="str">
        <v>Acelerado y giro brusco</v>
      </c>
      <c r="P79" t="str">
        <v/>
      </c>
      <c r="Q79">
        <v>2070.7</v>
      </c>
      <c r="R79" t="str">
        <v/>
      </c>
      <c r="S79">
        <v>4.4</v>
      </c>
      <c r="T79">
        <v>79.83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83</v>
      </c>
      <c r="AC79" t="str">
        <v>01/10/2026</v>
      </c>
      <c r="AD79" t="str">
        <v>07:03:52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07:04:19</v>
      </c>
      <c r="AL79" t="str">
        <v>07:04:19</v>
      </c>
      <c r="AM79" t="str">
        <v/>
      </c>
    </row>
    <row r="80">
      <c r="A80">
        <v>79</v>
      </c>
      <c r="B80" t="str">
        <v>MASS BSF</v>
      </c>
      <c r="C80" t="str">
        <v>F8R-810</v>
      </c>
      <c r="D80" t="str">
        <v>F8R-810</v>
      </c>
      <c r="E80" t="str">
        <v/>
      </c>
      <c r="F80" t="str">
        <v>867806078868827</v>
      </c>
      <c r="G80" t="str">
        <v>TBD</v>
      </c>
      <c r="H80" t="str">
        <v/>
      </c>
      <c r="I80" t="str">
        <v/>
      </c>
      <c r="J80" t="str">
        <v>01/10/2026</v>
      </c>
      <c r="K80" t="str">
        <v>07:04:08</v>
      </c>
      <c r="L80">
        <v>-12.317995</v>
      </c>
      <c r="M80">
        <v>-76.8298</v>
      </c>
      <c r="N80">
        <f>HYPERLINK("https://www.google.com/maps/search/?api=1&amp;query=-12.317995,-76.8298","Carretera Panamericana Sur, Punta Hermosa, Lima")</f>
      </c>
      <c r="O80" t="str">
        <v>Acelerado y giro brusco</v>
      </c>
      <c r="P80" t="str">
        <v/>
      </c>
      <c r="Q80">
        <v>2070.7</v>
      </c>
      <c r="R80" t="str">
        <v/>
      </c>
      <c r="S80">
        <v>9.4</v>
      </c>
      <c r="T80">
        <v>79.83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83</v>
      </c>
      <c r="AC80" t="str">
        <v>01/10/2026</v>
      </c>
      <c r="AD80" t="str">
        <v>07:04:08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07:04:22</v>
      </c>
      <c r="AL80" t="str">
        <v>07:04:22</v>
      </c>
      <c r="AM80" t="str">
        <v/>
      </c>
    </row>
    <row r="81">
      <c r="A81">
        <v>80</v>
      </c>
      <c r="B81" t="str">
        <v>MASS BSF</v>
      </c>
      <c r="C81" t="str">
        <v>F8R-810</v>
      </c>
      <c r="D81" t="str">
        <v>F8R-810</v>
      </c>
      <c r="E81" t="str">
        <v/>
      </c>
      <c r="F81" t="str">
        <v>867806078868827</v>
      </c>
      <c r="G81" t="str">
        <v>TBD</v>
      </c>
      <c r="H81" t="str">
        <v/>
      </c>
      <c r="I81" t="str">
        <v xml:space="preserve"> </v>
      </c>
      <c r="J81" t="str">
        <v>01/10/2026</v>
      </c>
      <c r="K81" t="str">
        <v>07:04:29</v>
      </c>
      <c r="L81">
        <v>-12.317505</v>
      </c>
      <c r="M81">
        <v>-76.82961</v>
      </c>
      <c r="N81">
        <f>HYPERLINK("https://www.google.com/maps/search/?api=1&amp;query=-12.317505,-76.82961","Punta Hermosa, Lima")</f>
      </c>
      <c r="O81" t="str">
        <v>Llegó a la zona</v>
      </c>
      <c r="P81" t="str">
        <v/>
      </c>
      <c r="Q81">
        <v>2070.7</v>
      </c>
      <c r="R81" t="str">
        <v>MASS BSF 1</v>
      </c>
      <c r="S81">
        <v>12.5</v>
      </c>
      <c r="T81">
        <v>79.78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72</v>
      </c>
      <c r="AC81" t="str">
        <v>01/10/2026</v>
      </c>
      <c r="AD81" t="str">
        <v>07:04:29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07:04:42</v>
      </c>
      <c r="AL81" t="str">
        <v>07:04:42</v>
      </c>
      <c r="AM81" t="str">
        <v/>
      </c>
    </row>
    <row r="82">
      <c r="A82">
        <v>81</v>
      </c>
      <c r="B82" t="str">
        <v>MASS BSF</v>
      </c>
      <c r="C82" t="str">
        <v>F8R-810</v>
      </c>
      <c r="D82" t="str">
        <v>F8R-810</v>
      </c>
      <c r="E82" t="str">
        <v/>
      </c>
      <c r="F82" t="str">
        <v>867806078868827</v>
      </c>
      <c r="G82" t="str">
        <v>TBD</v>
      </c>
      <c r="H82" t="str">
        <v/>
      </c>
      <c r="I82" t="str">
        <v/>
      </c>
      <c r="J82" t="str">
        <v>01/10/2026</v>
      </c>
      <c r="K82" t="str">
        <v>07:04:29</v>
      </c>
      <c r="L82">
        <v>-12.317505</v>
      </c>
      <c r="M82">
        <v>-76.82961</v>
      </c>
      <c r="N82">
        <f>HYPERLINK("https://www.google.com/maps/search/?api=1&amp;query=-12.317505,-76.82961","Punta Hermosa, Lima")</f>
      </c>
      <c r="O82" t="str">
        <v>Acelerado y giro brusco</v>
      </c>
      <c r="P82" t="str">
        <v/>
      </c>
      <c r="Q82">
        <v>2070.8</v>
      </c>
      <c r="R82" t="str">
        <v/>
      </c>
      <c r="S82">
        <v>12.5</v>
      </c>
      <c r="T82">
        <v>79.83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72</v>
      </c>
      <c r="AC82" t="str">
        <v>01/10/2026</v>
      </c>
      <c r="AD82" t="str">
        <v>07:04:29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07:04:53</v>
      </c>
      <c r="AL82" t="str">
        <v>07:04:53</v>
      </c>
      <c r="AM82" t="str">
        <v/>
      </c>
    </row>
    <row r="83">
      <c r="A83">
        <v>82</v>
      </c>
      <c r="B83" t="str">
        <v>MASS BSF</v>
      </c>
      <c r="C83" t="str">
        <v>F8R-810</v>
      </c>
      <c r="D83" t="str">
        <v>F8R-810</v>
      </c>
      <c r="E83" t="str">
        <v/>
      </c>
      <c r="F83" t="str">
        <v>867806078868827</v>
      </c>
      <c r="G83" t="str">
        <v>TBD</v>
      </c>
      <c r="H83" t="str">
        <v/>
      </c>
      <c r="I83" t="str">
        <v/>
      </c>
      <c r="J83" t="str">
        <v>01/10/2026</v>
      </c>
      <c r="K83" t="str">
        <v>07:04:52</v>
      </c>
      <c r="L83">
        <v>-12.317358</v>
      </c>
      <c r="M83">
        <v>-76.82931</v>
      </c>
      <c r="N83">
        <f>HYPERLINK("https://www.google.com/maps/search/?api=1&amp;query=-12.317358,-76.82931","Punta Hermosa, Lima")</f>
      </c>
      <c r="O83" t="str">
        <v>Acelerado y giro brusco</v>
      </c>
      <c r="P83" t="str">
        <v/>
      </c>
      <c r="Q83">
        <v>2070.8</v>
      </c>
      <c r="R83" t="str">
        <v/>
      </c>
      <c r="S83">
        <v>12.2</v>
      </c>
      <c r="T83">
        <v>79.83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72</v>
      </c>
      <c r="AC83" t="str">
        <v>01/10/2026</v>
      </c>
      <c r="AD83" t="str">
        <v>07:04:52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07:05:14</v>
      </c>
      <c r="AL83" t="str">
        <v>07:05:14</v>
      </c>
      <c r="AM83" t="str">
        <v/>
      </c>
    </row>
    <row r="84">
      <c r="A84">
        <v>83</v>
      </c>
      <c r="B84" t="str">
        <v>MASS BSF</v>
      </c>
      <c r="C84" t="str">
        <v>F8R-810</v>
      </c>
      <c r="D84" t="str">
        <v>F8R-810</v>
      </c>
      <c r="E84" t="str">
        <v/>
      </c>
      <c r="F84" t="str">
        <v>867806078868827</v>
      </c>
      <c r="G84" t="str">
        <v>TBD</v>
      </c>
      <c r="H84" t="str">
        <v/>
      </c>
      <c r="I84" t="str">
        <v/>
      </c>
      <c r="J84" t="str">
        <v>01/10/2026</v>
      </c>
      <c r="K84" t="str">
        <v>07:04:57</v>
      </c>
      <c r="L84">
        <v>-12.317282</v>
      </c>
      <c r="M84">
        <v>-76.82917</v>
      </c>
      <c r="N84">
        <f>HYPERLINK("https://www.google.com/maps/search/?api=1&amp;query=-12.317282,-76.82917","Punta Hermosa, Lima")</f>
      </c>
      <c r="O84" t="str">
        <v>Acelerado y giro brusco</v>
      </c>
      <c r="P84" t="str">
        <v/>
      </c>
      <c r="Q84">
        <v>2070.8</v>
      </c>
      <c r="R84" t="str">
        <v/>
      </c>
      <c r="S84">
        <v>14.4</v>
      </c>
      <c r="T84">
        <v>79.83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72</v>
      </c>
      <c r="AC84" t="str">
        <v>01/10/2026</v>
      </c>
      <c r="AD84" t="str">
        <v>07:04:57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07:05:03</v>
      </c>
      <c r="AL84" t="str">
        <v>07:05:03</v>
      </c>
      <c r="AM84" t="str">
        <v/>
      </c>
    </row>
    <row r="85">
      <c r="A85">
        <v>84</v>
      </c>
      <c r="B85" t="str">
        <v>MASS BSF</v>
      </c>
      <c r="C85" t="str">
        <v>F8R-810</v>
      </c>
      <c r="D85" t="str">
        <v>F8R-810</v>
      </c>
      <c r="E85" t="str">
        <v/>
      </c>
      <c r="F85" t="str">
        <v>867806078868827</v>
      </c>
      <c r="G85" t="str">
        <v>TBD</v>
      </c>
      <c r="H85" t="str">
        <v/>
      </c>
      <c r="I85" t="str">
        <v/>
      </c>
      <c r="J85" t="str">
        <v>01/10/2026</v>
      </c>
      <c r="K85" t="str">
        <v>07:05:09</v>
      </c>
      <c r="L85">
        <v>-12.317027</v>
      </c>
      <c r="M85">
        <v>-76.82879</v>
      </c>
      <c r="N85">
        <f>HYPERLINK("https://www.google.com/maps/search/?api=1&amp;query=-12.317027,-76.82879","Punta Hermosa, Lima")</f>
      </c>
      <c r="O85" t="str">
        <v>Acelerado y giro brusco</v>
      </c>
      <c r="P85" t="str">
        <v/>
      </c>
      <c r="Q85">
        <v>2070.9</v>
      </c>
      <c r="R85" t="str">
        <v/>
      </c>
      <c r="S85">
        <v>12.2</v>
      </c>
      <c r="T85">
        <v>79.83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72</v>
      </c>
      <c r="AC85" t="str">
        <v>01/10/2026</v>
      </c>
      <c r="AD85" t="str">
        <v>07:05:09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07:05:26</v>
      </c>
      <c r="AL85" t="str">
        <v>07:05:26</v>
      </c>
      <c r="AM85" t="str">
        <v/>
      </c>
    </row>
    <row r="86">
      <c r="A86">
        <v>85</v>
      </c>
      <c r="B86" t="str">
        <v>MASS BSF</v>
      </c>
      <c r="C86" t="str">
        <v>F8R-810</v>
      </c>
      <c r="D86" t="str">
        <v>F8R-810</v>
      </c>
      <c r="E86" t="str">
        <v/>
      </c>
      <c r="F86" t="str">
        <v>867806078868827</v>
      </c>
      <c r="G86" t="str">
        <v>TBD</v>
      </c>
      <c r="H86" t="str">
        <v/>
      </c>
      <c r="I86" t="str">
        <v/>
      </c>
      <c r="J86" t="str">
        <v>01/10/2026</v>
      </c>
      <c r="K86" t="str">
        <v>07:05:30</v>
      </c>
      <c r="L86">
        <v>-12.316635</v>
      </c>
      <c r="M86">
        <v>-76.82812</v>
      </c>
      <c r="N86">
        <f>HYPERLINK("https://www.google.com/maps/search/?api=1&amp;query=-12.316635,-76.82812","Punta Hermosa, Lima")</f>
      </c>
      <c r="O86" t="str">
        <v>Acelerado y giro brusco</v>
      </c>
      <c r="P86" t="str">
        <v/>
      </c>
      <c r="Q86">
        <v>2070.9</v>
      </c>
      <c r="R86" t="str">
        <v/>
      </c>
      <c r="S86">
        <v>11.6</v>
      </c>
      <c r="T86">
        <v>79.83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95</v>
      </c>
      <c r="AC86" t="str">
        <v>01/10/2026</v>
      </c>
      <c r="AD86" t="str">
        <v>07:05:30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07:05:43</v>
      </c>
      <c r="AL86" t="str">
        <v>07:05:43</v>
      </c>
      <c r="AM86" t="str">
        <v/>
      </c>
    </row>
    <row r="87">
      <c r="A87">
        <v>86</v>
      </c>
      <c r="B87" t="str">
        <v>MASS BSF</v>
      </c>
      <c r="C87" t="str">
        <v>F8R-810</v>
      </c>
      <c r="D87" t="str">
        <v>F8R-810</v>
      </c>
      <c r="E87" t="str">
        <v/>
      </c>
      <c r="F87" t="str">
        <v>867806078868827</v>
      </c>
      <c r="G87" t="str">
        <v>TBD</v>
      </c>
      <c r="H87" t="str">
        <v/>
      </c>
      <c r="I87" t="str">
        <v/>
      </c>
      <c r="J87" t="str">
        <v>01/10/2026</v>
      </c>
      <c r="K87" t="str">
        <v>07:05:47</v>
      </c>
      <c r="L87">
        <v>-12.316274</v>
      </c>
      <c r="M87">
        <v>-76.82753</v>
      </c>
      <c r="N87">
        <f>HYPERLINK("https://www.google.com/maps/search/?api=1&amp;query=-12.316274,-76.82753","Punta Hermosa, Lima")</f>
      </c>
      <c r="O87" t="str">
        <v>Acelerado y giro brusco</v>
      </c>
      <c r="P87" t="str">
        <v/>
      </c>
      <c r="Q87">
        <v>2071</v>
      </c>
      <c r="R87" t="str">
        <v/>
      </c>
      <c r="S87">
        <v>13.7</v>
      </c>
      <c r="T87">
        <v>79.83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93</v>
      </c>
      <c r="AC87" t="str">
        <v>01/10/2026</v>
      </c>
      <c r="AD87" t="str">
        <v>07:05:47</v>
      </c>
      <c r="AE87">
        <f>IF("ONLINE"="NOGPS","GPS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01/10/2026 07:06:10</v>
      </c>
      <c r="AL87" t="str">
        <v>07:06:10</v>
      </c>
      <c r="AM87" t="str">
        <v/>
      </c>
    </row>
    <row r="88">
      <c r="A88">
        <v>87</v>
      </c>
      <c r="B88" t="str">
        <v>MASS BSF</v>
      </c>
      <c r="C88" t="str">
        <v>F8R-810</v>
      </c>
      <c r="D88" t="str">
        <v>F8R-810</v>
      </c>
      <c r="E88" t="str">
        <v/>
      </c>
      <c r="F88" t="str">
        <v>867806078868827</v>
      </c>
      <c r="G88" t="str">
        <v>TBD</v>
      </c>
      <c r="H88" t="str">
        <v/>
      </c>
      <c r="I88" t="str">
        <v/>
      </c>
      <c r="J88" t="str">
        <v>01/10/2026</v>
      </c>
      <c r="K88" t="str">
        <v>07:06:02</v>
      </c>
      <c r="L88">
        <v>-12.315945</v>
      </c>
      <c r="M88">
        <v>-76.82697</v>
      </c>
      <c r="N88">
        <f>HYPERLINK("https://www.google.com/maps/search/?api=1&amp;query=-12.315945,-76.82697","Punta Hermosa, Lima")</f>
      </c>
      <c r="O88" t="str">
        <v>Acelerado y giro brusco</v>
      </c>
      <c r="P88" t="str">
        <v/>
      </c>
      <c r="Q88">
        <v>2071.1</v>
      </c>
      <c r="R88" t="str">
        <v/>
      </c>
      <c r="S88">
        <v>18.8</v>
      </c>
      <c r="T88">
        <v>79.83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93</v>
      </c>
      <c r="AC88" t="str">
        <v>01/10/2026</v>
      </c>
      <c r="AD88" t="str">
        <v>07:06:02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01/10/2026 07:06:12</v>
      </c>
      <c r="AL88" t="str">
        <v>07:06:12</v>
      </c>
      <c r="AM88" t="str">
        <v/>
      </c>
    </row>
    <row r="89">
      <c r="A89">
        <v>88</v>
      </c>
      <c r="B89" t="str">
        <v>MASS BSF</v>
      </c>
      <c r="C89" t="str">
        <v>F8R-810</v>
      </c>
      <c r="D89" t="str">
        <v>F8R-810</v>
      </c>
      <c r="E89" t="str">
        <v/>
      </c>
      <c r="F89" t="str">
        <v>867806078868827</v>
      </c>
      <c r="G89" t="str">
        <v>TBD</v>
      </c>
      <c r="H89" t="str">
        <v/>
      </c>
      <c r="I89" t="str">
        <v/>
      </c>
      <c r="J89" t="str">
        <v>01/10/2026</v>
      </c>
      <c r="K89" t="str">
        <v>07:06:09</v>
      </c>
      <c r="L89">
        <v>-12.315792</v>
      </c>
      <c r="M89">
        <v>-76.82673</v>
      </c>
      <c r="N89">
        <f>HYPERLINK("https://www.google.com/maps/search/?api=1&amp;query=-12.315792,-76.82673","Punta Hermosa, Lima")</f>
      </c>
      <c r="O89" t="str">
        <v>Acelerado y giro brusco</v>
      </c>
      <c r="P89" t="str">
        <v/>
      </c>
      <c r="Q89">
        <v>2071.1</v>
      </c>
      <c r="R89" t="str">
        <v/>
      </c>
      <c r="S89">
        <v>18.7</v>
      </c>
      <c r="T89">
        <v>79.83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93</v>
      </c>
      <c r="AC89" t="str">
        <v>01/10/2026</v>
      </c>
      <c r="AD89" t="str">
        <v>07:06:09</v>
      </c>
      <c r="AE89">
        <f>IF("ONLINE"="NOGPS","GPS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01/10/2026 07:06:24</v>
      </c>
      <c r="AL89" t="str">
        <v>07:06:24</v>
      </c>
      <c r="AM89" t="str">
        <v/>
      </c>
    </row>
    <row r="90">
      <c r="A90">
        <v>89</v>
      </c>
      <c r="B90" t="str">
        <v>MASS BSF</v>
      </c>
      <c r="C90" t="str">
        <v>F8R-810</v>
      </c>
      <c r="D90" t="str">
        <v>F8R-810</v>
      </c>
      <c r="E90" t="str">
        <v/>
      </c>
      <c r="F90" t="str">
        <v>867806078868827</v>
      </c>
      <c r="G90" t="str">
        <v>TBD</v>
      </c>
      <c r="H90" t="str">
        <v/>
      </c>
      <c r="I90" t="str">
        <v/>
      </c>
      <c r="J90" t="str">
        <v>01/10/2026</v>
      </c>
      <c r="K90" t="str">
        <v>07:06:18</v>
      </c>
      <c r="L90">
        <v>-12.315554</v>
      </c>
      <c r="M90">
        <v>-76.82636</v>
      </c>
      <c r="N90">
        <f>HYPERLINK("https://www.google.com/maps/search/?api=1&amp;query=-12.315554,-76.82636","Punta Hermosa, Lima")</f>
      </c>
      <c r="O90" t="str">
        <v>Acelerado y giro brusco</v>
      </c>
      <c r="P90" t="str">
        <v/>
      </c>
      <c r="Q90">
        <v>2071.2</v>
      </c>
      <c r="R90" t="str">
        <v/>
      </c>
      <c r="S90">
        <v>18.1</v>
      </c>
      <c r="T90">
        <v>79.83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92</v>
      </c>
      <c r="AC90" t="str">
        <v>01/10/2026</v>
      </c>
      <c r="AD90" t="str">
        <v>07:06:18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01/10/2026 07:06:46</v>
      </c>
      <c r="AL90" t="str">
        <v>07:06:46</v>
      </c>
      <c r="AM90" t="str">
        <v/>
      </c>
    </row>
    <row r="91">
      <c r="A91">
        <v>90</v>
      </c>
      <c r="B91" t="str">
        <v>MASS BSF</v>
      </c>
      <c r="C91" t="str">
        <v>F8R-810</v>
      </c>
      <c r="D91" t="str">
        <v>F8R-810</v>
      </c>
      <c r="E91" t="str">
        <v/>
      </c>
      <c r="F91" t="str">
        <v>867806078868827</v>
      </c>
      <c r="G91" t="str">
        <v>TBD</v>
      </c>
      <c r="H91" t="str">
        <v/>
      </c>
      <c r="I91" t="str">
        <v/>
      </c>
      <c r="J91" t="str">
        <v>01/10/2026</v>
      </c>
      <c r="K91" t="str">
        <v>07:06:25</v>
      </c>
      <c r="L91">
        <v>-12.3154</v>
      </c>
      <c r="M91">
        <v>-76.82611</v>
      </c>
      <c r="N91">
        <f>HYPERLINK("https://www.google.com/maps/search/?api=1&amp;query=-12.3154,-76.82611","Punta Hermosa, Lima")</f>
      </c>
      <c r="O91" t="str">
        <v>Acelerado y giro brusco</v>
      </c>
      <c r="P91" t="str">
        <v/>
      </c>
      <c r="Q91">
        <v>2071.2</v>
      </c>
      <c r="R91" t="str">
        <v/>
      </c>
      <c r="S91">
        <v>15</v>
      </c>
      <c r="T91">
        <v>79.83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92</v>
      </c>
      <c r="AC91" t="str">
        <v>01/10/2026</v>
      </c>
      <c r="AD91" t="str">
        <v>07:06:25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01/10/2026 07:06:49</v>
      </c>
      <c r="AL91" t="str">
        <v>07:06:49</v>
      </c>
      <c r="AM91" t="str">
        <v/>
      </c>
    </row>
    <row r="92">
      <c r="A92">
        <v>91</v>
      </c>
      <c r="B92" t="str">
        <v>MASS BSF</v>
      </c>
      <c r="C92" t="str">
        <v>F8R-810</v>
      </c>
      <c r="D92" t="str">
        <v>F8R-810</v>
      </c>
      <c r="E92" t="str">
        <v/>
      </c>
      <c r="F92" t="str">
        <v>867806078868827</v>
      </c>
      <c r="G92" t="str">
        <v>TBD</v>
      </c>
      <c r="H92" t="str">
        <v/>
      </c>
      <c r="I92" t="str">
        <v/>
      </c>
      <c r="J92" t="str">
        <v>01/10/2026</v>
      </c>
      <c r="K92" t="str">
        <v>07:06:32</v>
      </c>
      <c r="L92">
        <v>-12.315329</v>
      </c>
      <c r="M92">
        <v>-76.82597</v>
      </c>
      <c r="N92">
        <f>HYPERLINK("https://www.google.com/maps/search/?api=1&amp;query=-12.315329,-76.82597","Punta Hermosa, Lima")</f>
      </c>
      <c r="O92" t="str">
        <v>Acelerado y giro brusco</v>
      </c>
      <c r="P92" t="str">
        <v/>
      </c>
      <c r="Q92">
        <v>2071.2</v>
      </c>
      <c r="R92" t="str">
        <v/>
      </c>
      <c r="S92">
        <v>11.4</v>
      </c>
      <c r="T92">
        <v>79.83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92</v>
      </c>
      <c r="AC92" t="str">
        <v>01/10/2026</v>
      </c>
      <c r="AD92" t="str">
        <v>07:06:32</v>
      </c>
      <c r="AE92">
        <f>IF("ONLINE"="NOGPS","GPS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01/10/2026 07:06:52</v>
      </c>
      <c r="AL92" t="str">
        <v>07:06:52</v>
      </c>
      <c r="AM92" t="str">
        <v/>
      </c>
    </row>
    <row r="93">
      <c r="A93">
        <v>92</v>
      </c>
      <c r="B93" t="str">
        <v>MASS BSF</v>
      </c>
      <c r="C93" t="str">
        <v>F8R-810</v>
      </c>
      <c r="D93" t="str">
        <v>F8R-810</v>
      </c>
      <c r="E93" t="str">
        <v/>
      </c>
      <c r="F93" t="str">
        <v>867806078868827</v>
      </c>
      <c r="G93" t="str">
        <v>TBD</v>
      </c>
      <c r="H93" t="str">
        <v/>
      </c>
      <c r="I93" t="str">
        <v/>
      </c>
      <c r="J93" t="str">
        <v>01/10/2026</v>
      </c>
      <c r="K93" t="str">
        <v>07:07:29</v>
      </c>
      <c r="L93">
        <v>-12.317245</v>
      </c>
      <c r="M93">
        <v>-76.82466</v>
      </c>
      <c r="N93">
        <f>HYPERLINK("https://www.google.com/maps/search/?api=1&amp;query=-12.317245,-76.82466","Punta Hermosa, Lima")</f>
      </c>
      <c r="O93" t="str">
        <v>Acelerado y giro brusco</v>
      </c>
      <c r="P93" t="str">
        <v/>
      </c>
      <c r="Q93">
        <v>2071.5</v>
      </c>
      <c r="R93" t="str">
        <v/>
      </c>
      <c r="S93">
        <v>13.8</v>
      </c>
      <c r="T93">
        <v>79.83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100</v>
      </c>
      <c r="AC93" t="str">
        <v>01/10/2026</v>
      </c>
      <c r="AD93" t="str">
        <v>07:07:29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01/10/2026 07:07:38</v>
      </c>
      <c r="AL93" t="str">
        <v>07:07:38</v>
      </c>
      <c r="AM93" t="str">
        <v/>
      </c>
    </row>
    <row r="94">
      <c r="A94">
        <v>93</v>
      </c>
      <c r="B94" t="str">
        <v>MASS BSF</v>
      </c>
      <c r="C94" t="str">
        <v>F8R-810</v>
      </c>
      <c r="D94" t="str">
        <v>F8R-810</v>
      </c>
      <c r="E94" t="str">
        <v/>
      </c>
      <c r="F94" t="str">
        <v>867806078868827</v>
      </c>
      <c r="G94" t="str">
        <v>TBD</v>
      </c>
      <c r="H94" t="str">
        <v/>
      </c>
      <c r="I94" t="str">
        <v/>
      </c>
      <c r="J94" t="str">
        <v>01/10/2026</v>
      </c>
      <c r="K94" t="str">
        <v>07:07:40</v>
      </c>
      <c r="L94">
        <v>-12.317467</v>
      </c>
      <c r="M94">
        <v>-76.82455</v>
      </c>
      <c r="N94">
        <f>HYPERLINK("https://www.google.com/maps/search/?api=1&amp;query=-12.317467,-76.82455","Punta Hermosa, Lima")</f>
      </c>
      <c r="O94" t="str">
        <v>Aceleración brusca</v>
      </c>
      <c r="P94" t="str">
        <v>CMT-910</v>
      </c>
      <c r="Q94">
        <v>2071.5</v>
      </c>
      <c r="R94" t="str">
        <v/>
      </c>
      <c r="S94">
        <v>0.1</v>
      </c>
      <c r="T94">
        <v>79.83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100</v>
      </c>
      <c r="AC94" t="str">
        <v>01/10/2026</v>
      </c>
      <c r="AD94" t="str">
        <v>07:07:40</v>
      </c>
      <c r="AE94">
        <f>IF("ONLINE"="NOGPS","GPS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01/10/2026 07:07:48</v>
      </c>
      <c r="AL94" t="str">
        <v>07:07:48</v>
      </c>
      <c r="AM94" t="str">
        <v/>
      </c>
    </row>
    <row r="95">
      <c r="A95">
        <v>94</v>
      </c>
      <c r="B95" t="str">
        <v>MASS BSF</v>
      </c>
      <c r="C95" t="str">
        <v>F8R-810</v>
      </c>
      <c r="D95" t="str">
        <v>F8R-810</v>
      </c>
      <c r="E95" t="str">
        <v/>
      </c>
      <c r="F95" t="str">
        <v>867806078868827</v>
      </c>
      <c r="G95" t="str">
        <v>TBD</v>
      </c>
      <c r="H95" t="str">
        <v/>
      </c>
      <c r="I95" t="str">
        <v/>
      </c>
      <c r="J95" t="str">
        <v>01/10/2026</v>
      </c>
      <c r="K95" t="str">
        <v>07:07:51</v>
      </c>
      <c r="L95">
        <v>-12.317583</v>
      </c>
      <c r="M95">
        <v>-76.82448</v>
      </c>
      <c r="N95">
        <f>HYPERLINK("https://www.google.com/maps/search/?api=1&amp;query=-12.317583,-76.82448","Punta Hermosa, Lima")</f>
      </c>
      <c r="O95" t="str">
        <v>Acelerado y giro brusco</v>
      </c>
      <c r="P95" t="str">
        <v/>
      </c>
      <c r="Q95">
        <v>2071.5</v>
      </c>
      <c r="R95" t="str">
        <v/>
      </c>
      <c r="S95">
        <v>8.8</v>
      </c>
      <c r="T95">
        <v>79.83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100</v>
      </c>
      <c r="AC95" t="str">
        <v>01/10/2026</v>
      </c>
      <c r="AD95" t="str">
        <v>07:07:51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01/10/2026 07:08:01</v>
      </c>
      <c r="AL95" t="str">
        <v>07:08:01</v>
      </c>
      <c r="AM95" t="str">
        <v/>
      </c>
    </row>
    <row r="96">
      <c r="A96">
        <v>95</v>
      </c>
      <c r="B96" t="str">
        <v>MASS BSF</v>
      </c>
      <c r="C96" t="str">
        <v>F8R-810</v>
      </c>
      <c r="D96" t="str">
        <v>F8R-810</v>
      </c>
      <c r="E96" t="str">
        <v/>
      </c>
      <c r="F96" t="str">
        <v>867806078868827</v>
      </c>
      <c r="G96" t="str">
        <v>TBD</v>
      </c>
      <c r="H96" t="str">
        <v/>
      </c>
      <c r="I96" t="str">
        <v/>
      </c>
      <c r="J96" t="str">
        <v>01/10/2026</v>
      </c>
      <c r="K96" t="str">
        <v>07:07:56</v>
      </c>
      <c r="L96">
        <v>-12.317705</v>
      </c>
      <c r="M96">
        <v>-76.82442</v>
      </c>
      <c r="N96">
        <f>HYPERLINK("https://www.google.com/maps/search/?api=1&amp;query=-12.317705,-76.82442","Punta Hermosa, Lima")</f>
      </c>
      <c r="O96" t="str">
        <v>Aceleración brusca</v>
      </c>
      <c r="P96" t="str">
        <v>CMT-910</v>
      </c>
      <c r="Q96">
        <v>2071.5</v>
      </c>
      <c r="R96" t="str">
        <v/>
      </c>
      <c r="S96">
        <v>13.5</v>
      </c>
      <c r="T96">
        <v>79.83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>
        <v>100</v>
      </c>
      <c r="AC96" t="str">
        <v>01/10/2026</v>
      </c>
      <c r="AD96" t="str">
        <v>07:07:56</v>
      </c>
      <c r="AE96">
        <f>IF("ONLINE"="NOGPS","GPS Antiguo","En línea")</f>
      </c>
      <c r="AF96">
        <f>IF(0=0,"Sin atender", IF(0=1,"Atendida","Atendida y Reportada"))</f>
      </c>
      <c r="AG96" t="str">
        <v/>
      </c>
      <c r="AH96" t="str">
        <v/>
      </c>
      <c r="AI96" t="str">
        <v/>
      </c>
      <c r="AJ96" t="str">
        <v/>
      </c>
      <c r="AK96" t="str">
        <v>01/10/2026 07:08:10</v>
      </c>
      <c r="AL96" t="str">
        <v>07:08:10</v>
      </c>
      <c r="AM96" t="str">
        <v/>
      </c>
    </row>
    <row r="97">
      <c r="A97">
        <v>96</v>
      </c>
      <c r="B97" t="str">
        <v>MASS BSF</v>
      </c>
      <c r="C97" t="str">
        <v>F8R-810</v>
      </c>
      <c r="D97" t="str">
        <v>F8R-810</v>
      </c>
      <c r="E97" t="str">
        <v/>
      </c>
      <c r="F97" t="str">
        <v>867806078868827</v>
      </c>
      <c r="G97" t="str">
        <v>TBD</v>
      </c>
      <c r="H97" t="str">
        <v/>
      </c>
      <c r="I97" t="str">
        <v/>
      </c>
      <c r="J97" t="str">
        <v>01/10/2026</v>
      </c>
      <c r="K97" t="str">
        <v>07:08:05</v>
      </c>
      <c r="L97">
        <v>-12.31786</v>
      </c>
      <c r="M97">
        <v>-76.824165</v>
      </c>
      <c r="N97">
        <f>HYPERLINK("https://www.google.com/maps/search/?api=1&amp;query=-12.31786,-76.824165","Punta Hermosa, Lima")</f>
      </c>
      <c r="O97" t="str">
        <v>Aceleración brusca</v>
      </c>
      <c r="P97" t="str">
        <v>CMT-910</v>
      </c>
      <c r="Q97">
        <v>2071.6</v>
      </c>
      <c r="R97" t="str">
        <v/>
      </c>
      <c r="S97">
        <v>12.2</v>
      </c>
      <c r="T97">
        <v>79.83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>
        <v>100</v>
      </c>
      <c r="AC97" t="str">
        <v>01/10/2026</v>
      </c>
      <c r="AD97" t="str">
        <v>07:08:05</v>
      </c>
      <c r="AE97">
        <f>IF("ONLINE"="NOGPS","GPS Antiguo","En línea")</f>
      </c>
      <c r="AF97">
        <f>IF(0=0,"Sin atender", IF(0=1,"Atendida","Atendida y Reportada"))</f>
      </c>
      <c r="AG97" t="str">
        <v/>
      </c>
      <c r="AH97" t="str">
        <v/>
      </c>
      <c r="AI97" t="str">
        <v/>
      </c>
      <c r="AJ97" t="str">
        <v/>
      </c>
      <c r="AK97" t="str">
        <v>01/10/2026 07:08:14</v>
      </c>
      <c r="AL97" t="str">
        <v>07:08:14</v>
      </c>
      <c r="AM97" t="str">
        <v/>
      </c>
    </row>
    <row r="98">
      <c r="A98">
        <v>97</v>
      </c>
      <c r="B98" t="str">
        <v>MASS BSF</v>
      </c>
      <c r="C98" t="str">
        <v>F8R-810</v>
      </c>
      <c r="D98" t="str">
        <v>F8R-810</v>
      </c>
      <c r="E98" t="str">
        <v/>
      </c>
      <c r="F98" t="str">
        <v>867806078868827</v>
      </c>
      <c r="G98" t="str">
        <v>TBD</v>
      </c>
      <c r="H98" t="str">
        <v/>
      </c>
      <c r="I98" t="str">
        <v/>
      </c>
      <c r="J98" t="str">
        <v>01/10/2026</v>
      </c>
      <c r="K98" t="str">
        <v>07:09:24</v>
      </c>
      <c r="L98">
        <v>-12.318485</v>
      </c>
      <c r="M98">
        <v>-76.823654</v>
      </c>
      <c r="N98">
        <f>HYPERLINK("https://www.google.com/maps/search/?api=1&amp;query=-12.318485,-76.823654","Punta Hermosa, Lima")</f>
      </c>
      <c r="O98" t="str">
        <v>Acelerado y giro brusco</v>
      </c>
      <c r="P98" t="str">
        <v/>
      </c>
      <c r="Q98">
        <v>2071.6</v>
      </c>
      <c r="R98" t="str">
        <v/>
      </c>
      <c r="S98">
        <v>10</v>
      </c>
      <c r="T98">
        <v>79.83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>
        <v>88</v>
      </c>
      <c r="AC98" t="str">
        <v>01/10/2026</v>
      </c>
      <c r="AD98" t="str">
        <v>07:09:24</v>
      </c>
      <c r="AE98">
        <f>IF("ONLINE"="NOGPS","GPS Antiguo","En línea")</f>
      </c>
      <c r="AF98">
        <f>IF(0=0,"Sin atender", IF(0=1,"Atendida","Atendida y Reportada"))</f>
      </c>
      <c r="AG98" t="str">
        <v/>
      </c>
      <c r="AH98" t="str">
        <v/>
      </c>
      <c r="AI98" t="str">
        <v/>
      </c>
      <c r="AJ98" t="str">
        <v/>
      </c>
      <c r="AK98" t="str">
        <v>01/10/2026 07:09:39</v>
      </c>
      <c r="AL98" t="str">
        <v>07:09:39</v>
      </c>
      <c r="AM98" t="str">
        <v/>
      </c>
    </row>
    <row r="99">
      <c r="A99">
        <v>98</v>
      </c>
      <c r="B99" t="str">
        <v>MASS BSF</v>
      </c>
      <c r="C99" t="str">
        <v>F8R-810</v>
      </c>
      <c r="D99" t="str">
        <v>F8R-810</v>
      </c>
      <c r="E99" t="str">
        <v/>
      </c>
      <c r="F99" t="str">
        <v>867806078868827</v>
      </c>
      <c r="G99" t="str">
        <v>TBD</v>
      </c>
      <c r="H99" t="str">
        <v/>
      </c>
      <c r="I99" t="str">
        <v/>
      </c>
      <c r="J99" t="str">
        <v>01/10/2026</v>
      </c>
      <c r="K99" t="str">
        <v>07:09:32</v>
      </c>
      <c r="L99">
        <v>-12.318375</v>
      </c>
      <c r="M99">
        <v>-76.823494</v>
      </c>
      <c r="N99">
        <f>HYPERLINK("https://www.google.com/maps/search/?api=1&amp;query=-12.318375,-76.823494","Punta Hermosa, Lima")</f>
      </c>
      <c r="O99" t="str">
        <v>Acelerado y giro brusco</v>
      </c>
      <c r="P99" t="str">
        <v/>
      </c>
      <c r="Q99">
        <v>2071.7</v>
      </c>
      <c r="R99" t="str">
        <v/>
      </c>
      <c r="S99">
        <v>9.6</v>
      </c>
      <c r="T99">
        <v>79.83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>
        <v>88</v>
      </c>
      <c r="AC99" t="str">
        <v>01/10/2026</v>
      </c>
      <c r="AD99" t="str">
        <v>07:09:32</v>
      </c>
      <c r="AE99">
        <f>IF("ONLINE"="NOGPS","GPS Antiguo","En línea")</f>
      </c>
      <c r="AF99">
        <f>IF(0=0,"Sin atender", IF(0=1,"Atendida","Atendida y Reportada"))</f>
      </c>
      <c r="AG99" t="str">
        <v/>
      </c>
      <c r="AH99" t="str">
        <v/>
      </c>
      <c r="AI99" t="str">
        <v/>
      </c>
      <c r="AJ99" t="str">
        <v/>
      </c>
      <c r="AK99" t="str">
        <v>01/10/2026 07:09:49</v>
      </c>
      <c r="AL99" t="str">
        <v>07:09:49</v>
      </c>
      <c r="AM99" t="str">
        <v/>
      </c>
    </row>
    <row r="100">
      <c r="A100">
        <v>99</v>
      </c>
      <c r="B100" t="str">
        <v>MASS BSF</v>
      </c>
      <c r="C100" t="str">
        <v>F8R-810</v>
      </c>
      <c r="D100" t="str">
        <v>F8R-810</v>
      </c>
      <c r="E100" t="str">
        <v/>
      </c>
      <c r="F100" t="str">
        <v>867806078868827</v>
      </c>
      <c r="G100" t="str">
        <v>TBD</v>
      </c>
      <c r="H100" t="str">
        <v/>
      </c>
      <c r="I100" t="str">
        <v/>
      </c>
      <c r="J100" t="str">
        <v>01/10/2026</v>
      </c>
      <c r="K100" t="str">
        <v>07:09:57</v>
      </c>
      <c r="L100">
        <v>-12.317985</v>
      </c>
      <c r="M100">
        <v>-76.82295</v>
      </c>
      <c r="N100">
        <f>HYPERLINK("https://www.google.com/maps/search/?api=1&amp;query=-12.317985,-76.82295","Punta Hermosa, Lima")</f>
      </c>
      <c r="O100" t="str">
        <v>Acelerado y giro brusco</v>
      </c>
      <c r="P100" t="str">
        <v/>
      </c>
      <c r="Q100">
        <v>2071.7</v>
      </c>
      <c r="R100" t="str">
        <v/>
      </c>
      <c r="S100">
        <v>10</v>
      </c>
      <c r="T100">
        <v>79.83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>
        <v>88</v>
      </c>
      <c r="AC100" t="str">
        <v>01/10/2026</v>
      </c>
      <c r="AD100" t="str">
        <v>07:09:57</v>
      </c>
      <c r="AE100">
        <f>IF("ONLINE"="NOGPS","GPS Antiguo","En línea")</f>
      </c>
      <c r="AF100">
        <f>IF(0=0,"Sin atender", IF(0=1,"Atendida","Atendida y Reportada"))</f>
      </c>
      <c r="AG100" t="str">
        <v/>
      </c>
      <c r="AH100" t="str">
        <v/>
      </c>
      <c r="AI100" t="str">
        <v/>
      </c>
      <c r="AJ100" t="str">
        <v/>
      </c>
      <c r="AK100" t="str">
        <v>01/10/2026 07:10:17</v>
      </c>
      <c r="AL100" t="str">
        <v>07:10:17</v>
      </c>
      <c r="AM100" t="str">
        <v/>
      </c>
    </row>
    <row r="101">
      <c r="A101">
        <v>100</v>
      </c>
      <c r="B101" t="str">
        <v>MASS BSF</v>
      </c>
      <c r="C101" t="str">
        <v>F8R-810</v>
      </c>
      <c r="D101" t="str">
        <v>F8R-810</v>
      </c>
      <c r="E101" t="str">
        <v/>
      </c>
      <c r="F101" t="str">
        <v>867806078868827</v>
      </c>
      <c r="G101" t="str">
        <v>TBD</v>
      </c>
      <c r="H101" t="str">
        <v/>
      </c>
      <c r="I101" t="str">
        <v/>
      </c>
      <c r="J101" t="str">
        <v>01/10/2026</v>
      </c>
      <c r="K101" t="str">
        <v>07:10:31</v>
      </c>
      <c r="L101">
        <v>-12.317338</v>
      </c>
      <c r="M101">
        <v>-76.82293</v>
      </c>
      <c r="N101">
        <f>HYPERLINK("https://www.google.com/maps/search/?api=1&amp;query=-12.317338,-76.82293","Punta Hermosa, Lima")</f>
      </c>
      <c r="O101" t="str">
        <v>Aceleración brusca</v>
      </c>
      <c r="P101" t="str">
        <v>CMT-910</v>
      </c>
      <c r="Q101">
        <v>2071.8</v>
      </c>
      <c r="R101" t="str">
        <v/>
      </c>
      <c r="S101">
        <v>9.4</v>
      </c>
      <c r="T101">
        <v>79.83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>
        <v>85</v>
      </c>
      <c r="AC101" t="str">
        <v>01/10/2026</v>
      </c>
      <c r="AD101" t="str">
        <v>07:10:31</v>
      </c>
      <c r="AE101">
        <f>IF("ONLINE"="NOGPS","GPS Antiguo","En línea")</f>
      </c>
      <c r="AF101">
        <f>IF(0=0,"Sin atender", IF(0=1,"Atendida","Atendida y Reportada"))</f>
      </c>
      <c r="AG101" t="str">
        <v/>
      </c>
      <c r="AH101" t="str">
        <v/>
      </c>
      <c r="AI101" t="str">
        <v/>
      </c>
      <c r="AJ101" t="str">
        <v/>
      </c>
      <c r="AK101" t="str">
        <v>01/10/2026 07:10:47</v>
      </c>
      <c r="AL101" t="str">
        <v>07:10:47</v>
      </c>
      <c r="AM101" t="str">
        <v/>
      </c>
    </row>
    <row r="102">
      <c r="A102">
        <v>101</v>
      </c>
      <c r="B102" t="str">
        <v>MASS BSF</v>
      </c>
      <c r="C102" t="str">
        <v>F8R-810</v>
      </c>
      <c r="D102" t="str">
        <v>F8R-810</v>
      </c>
      <c r="E102" t="str">
        <v/>
      </c>
      <c r="F102" t="str">
        <v>867806078868827</v>
      </c>
      <c r="G102" t="str">
        <v>TBD</v>
      </c>
      <c r="H102" t="str">
        <v/>
      </c>
      <c r="I102" t="str">
        <v/>
      </c>
      <c r="J102" t="str">
        <v>01/10/2026</v>
      </c>
      <c r="K102" t="str">
        <v>07:11:13</v>
      </c>
      <c r="L102">
        <v>-12.317371</v>
      </c>
      <c r="M102">
        <v>-76.82292</v>
      </c>
      <c r="N102">
        <f>HYPERLINK("https://www.google.com/maps/search/?api=1&amp;query=-12.317371,-76.82292","Punta Hermosa, Lima")</f>
      </c>
      <c r="O102" t="str">
        <v>Vehículo apagado</v>
      </c>
      <c r="P102" t="str">
        <v>Vehículo Apagado</v>
      </c>
      <c r="Q102">
        <v>2071.8</v>
      </c>
      <c r="R102" t="str">
        <v/>
      </c>
      <c r="S102">
        <v>0</v>
      </c>
      <c r="T102">
        <v>80.55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>
        <v>85</v>
      </c>
      <c r="AC102" t="str">
        <v>01/10/2026</v>
      </c>
      <c r="AD102" t="str">
        <v>07:11:13</v>
      </c>
      <c r="AE102">
        <f>IF("ONLINE"="NOGPS","GPS Antiguo","En línea")</f>
      </c>
      <c r="AF102">
        <f>IF(0=0,"Sin atender", IF(0=1,"Atendida","Atendida y Reportada"))</f>
      </c>
      <c r="AG102" t="str">
        <v/>
      </c>
      <c r="AH102" t="str">
        <v/>
      </c>
      <c r="AI102" t="str">
        <v/>
      </c>
      <c r="AJ102" t="str">
        <v/>
      </c>
      <c r="AK102" t="str">
        <v>01/10/2026 07:11:33</v>
      </c>
      <c r="AL102" t="str">
        <v>07:11:33</v>
      </c>
      <c r="AM102" t="str">
        <v/>
      </c>
    </row>
    <row r="103">
      <c r="A103">
        <v>102</v>
      </c>
      <c r="B103" t="str">
        <v>MASS BSF</v>
      </c>
      <c r="C103" t="str">
        <v>F8R-810</v>
      </c>
      <c r="D103" t="str">
        <v>F8R-810</v>
      </c>
      <c r="E103" t="str">
        <v/>
      </c>
      <c r="F103" t="str">
        <v>867806078868827</v>
      </c>
      <c r="G103" t="str">
        <v>TBD</v>
      </c>
      <c r="H103" t="str">
        <v/>
      </c>
      <c r="I103" t="str">
        <v/>
      </c>
      <c r="J103" t="str">
        <v>01/10/2026</v>
      </c>
      <c r="K103" t="str">
        <v>07:14:57</v>
      </c>
      <c r="L103">
        <v>-12.317371</v>
      </c>
      <c r="M103">
        <v>-76.82292</v>
      </c>
      <c r="N103">
        <f>HYPERLINK("https://www.google.com/maps/search/?api=1&amp;query=-12.317371,-76.82292","Punta Hermosa, Lima")</f>
      </c>
      <c r="O103" t="str">
        <v>Vehículo encendido</v>
      </c>
      <c r="P103" t="str">
        <v/>
      </c>
      <c r="Q103">
        <v>2071.8</v>
      </c>
      <c r="R103" t="str">
        <v/>
      </c>
      <c r="S103">
        <v>0</v>
      </c>
      <c r="T103">
        <v>80.55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>
        <v>85</v>
      </c>
      <c r="AC103" t="str">
        <v>01/10/2026</v>
      </c>
      <c r="AD103" t="str">
        <v>07:14:57</v>
      </c>
      <c r="AE103">
        <f>IF("ONLINE"="NOGPS","GPS Antiguo","En línea")</f>
      </c>
      <c r="AF103">
        <f>IF(0=0,"Sin atender", IF(0=1,"Atendida","Atendida y Reportada"))</f>
      </c>
      <c r="AG103" t="str">
        <v/>
      </c>
      <c r="AH103" t="str">
        <v/>
      </c>
      <c r="AI103" t="str">
        <v/>
      </c>
      <c r="AJ103" t="str">
        <v/>
      </c>
      <c r="AK103" t="str">
        <v>01/10/2026 07:15:08</v>
      </c>
      <c r="AL103" t="str">
        <v>07:15:08</v>
      </c>
      <c r="AM103" t="str">
        <v/>
      </c>
    </row>
    <row r="104">
      <c r="A104">
        <v>103</v>
      </c>
      <c r="B104" t="str">
        <v>MASS BSF</v>
      </c>
      <c r="C104" t="str">
        <v>F8R-810</v>
      </c>
      <c r="D104" t="str">
        <v>F8R-810</v>
      </c>
      <c r="E104" t="str">
        <v/>
      </c>
      <c r="F104" t="str">
        <v>867806078868827</v>
      </c>
      <c r="G104" t="str">
        <v>TBD</v>
      </c>
      <c r="H104" t="str">
        <v/>
      </c>
      <c r="I104" t="str">
        <v/>
      </c>
      <c r="J104" t="str">
        <v>01/10/2026</v>
      </c>
      <c r="K104" t="str">
        <v>07:15:19</v>
      </c>
      <c r="L104">
        <v>-12.317445</v>
      </c>
      <c r="M104">
        <v>-76.822845</v>
      </c>
      <c r="N104">
        <f>HYPERLINK("https://www.google.com/maps/search/?api=1&amp;query=-12.317445,-76.822845","Punta Hermosa, Lima")</f>
      </c>
      <c r="O104" t="str">
        <v>Acelerado y giro brusco</v>
      </c>
      <c r="P104" t="str">
        <v/>
      </c>
      <c r="Q104">
        <v>2071.8</v>
      </c>
      <c r="R104" t="str">
        <v/>
      </c>
      <c r="S104">
        <v>7.5</v>
      </c>
      <c r="T104">
        <v>80.55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>
        <v>85</v>
      </c>
      <c r="AC104" t="str">
        <v>01/10/2026</v>
      </c>
      <c r="AD104" t="str">
        <v>07:15:19</v>
      </c>
      <c r="AE104">
        <f>IF("ONLINE"="NOGPS","GPS Antiguo","En línea")</f>
      </c>
      <c r="AF104">
        <f>IF(0=0,"Sin atender", IF(0=1,"Atendida","Atendida y Reportada"))</f>
      </c>
      <c r="AG104" t="str">
        <v/>
      </c>
      <c r="AH104" t="str">
        <v/>
      </c>
      <c r="AI104" t="str">
        <v/>
      </c>
      <c r="AJ104" t="str">
        <v/>
      </c>
      <c r="AK104" t="str">
        <v>01/10/2026 07:15:37</v>
      </c>
      <c r="AL104" t="str">
        <v>07:15:37</v>
      </c>
      <c r="AM104" t="str">
        <v/>
      </c>
    </row>
    <row r="105">
      <c r="A105">
        <v>104</v>
      </c>
      <c r="B105" t="str">
        <v>MASS BSF</v>
      </c>
      <c r="C105" t="str">
        <v>F8R-810</v>
      </c>
      <c r="D105" t="str">
        <v>F8R-810</v>
      </c>
      <c r="E105" t="str">
        <v/>
      </c>
      <c r="F105" t="str">
        <v>867806078868827</v>
      </c>
      <c r="G105" t="str">
        <v>TBD</v>
      </c>
      <c r="H105" t="str">
        <v/>
      </c>
      <c r="I105" t="str">
        <v/>
      </c>
      <c r="J105" t="str">
        <v>01/10/2026</v>
      </c>
      <c r="K105" t="str">
        <v>07:15:32</v>
      </c>
      <c r="L105">
        <v>-12.317837</v>
      </c>
      <c r="M105">
        <v>-76.822914</v>
      </c>
      <c r="N105">
        <f>HYPERLINK("https://www.google.com/maps/search/?api=1&amp;query=-12.317837,-76.822914","Punta Hermosa, Lima")</f>
      </c>
      <c r="O105" t="str">
        <v>Acelerado y giro brusco</v>
      </c>
      <c r="P105" t="str">
        <v/>
      </c>
      <c r="Q105">
        <v>2071.9</v>
      </c>
      <c r="R105" t="str">
        <v/>
      </c>
      <c r="S105">
        <v>14.2</v>
      </c>
      <c r="T105">
        <v>80.55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>
        <v>86</v>
      </c>
      <c r="AC105" t="str">
        <v>01/10/2026</v>
      </c>
      <c r="AD105" t="str">
        <v>07:15:32</v>
      </c>
      <c r="AE105">
        <f>IF("ONLINE"="NOGPS","GPS Antiguo","En línea")</f>
      </c>
      <c r="AF105">
        <f>IF(0=0,"Sin atender", IF(0=1,"Atendida","Atendida y Reportada"))</f>
      </c>
      <c r="AG105" t="str">
        <v/>
      </c>
      <c r="AH105" t="str">
        <v/>
      </c>
      <c r="AI105" t="str">
        <v/>
      </c>
      <c r="AJ105" t="str">
        <v/>
      </c>
      <c r="AK105" t="str">
        <v>01/10/2026 07:15:52</v>
      </c>
      <c r="AL105" t="str">
        <v>07:15:52</v>
      </c>
      <c r="AM105" t="str">
        <v/>
      </c>
    </row>
    <row r="106">
      <c r="A106">
        <v>105</v>
      </c>
      <c r="B106" t="str">
        <v>MASS BSF</v>
      </c>
      <c r="C106" t="str">
        <v>F8R-810</v>
      </c>
      <c r="D106" t="str">
        <v>F8R-810</v>
      </c>
      <c r="E106" t="str">
        <v/>
      </c>
      <c r="F106" t="str">
        <v>867806078868827</v>
      </c>
      <c r="G106" t="str">
        <v>TBD</v>
      </c>
      <c r="H106" t="str">
        <v/>
      </c>
      <c r="I106" t="str">
        <v/>
      </c>
      <c r="J106" t="str">
        <v>01/10/2026</v>
      </c>
      <c r="K106" t="str">
        <v>07:15:40</v>
      </c>
      <c r="L106">
        <v>-12.318085</v>
      </c>
      <c r="M106">
        <v>-76.823044</v>
      </c>
      <c r="N106">
        <f>HYPERLINK("https://www.google.com/maps/search/?api=1&amp;query=-12.318085,-76.823044","Punta Hermosa, Lima")</f>
      </c>
      <c r="O106" t="str">
        <v>Acelerado y giro brusco</v>
      </c>
      <c r="P106" t="str">
        <v/>
      </c>
      <c r="Q106">
        <v>2071.9</v>
      </c>
      <c r="R106" t="str">
        <v/>
      </c>
      <c r="S106">
        <v>15.3</v>
      </c>
      <c r="T106">
        <v>80.55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>
        <v>85</v>
      </c>
      <c r="AC106" t="str">
        <v>01/10/2026</v>
      </c>
      <c r="AD106" t="str">
        <v>07:15:40</v>
      </c>
      <c r="AE106">
        <f>IF("ONLINE"="NOGPS","GPS Antiguo","En línea")</f>
      </c>
      <c r="AF106">
        <f>IF(0=0,"Sin atender", IF(0=1,"Atendida","Atendida y Reportada"))</f>
      </c>
      <c r="AG106" t="str">
        <v/>
      </c>
      <c r="AH106" t="str">
        <v/>
      </c>
      <c r="AI106" t="str">
        <v/>
      </c>
      <c r="AJ106" t="str">
        <v/>
      </c>
      <c r="AK106" t="str">
        <v>01/10/2026 07:16:11</v>
      </c>
      <c r="AL106" t="str">
        <v>07:16:11</v>
      </c>
      <c r="AM106" t="str">
        <v/>
      </c>
    </row>
    <row r="107">
      <c r="A107">
        <v>106</v>
      </c>
      <c r="B107" t="str">
        <v>MASS BSF</v>
      </c>
      <c r="C107" t="str">
        <v>F8R-810</v>
      </c>
      <c r="D107" t="str">
        <v>F8R-810</v>
      </c>
      <c r="E107" t="str">
        <v/>
      </c>
      <c r="F107" t="str">
        <v>867806078868827</v>
      </c>
      <c r="G107" t="str">
        <v>TBD</v>
      </c>
      <c r="H107" t="str">
        <v/>
      </c>
      <c r="I107" t="str">
        <v/>
      </c>
      <c r="J107" t="str">
        <v>01/10/2026</v>
      </c>
      <c r="K107" t="str">
        <v>07:17:20</v>
      </c>
      <c r="L107">
        <v>-12.31758</v>
      </c>
      <c r="M107">
        <v>-76.82441</v>
      </c>
      <c r="N107">
        <f>HYPERLINK("https://www.google.com/maps/search/?api=1&amp;query=-12.31758,-76.82441","Punta Hermosa, Lima")</f>
      </c>
      <c r="O107" t="str">
        <v>Vehículo apagado</v>
      </c>
      <c r="P107" t="str">
        <v>Vehículo Apagado</v>
      </c>
      <c r="Q107">
        <v>2072.1</v>
      </c>
      <c r="R107" t="str">
        <v/>
      </c>
      <c r="S107">
        <v>0</v>
      </c>
      <c r="T107">
        <v>80.58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>
        <v>91</v>
      </c>
      <c r="AC107" t="str">
        <v>01/10/2026</v>
      </c>
      <c r="AD107" t="str">
        <v>07:17:20</v>
      </c>
      <c r="AE107">
        <f>IF("ONLINE"="NOGPS","GPS Antiguo","En línea")</f>
      </c>
      <c r="AF107">
        <f>IF(0=0,"Sin atender", IF(0=1,"Atendida","Atendida y Reportada"))</f>
      </c>
      <c r="AG107" t="str">
        <v/>
      </c>
      <c r="AH107" t="str">
        <v/>
      </c>
      <c r="AI107" t="str">
        <v/>
      </c>
      <c r="AJ107" t="str">
        <v/>
      </c>
      <c r="AK107" t="str">
        <v>01/10/2026 07:17:31</v>
      </c>
      <c r="AL107" t="str">
        <v>07:17:31</v>
      </c>
      <c r="AM107" t="str">
        <v/>
      </c>
    </row>
    <row r="108">
      <c r="A108">
        <v>107</v>
      </c>
      <c r="B108" t="str">
        <v>MASS BSF</v>
      </c>
      <c r="C108" t="str">
        <v>F8R-810</v>
      </c>
      <c r="D108" t="str">
        <v>F8R-810</v>
      </c>
      <c r="E108" t="str">
        <v/>
      </c>
      <c r="F108" t="str">
        <v>867806078868827</v>
      </c>
      <c r="G108" t="str">
        <v>TBD</v>
      </c>
      <c r="H108" t="str">
        <v/>
      </c>
      <c r="I108" t="str">
        <v/>
      </c>
      <c r="J108" t="str">
        <v>01/10/2026</v>
      </c>
      <c r="K108" t="str">
        <v>07:32:15</v>
      </c>
      <c r="L108">
        <v>-12.31758</v>
      </c>
      <c r="M108">
        <v>-76.82441</v>
      </c>
      <c r="N108">
        <f>HYPERLINK("https://www.google.com/maps/search/?api=1&amp;query=-12.31758,-76.82441","Punta Hermosa, Lima")</f>
      </c>
      <c r="O108" t="str">
        <v>Vehículo encendido</v>
      </c>
      <c r="P108" t="str">
        <v/>
      </c>
      <c r="Q108">
        <v>2072.1</v>
      </c>
      <c r="R108" t="str">
        <v/>
      </c>
      <c r="S108">
        <v>0</v>
      </c>
      <c r="T108">
        <v>80.58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>
        <v>100</v>
      </c>
      <c r="AC108" t="str">
        <v>01/10/2026</v>
      </c>
      <c r="AD108" t="str">
        <v>07:32:15</v>
      </c>
      <c r="AE108">
        <f>IF("ONLINE"="NOGPS","GPS Antiguo","En línea")</f>
      </c>
      <c r="AF108">
        <f>IF(0=0,"Sin atender", IF(0=1,"Atendida","Atendida y Reportada"))</f>
      </c>
      <c r="AG108" t="str">
        <v/>
      </c>
      <c r="AH108" t="str">
        <v/>
      </c>
      <c r="AI108" t="str">
        <v/>
      </c>
      <c r="AJ108" t="str">
        <v/>
      </c>
      <c r="AK108" t="str">
        <v>01/10/2026 07:32:33</v>
      </c>
      <c r="AL108" t="str">
        <v>07:32:33</v>
      </c>
      <c r="AM108" t="str">
        <v/>
      </c>
    </row>
    <row r="109">
      <c r="A109">
        <v>108</v>
      </c>
      <c r="B109" t="str">
        <v>MASS BSF</v>
      </c>
      <c r="C109" t="str">
        <v>F8R-810</v>
      </c>
      <c r="D109" t="str">
        <v>F8R-810</v>
      </c>
      <c r="E109" t="str">
        <v/>
      </c>
      <c r="F109" t="str">
        <v>867806078868827</v>
      </c>
      <c r="G109" t="str">
        <v>TBD</v>
      </c>
      <c r="H109" t="str">
        <v/>
      </c>
      <c r="I109" t="str">
        <v/>
      </c>
      <c r="J109" t="str">
        <v>01/10/2026</v>
      </c>
      <c r="K109" t="str">
        <v>07:32:48</v>
      </c>
      <c r="L109">
        <v>-12.317553</v>
      </c>
      <c r="M109">
        <v>-76.82454</v>
      </c>
      <c r="N109">
        <f>HYPERLINK("https://www.google.com/maps/search/?api=1&amp;query=-12.317553,-76.82454","Punta Hermosa, Lima")</f>
      </c>
      <c r="O109" t="str">
        <v>Se movio</v>
      </c>
      <c r="P109" t="str">
        <v/>
      </c>
      <c r="Q109">
        <v>2072.2</v>
      </c>
      <c r="R109" t="str">
        <v/>
      </c>
      <c r="S109">
        <v>0</v>
      </c>
      <c r="T109">
        <v>80.58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>
        <v>93</v>
      </c>
      <c r="AC109" t="str">
        <v>01/10/2026</v>
      </c>
      <c r="AD109" t="str">
        <v>07:32:47</v>
      </c>
      <c r="AE109">
        <f>IF("ONLINE"="NOGPS","GPS Antiguo","En línea")</f>
      </c>
      <c r="AF109">
        <f>IF(0=0,"Sin atender", IF(0=1,"Atendida","Atendida y Reportada"))</f>
      </c>
      <c r="AG109" t="str">
        <v/>
      </c>
      <c r="AH109" t="str">
        <v/>
      </c>
      <c r="AI109" t="str">
        <v/>
      </c>
      <c r="AJ109" t="str">
        <v/>
      </c>
      <c r="AK109" t="str">
        <v>01/10/2026 07:33:04</v>
      </c>
      <c r="AL109" t="str">
        <v>07:33:04</v>
      </c>
      <c r="AM109" t="str">
        <v/>
      </c>
    </row>
    <row r="110">
      <c r="A110">
        <v>109</v>
      </c>
      <c r="B110" t="str">
        <v>MASS BSF</v>
      </c>
      <c r="C110" t="str">
        <v>F8R-810</v>
      </c>
      <c r="D110" t="str">
        <v>F8R-810</v>
      </c>
      <c r="E110" t="str">
        <v/>
      </c>
      <c r="F110" t="str">
        <v>867806078868827</v>
      </c>
      <c r="G110" t="str">
        <v>TBD</v>
      </c>
      <c r="H110" t="str">
        <v/>
      </c>
      <c r="I110" t="str">
        <v/>
      </c>
      <c r="J110" t="str">
        <v>01/10/2026</v>
      </c>
      <c r="K110" t="str">
        <v>07:35:17</v>
      </c>
      <c r="L110">
        <v>-12.317523</v>
      </c>
      <c r="M110">
        <v>-76.824425</v>
      </c>
      <c r="N110">
        <f>HYPERLINK("https://www.google.com/maps/search/?api=1&amp;query=-12.317523,-76.824425","Punta Hermosa, Lima")</f>
      </c>
      <c r="O110" t="str">
        <v>Vehículo apagado</v>
      </c>
      <c r="P110" t="str">
        <v>Vehículo Apagado</v>
      </c>
      <c r="Q110">
        <v>2072.2</v>
      </c>
      <c r="R110" t="str">
        <v/>
      </c>
      <c r="S110">
        <v>0</v>
      </c>
      <c r="T110">
        <v>80.63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>
        <v>83</v>
      </c>
      <c r="AC110" t="str">
        <v>01/10/2026</v>
      </c>
      <c r="AD110" t="str">
        <v>07:35:17</v>
      </c>
      <c r="AE110">
        <f>IF("ONLINE"="NOGPS","GPS Antiguo","En línea")</f>
      </c>
      <c r="AF110">
        <f>IF(0=0,"Sin atender", IF(0=1,"Atendida","Atendida y Reportada"))</f>
      </c>
      <c r="AG110" t="str">
        <v/>
      </c>
      <c r="AH110" t="str">
        <v/>
      </c>
      <c r="AI110" t="str">
        <v/>
      </c>
      <c r="AJ110" t="str">
        <v/>
      </c>
      <c r="AK110" t="str">
        <v>01/10/2026 07:35:33</v>
      </c>
      <c r="AL110" t="str">
        <v>07:35:33</v>
      </c>
      <c r="AM110" t="str">
        <v/>
      </c>
    </row>
    <row r="111">
      <c r="A111">
        <v>110</v>
      </c>
      <c r="B111" t="str">
        <v>MASS BSF</v>
      </c>
      <c r="C111" t="str">
        <v>F8R-810</v>
      </c>
      <c r="D111" t="str">
        <v>F8R-810</v>
      </c>
      <c r="E111" t="str">
        <v/>
      </c>
      <c r="F111" t="str">
        <v>867806078868827</v>
      </c>
      <c r="G111" t="str">
        <v>TBD</v>
      </c>
      <c r="H111" t="str">
        <v/>
      </c>
      <c r="I111" t="str">
        <v/>
      </c>
      <c r="J111" t="str">
        <v>01/10/2026</v>
      </c>
      <c r="K111" t="str">
        <v>07:53:08</v>
      </c>
      <c r="L111">
        <v>-12.317523</v>
      </c>
      <c r="M111">
        <v>-76.824425</v>
      </c>
      <c r="N111">
        <f>HYPERLINK("https://www.google.com/maps/search/?api=1&amp;query=-12.317523,-76.824425","Punta Hermosa, Lima")</f>
      </c>
      <c r="O111" t="str">
        <v>Vehículo encendido</v>
      </c>
      <c r="P111" t="str">
        <v/>
      </c>
      <c r="Q111">
        <v>2072.2</v>
      </c>
      <c r="R111" t="str">
        <v/>
      </c>
      <c r="S111">
        <v>0</v>
      </c>
      <c r="T111">
        <v>80.63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>
        <v>83</v>
      </c>
      <c r="AC111" t="str">
        <v>01/10/2026</v>
      </c>
      <c r="AD111" t="str">
        <v>07:53:08</v>
      </c>
      <c r="AE111">
        <f>IF("ONLINE"="NOGPS","GPS Antiguo","En línea")</f>
      </c>
      <c r="AF111">
        <f>IF(0=0,"Sin atender", IF(0=1,"Atendida","Atendida y Reportada"))</f>
      </c>
      <c r="AG111" t="str">
        <v/>
      </c>
      <c r="AH111" t="str">
        <v/>
      </c>
      <c r="AI111" t="str">
        <v/>
      </c>
      <c r="AJ111" t="str">
        <v/>
      </c>
      <c r="AK111" t="str">
        <v>01/10/2026 07:53:22</v>
      </c>
      <c r="AL111" t="str">
        <v>07:53:22</v>
      </c>
      <c r="AM111" t="str">
        <v/>
      </c>
    </row>
    <row r="112">
      <c r="A112">
        <v>111</v>
      </c>
      <c r="B112" t="str">
        <v>MASS BSF</v>
      </c>
      <c r="C112" t="str">
        <v>F8R-810</v>
      </c>
      <c r="D112" t="str">
        <v>F8R-810</v>
      </c>
      <c r="E112" t="str">
        <v/>
      </c>
      <c r="F112" t="str">
        <v>867806078868827</v>
      </c>
      <c r="G112" t="str">
        <v>TBD</v>
      </c>
      <c r="H112" t="str">
        <v/>
      </c>
      <c r="I112" t="str">
        <v/>
      </c>
      <c r="J112" t="str">
        <v>01/10/2026</v>
      </c>
      <c r="K112" t="str">
        <v>07:53:35</v>
      </c>
      <c r="L112">
        <v>-12.317612</v>
      </c>
      <c r="M112">
        <v>-76.82434</v>
      </c>
      <c r="N112">
        <f>HYPERLINK("https://www.google.com/maps/search/?api=1&amp;query=-12.317612,-76.82434","Punta Hermosa, Lima")</f>
      </c>
      <c r="O112" t="str">
        <v>Aceleración brusca</v>
      </c>
      <c r="P112" t="str">
        <v>CMT-910</v>
      </c>
      <c r="Q112">
        <v>2072.2</v>
      </c>
      <c r="R112" t="str">
        <v/>
      </c>
      <c r="S112">
        <v>3.8</v>
      </c>
      <c r="T112">
        <v>80.63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>
        <v>83</v>
      </c>
      <c r="AC112" t="str">
        <v>01/10/2026</v>
      </c>
      <c r="AD112" t="str">
        <v>07:53:35</v>
      </c>
      <c r="AE112">
        <f>IF("ONLINE"="NOGPS","GPS Antiguo","En línea")</f>
      </c>
      <c r="AF112">
        <f>IF(0=0,"Sin atender", IF(0=1,"Atendida","Atendida y Reportada"))</f>
      </c>
      <c r="AG112" t="str">
        <v/>
      </c>
      <c r="AH112" t="str">
        <v/>
      </c>
      <c r="AI112" t="str">
        <v/>
      </c>
      <c r="AJ112" t="str">
        <v/>
      </c>
      <c r="AK112" t="str">
        <v>01/10/2026 07:53:54</v>
      </c>
      <c r="AL112" t="str">
        <v>07:53:54</v>
      </c>
      <c r="AM112" t="str">
        <v/>
      </c>
    </row>
    <row r="113">
      <c r="A113">
        <v>112</v>
      </c>
      <c r="B113" t="str">
        <v>MASS BSF</v>
      </c>
      <c r="C113" t="str">
        <v>F8R-810</v>
      </c>
      <c r="D113" t="str">
        <v>F8R-810</v>
      </c>
      <c r="E113" t="str">
        <v/>
      </c>
      <c r="F113" t="str">
        <v>867806078868827</v>
      </c>
      <c r="G113" t="str">
        <v>TBD</v>
      </c>
      <c r="H113" t="str">
        <v/>
      </c>
      <c r="I113" t="str">
        <v/>
      </c>
      <c r="J113" t="str">
        <v>01/10/2026</v>
      </c>
      <c r="K113" t="str">
        <v>07:53:56</v>
      </c>
      <c r="L113">
        <v>-12.31765</v>
      </c>
      <c r="M113">
        <v>-76.82436</v>
      </c>
      <c r="N113">
        <f>HYPERLINK("https://www.google.com/maps/search/?api=1&amp;query=-12.31765,-76.82436","Punta Hermosa, Lima")</f>
      </c>
      <c r="O113" t="str">
        <v>Se movio</v>
      </c>
      <c r="P113" t="str">
        <v/>
      </c>
      <c r="Q113">
        <v>2072.2</v>
      </c>
      <c r="R113" t="str">
        <v/>
      </c>
      <c r="S113">
        <v>2.9</v>
      </c>
      <c r="T113">
        <v>80.63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>
        <v>83</v>
      </c>
      <c r="AC113" t="str">
        <v>01/10/2026</v>
      </c>
      <c r="AD113" t="str">
        <v>07:53:56</v>
      </c>
      <c r="AE113">
        <f>IF("ONLINE"="NOGPS","GPS Antiguo","En línea")</f>
      </c>
      <c r="AF113">
        <f>IF(0=0,"Sin atender", IF(0=1,"Atendida","Atendida y Reportada"))</f>
      </c>
      <c r="AG113" t="str">
        <v/>
      </c>
      <c r="AH113" t="str">
        <v/>
      </c>
      <c r="AI113" t="str">
        <v/>
      </c>
      <c r="AJ113" t="str">
        <v/>
      </c>
      <c r="AK113" t="str">
        <v>01/10/2026 07:54:16</v>
      </c>
      <c r="AL113" t="str">
        <v>07:54:16</v>
      </c>
      <c r="AM113" t="str">
        <v/>
      </c>
    </row>
    <row r="114">
      <c r="A114">
        <v>113</v>
      </c>
      <c r="B114" t="str">
        <v>MASS BSF</v>
      </c>
      <c r="C114" t="str">
        <v>F8R-810</v>
      </c>
      <c r="D114" t="str">
        <v>F8R-810</v>
      </c>
      <c r="E114" t="str">
        <v/>
      </c>
      <c r="F114" t="str">
        <v>867806078868827</v>
      </c>
      <c r="G114" t="str">
        <v>TBD</v>
      </c>
      <c r="H114" t="str">
        <v/>
      </c>
      <c r="I114" t="str">
        <v/>
      </c>
      <c r="J114" t="str">
        <v>01/10/2026</v>
      </c>
      <c r="K114" t="str">
        <v>07:54:06</v>
      </c>
      <c r="L114">
        <v>-12.317628</v>
      </c>
      <c r="M114">
        <v>-76.82434</v>
      </c>
      <c r="N114">
        <f>HYPERLINK("https://www.google.com/maps/search/?api=1&amp;query=-12.317628,-76.82434","Punta Hermosa, Lima")</f>
      </c>
      <c r="O114" t="str">
        <v>Acelerado y giro brusco</v>
      </c>
      <c r="P114" t="str">
        <v/>
      </c>
      <c r="Q114">
        <v>2072.2</v>
      </c>
      <c r="R114" t="str">
        <v/>
      </c>
      <c r="S114">
        <v>0</v>
      </c>
      <c r="T114">
        <v>80.63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>
        <v>83</v>
      </c>
      <c r="AC114" t="str">
        <v>01/10/2026</v>
      </c>
      <c r="AD114" t="str">
        <v>07:54:06</v>
      </c>
      <c r="AE114">
        <f>IF("ONLINE"="NOGPS","GPS Antiguo","En línea")</f>
      </c>
      <c r="AF114">
        <f>IF(0=0,"Sin atender", IF(0=1,"Atendida","Atendida y Reportada"))</f>
      </c>
      <c r="AG114" t="str">
        <v/>
      </c>
      <c r="AH114" t="str">
        <v/>
      </c>
      <c r="AI114" t="str">
        <v/>
      </c>
      <c r="AJ114" t="str">
        <v/>
      </c>
      <c r="AK114" t="str">
        <v>01/10/2026 07:54:16</v>
      </c>
      <c r="AL114" t="str">
        <v>07:54:16</v>
      </c>
      <c r="AM114" t="str">
        <v/>
      </c>
    </row>
    <row r="115">
      <c r="A115">
        <v>114</v>
      </c>
      <c r="B115" t="str">
        <v>MASS BSF</v>
      </c>
      <c r="C115" t="str">
        <v>F8R-810</v>
      </c>
      <c r="D115" t="str">
        <v>F8R-810</v>
      </c>
      <c r="E115" t="str">
        <v/>
      </c>
      <c r="F115" t="str">
        <v>867806078868827</v>
      </c>
      <c r="G115" t="str">
        <v>TBD</v>
      </c>
      <c r="H115" t="str">
        <v/>
      </c>
      <c r="I115" t="str">
        <v/>
      </c>
      <c r="J115" t="str">
        <v>01/10/2026</v>
      </c>
      <c r="K115" t="str">
        <v>07:54:17</v>
      </c>
      <c r="L115">
        <v>-12.317628</v>
      </c>
      <c r="M115">
        <v>-76.82434</v>
      </c>
      <c r="N115">
        <f>HYPERLINK("https://www.google.com/maps/search/?api=1&amp;query=-12.317628,-76.82434","Punta Hermosa, Lima")</f>
      </c>
      <c r="O115" t="str">
        <v>Vehículo apagado</v>
      </c>
      <c r="P115" t="str">
        <v>Vehículo Apagado</v>
      </c>
      <c r="Q115">
        <v>2072.2</v>
      </c>
      <c r="R115" t="str">
        <v/>
      </c>
      <c r="S115">
        <v>0</v>
      </c>
      <c r="T115">
        <v>80.65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>
        <v>83</v>
      </c>
      <c r="AC115" t="str">
        <v>01/10/2026</v>
      </c>
      <c r="AD115" t="str">
        <v>07:54:16</v>
      </c>
      <c r="AE115">
        <f>IF("ONLINE"="NOGPS","GPS Antiguo","En línea")</f>
      </c>
      <c r="AF115">
        <f>IF(0=0,"Sin atender", IF(0=1,"Atendida","Atendida y Reportada"))</f>
      </c>
      <c r="AG115" t="str">
        <v/>
      </c>
      <c r="AH115" t="str">
        <v/>
      </c>
      <c r="AI115" t="str">
        <v/>
      </c>
      <c r="AJ115" t="str">
        <v/>
      </c>
      <c r="AK115" t="str">
        <v>01/10/2026 07:54:29</v>
      </c>
      <c r="AL115" t="str">
        <v>07:54:29</v>
      </c>
      <c r="AM115" t="str">
        <v/>
      </c>
    </row>
    <row r="116">
      <c r="A116">
        <v>115</v>
      </c>
      <c r="B116" t="str">
        <v>MASS BSF</v>
      </c>
      <c r="C116" t="str">
        <v>F8R-810</v>
      </c>
      <c r="D116" t="str">
        <v>F8R-810</v>
      </c>
      <c r="E116" t="str">
        <v/>
      </c>
      <c r="F116" t="str">
        <v>867806078868827</v>
      </c>
      <c r="G116" t="str">
        <v>TBD</v>
      </c>
      <c r="H116" t="str">
        <v/>
      </c>
      <c r="I116" t="str">
        <v/>
      </c>
      <c r="J116" t="str">
        <v>01/10/2026</v>
      </c>
      <c r="K116" t="str">
        <v>07:57:35</v>
      </c>
      <c r="L116">
        <v>-12.317628</v>
      </c>
      <c r="M116">
        <v>-76.82434</v>
      </c>
      <c r="N116">
        <f>HYPERLINK("https://www.google.com/maps/search/?api=1&amp;query=-12.317628,-76.82434","Punta Hermosa, Lima")</f>
      </c>
      <c r="O116" t="str">
        <v>Inicio de ralentí</v>
      </c>
      <c r="P116" t="str">
        <v>Vehículo Detenido</v>
      </c>
      <c r="Q116">
        <v>2072.2</v>
      </c>
      <c r="R116" t="str">
        <v/>
      </c>
      <c r="S116">
        <v>0</v>
      </c>
      <c r="T116">
        <v>80.65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>
        <v>83</v>
      </c>
      <c r="AC116" t="str">
        <v>01/10/2026</v>
      </c>
      <c r="AD116" t="str">
        <v>07:57:34</v>
      </c>
      <c r="AE116">
        <f>IF("ONLINE"="NOGPS","GPS Antiguo","En línea")</f>
      </c>
      <c r="AF116">
        <f>IF(0=0,"Sin atender", IF(0=1,"Atendida","Atendida y Reportada"))</f>
      </c>
      <c r="AG116" t="str">
        <v/>
      </c>
      <c r="AH116" t="str">
        <v/>
      </c>
      <c r="AI116" t="str">
        <v/>
      </c>
      <c r="AJ116" t="str">
        <v/>
      </c>
      <c r="AK116" t="str">
        <v>01/10/2026 07:57:42</v>
      </c>
      <c r="AL116" t="str">
        <v>07:57:42</v>
      </c>
      <c r="AM116" t="str">
        <v/>
      </c>
    </row>
    <row r="117">
      <c r="A117">
        <v>116</v>
      </c>
      <c r="B117" t="str">
        <v>MASS BSF</v>
      </c>
      <c r="C117" t="str">
        <v>F8R-810</v>
      </c>
      <c r="D117" t="str">
        <v>F8R-810</v>
      </c>
      <c r="E117" t="str">
        <v/>
      </c>
      <c r="F117" t="str">
        <v>867806078868827</v>
      </c>
      <c r="G117" t="str">
        <v>TBD</v>
      </c>
      <c r="H117" t="str">
        <v/>
      </c>
      <c r="I117" t="str">
        <v/>
      </c>
      <c r="J117" t="str">
        <v>01/10/2026</v>
      </c>
      <c r="K117" t="str">
        <v>08:01:36</v>
      </c>
      <c r="L117">
        <v>-12.317628</v>
      </c>
      <c r="M117">
        <v>-76.82434</v>
      </c>
      <c r="N117">
        <f>HYPERLINK("https://www.google.com/maps/search/?api=1&amp;query=-12.317628,-76.82434","Punta Hermosa, Lima")</f>
      </c>
      <c r="O117" t="str">
        <v>Vehículo encendido</v>
      </c>
      <c r="P117" t="str">
        <v/>
      </c>
      <c r="Q117">
        <v>2072.2</v>
      </c>
      <c r="R117" t="str">
        <v/>
      </c>
      <c r="S117">
        <v>0</v>
      </c>
      <c r="T117">
        <v>80.65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>
        <v>83</v>
      </c>
      <c r="AC117" t="str">
        <v>01/10/2026</v>
      </c>
      <c r="AD117" t="str">
        <v>08:01:36</v>
      </c>
      <c r="AE117">
        <f>IF("ONLINE"="NOGPS","GPS Antiguo","En línea")</f>
      </c>
      <c r="AF117">
        <f>IF(0=0,"Sin atender", IF(0=1,"Atendida","Atendida y Reportada"))</f>
      </c>
      <c r="AG117" t="str">
        <v/>
      </c>
      <c r="AH117" t="str">
        <v/>
      </c>
      <c r="AI117" t="str">
        <v/>
      </c>
      <c r="AJ117" t="str">
        <v/>
      </c>
      <c r="AK117" t="str">
        <v>01/10/2026 08:01:49</v>
      </c>
      <c r="AL117" t="str">
        <v>08:01:49</v>
      </c>
      <c r="AM117" t="str">
        <v/>
      </c>
    </row>
    <row r="118">
      <c r="A118">
        <v>117</v>
      </c>
      <c r="B118" t="str">
        <v>MASS BSF</v>
      </c>
      <c r="C118" t="str">
        <v>F8R-810</v>
      </c>
      <c r="D118" t="str">
        <v>F8R-810</v>
      </c>
      <c r="E118" t="str">
        <v/>
      </c>
      <c r="F118" t="str">
        <v>867806078868827</v>
      </c>
      <c r="G118" t="str">
        <v>TBD</v>
      </c>
      <c r="H118" t="str">
        <v/>
      </c>
      <c r="I118" t="str">
        <v/>
      </c>
      <c r="J118" t="str">
        <v>01/10/2026</v>
      </c>
      <c r="K118" t="str">
        <v>08:04:02</v>
      </c>
      <c r="L118">
        <v>-12.317779</v>
      </c>
      <c r="M118">
        <v>-76.824265</v>
      </c>
      <c r="N118">
        <f>HYPERLINK("https://www.google.com/maps/search/?api=1&amp;query=-12.317779,-76.824265","Punta Hermosa, Lima")</f>
      </c>
      <c r="O118" t="str">
        <v>Fin de ralentí</v>
      </c>
      <c r="P118" t="str">
        <v/>
      </c>
      <c r="Q118">
        <v>2072.2</v>
      </c>
      <c r="R118" t="str">
        <v/>
      </c>
      <c r="S118">
        <v>5.7</v>
      </c>
      <c r="T118">
        <v>80.65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>
        <v>85</v>
      </c>
      <c r="AC118" t="str">
        <v>01/10/2026</v>
      </c>
      <c r="AD118" t="str">
        <v>08:04:02</v>
      </c>
      <c r="AE118">
        <f>IF("ONLINE"="NOGPS","GPS Antiguo","En línea")</f>
      </c>
      <c r="AF118">
        <f>IF(0=0,"Sin atender", IF(0=1,"Atendida","Atendida y Reportada"))</f>
      </c>
      <c r="AG118" t="str">
        <v/>
      </c>
      <c r="AH118" t="str">
        <v/>
      </c>
      <c r="AI118" t="str">
        <v/>
      </c>
      <c r="AJ118" t="str">
        <v/>
      </c>
      <c r="AK118" t="str">
        <v>01/10/2026 08:04:09</v>
      </c>
      <c r="AL118" t="str">
        <v>08:04:09</v>
      </c>
      <c r="AM118" t="str">
        <v/>
      </c>
    </row>
    <row r="119">
      <c r="A119">
        <v>118</v>
      </c>
      <c r="B119" t="str">
        <v>MASS BSF</v>
      </c>
      <c r="C119" t="str">
        <v>F8R-810</v>
      </c>
      <c r="D119" t="str">
        <v>F8R-810</v>
      </c>
      <c r="E119" t="str">
        <v/>
      </c>
      <c r="F119" t="str">
        <v>867806078868827</v>
      </c>
      <c r="G119" t="str">
        <v>TBD</v>
      </c>
      <c r="H119" t="str">
        <v/>
      </c>
      <c r="I119" t="str">
        <v/>
      </c>
      <c r="J119" t="str">
        <v>01/10/2026</v>
      </c>
      <c r="K119" t="str">
        <v>08:06:10</v>
      </c>
      <c r="L119">
        <v>-12.317754</v>
      </c>
      <c r="M119">
        <v>-76.82424</v>
      </c>
      <c r="N119">
        <f>HYPERLINK("https://www.google.com/maps/search/?api=1&amp;query=-12.317754,-76.82424","Punta Hermosa, Lima")</f>
      </c>
      <c r="O119" t="str">
        <v>Vehículo apagado</v>
      </c>
      <c r="P119" t="str">
        <v>Vehículo Apagado</v>
      </c>
      <c r="Q119">
        <v>2072.2</v>
      </c>
      <c r="R119" t="str">
        <v/>
      </c>
      <c r="S119">
        <v>0</v>
      </c>
      <c r="T119">
        <v>80.73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>
        <v>85</v>
      </c>
      <c r="AC119" t="str">
        <v>01/10/2026</v>
      </c>
      <c r="AD119" t="str">
        <v>08:06:10</v>
      </c>
      <c r="AE119">
        <f>IF("ONLINE"="NOGPS","GPS Antiguo","En línea")</f>
      </c>
      <c r="AF119">
        <f>IF(0=0,"Sin atender", IF(0=1,"Atendida","Atendida y Reportada"))</f>
      </c>
      <c r="AG119" t="str">
        <v/>
      </c>
      <c r="AH119" t="str">
        <v/>
      </c>
      <c r="AI119" t="str">
        <v/>
      </c>
      <c r="AJ119" t="str">
        <v/>
      </c>
      <c r="AK119" t="str">
        <v>01/10/2026 08:06:17</v>
      </c>
      <c r="AL119" t="str">
        <v>08:06:17</v>
      </c>
      <c r="AM119" t="str">
        <v/>
      </c>
    </row>
    <row r="120">
      <c r="A120">
        <v>119</v>
      </c>
      <c r="B120" t="str">
        <v>MASS BSF</v>
      </c>
      <c r="C120" t="str">
        <v>F8R-810</v>
      </c>
      <c r="D120" t="str">
        <v>F8R-810</v>
      </c>
      <c r="E120" t="str">
        <v/>
      </c>
      <c r="F120" t="str">
        <v>867806078868827</v>
      </c>
      <c r="G120" t="str">
        <v>TBD</v>
      </c>
      <c r="H120" t="str">
        <v/>
      </c>
      <c r="I120" t="str">
        <v/>
      </c>
      <c r="J120" t="str">
        <v>01/10/2026</v>
      </c>
      <c r="K120" t="str">
        <v>08:43:31</v>
      </c>
      <c r="L120">
        <v>-12.31775</v>
      </c>
      <c r="M120">
        <v>-76.82424</v>
      </c>
      <c r="N120">
        <f>HYPERLINK("https://www.google.com/maps/search/?api=1&amp;query=-12.31775,-76.82424","Punta Hermosa, Lima")</f>
      </c>
      <c r="O120" t="str">
        <v>Vehículo encendido</v>
      </c>
      <c r="P120" t="str">
        <v/>
      </c>
      <c r="Q120">
        <v>2072.2</v>
      </c>
      <c r="R120" t="str">
        <v/>
      </c>
      <c r="S120">
        <v>0</v>
      </c>
      <c r="T120">
        <v>80.73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>
        <v>85</v>
      </c>
      <c r="AC120" t="str">
        <v>01/10/2026</v>
      </c>
      <c r="AD120" t="str">
        <v>08:43:30</v>
      </c>
      <c r="AE120">
        <f>IF("ONLINE"="NOGPS","GPS Antiguo","En línea")</f>
      </c>
      <c r="AF120">
        <f>IF(0=0,"Sin atender", IF(0=1,"Atendida","Atendida y Reportada"))</f>
      </c>
      <c r="AG120" t="str">
        <v/>
      </c>
      <c r="AH120" t="str">
        <v/>
      </c>
      <c r="AI120" t="str">
        <v/>
      </c>
      <c r="AJ120" t="str">
        <v/>
      </c>
      <c r="AK120" t="str">
        <v>01/10/2026 08:43:52</v>
      </c>
      <c r="AL120" t="str">
        <v>08:43:52</v>
      </c>
      <c r="AM120" t="str">
        <v/>
      </c>
    </row>
    <row r="121">
      <c r="A121">
        <v>120</v>
      </c>
      <c r="B121" t="str">
        <v>MASS BSF</v>
      </c>
      <c r="C121" t="str">
        <v>F8R-810</v>
      </c>
      <c r="D121" t="str">
        <v>F8R-810</v>
      </c>
      <c r="E121" t="str">
        <v/>
      </c>
      <c r="F121" t="str">
        <v>867806078868827</v>
      </c>
      <c r="G121" t="str">
        <v>TBD</v>
      </c>
      <c r="H121" t="str">
        <v/>
      </c>
      <c r="I121" t="str">
        <v/>
      </c>
      <c r="J121" t="str">
        <v>01/10/2026</v>
      </c>
      <c r="K121" t="str">
        <v>08:44:12</v>
      </c>
      <c r="L121">
        <v>-12.31775</v>
      </c>
      <c r="M121">
        <v>-76.82424</v>
      </c>
      <c r="N121">
        <f>HYPERLINK("https://www.google.com/maps/search/?api=1&amp;query=-12.31775,-76.82424","Punta Hermosa, Lima")</f>
      </c>
      <c r="O121" t="str">
        <v>Aceleración brusca</v>
      </c>
      <c r="P121" t="str">
        <v>CMT-910</v>
      </c>
      <c r="Q121">
        <v>2072.2</v>
      </c>
      <c r="R121" t="str">
        <v/>
      </c>
      <c r="S121">
        <v>0</v>
      </c>
      <c r="T121">
        <v>80.73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>
        <v>85</v>
      </c>
      <c r="AC121" t="str">
        <v>01/10/2026</v>
      </c>
      <c r="AD121" t="str">
        <v>08:44:11</v>
      </c>
      <c r="AE121">
        <f>IF("ONLINE"="NOGPS","GPS Antiguo","En línea")</f>
      </c>
      <c r="AF121">
        <f>IF(0=0,"Sin atender", IF(0=1,"Atendida","Atendida y Reportada"))</f>
      </c>
      <c r="AG121" t="str">
        <v/>
      </c>
      <c r="AH121" t="str">
        <v/>
      </c>
      <c r="AI121" t="str">
        <v/>
      </c>
      <c r="AJ121" t="str">
        <v/>
      </c>
      <c r="AK121" t="str">
        <v>01/10/2026 08:44:23</v>
      </c>
      <c r="AL121" t="str">
        <v>08:44:23</v>
      </c>
      <c r="AM121" t="str">
        <v/>
      </c>
    </row>
    <row r="122">
      <c r="A122">
        <v>121</v>
      </c>
      <c r="B122" t="str">
        <v>MASS BSF</v>
      </c>
      <c r="C122" t="str">
        <v>F8R-810</v>
      </c>
      <c r="D122" t="str">
        <v>F8R-810</v>
      </c>
      <c r="E122" t="str">
        <v/>
      </c>
      <c r="F122" t="str">
        <v>867806078868827</v>
      </c>
      <c r="G122" t="str">
        <v>TBD</v>
      </c>
      <c r="H122" t="str">
        <v/>
      </c>
      <c r="I122" t="str">
        <v/>
      </c>
      <c r="J122" t="str">
        <v>01/10/2026</v>
      </c>
      <c r="K122" t="str">
        <v>08:45:31</v>
      </c>
      <c r="L122">
        <v>-12.31775</v>
      </c>
      <c r="M122">
        <v>-76.82424</v>
      </c>
      <c r="N122">
        <f>HYPERLINK("https://www.google.com/maps/search/?api=1&amp;query=-12.31775,-76.82424","Punta Hermosa, Lima")</f>
      </c>
      <c r="O122" t="str">
        <v>Aceleración brusca</v>
      </c>
      <c r="P122" t="str">
        <v>CMT-910</v>
      </c>
      <c r="Q122">
        <v>2072.2</v>
      </c>
      <c r="R122" t="str">
        <v/>
      </c>
      <c r="S122">
        <v>0</v>
      </c>
      <c r="T122">
        <v>80.73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>
        <v>85</v>
      </c>
      <c r="AC122" t="str">
        <v>01/10/2026</v>
      </c>
      <c r="AD122" t="str">
        <v>08:45:31</v>
      </c>
      <c r="AE122">
        <f>IF("ONLINE"="NOGPS","GPS Antiguo","En línea")</f>
      </c>
      <c r="AF122">
        <f>IF(0=0,"Sin atender", IF(0=1,"Atendida","Atendida y Reportada"))</f>
      </c>
      <c r="AG122" t="str">
        <v/>
      </c>
      <c r="AH122" t="str">
        <v/>
      </c>
      <c r="AI122" t="str">
        <v/>
      </c>
      <c r="AJ122" t="str">
        <v/>
      </c>
      <c r="AK122" t="str">
        <v>01/10/2026 08:45:52</v>
      </c>
      <c r="AL122" t="str">
        <v>08:45:52</v>
      </c>
      <c r="AM122" t="str">
        <v/>
      </c>
    </row>
    <row r="123">
      <c r="A123">
        <v>122</v>
      </c>
      <c r="B123" t="str">
        <v>MASS BSF</v>
      </c>
      <c r="C123" t="str">
        <v>F8R-810</v>
      </c>
      <c r="D123" t="str">
        <v>F8R-810</v>
      </c>
      <c r="E123" t="str">
        <v/>
      </c>
      <c r="F123" t="str">
        <v>867806078868827</v>
      </c>
      <c r="G123" t="str">
        <v>TBD</v>
      </c>
      <c r="H123" t="str">
        <v/>
      </c>
      <c r="I123" t="str">
        <v/>
      </c>
      <c r="J123" t="str">
        <v>01/10/2026</v>
      </c>
      <c r="K123" t="str">
        <v>08:46:40</v>
      </c>
      <c r="L123">
        <v>-12.31775</v>
      </c>
      <c r="M123">
        <v>-76.82424</v>
      </c>
      <c r="N123">
        <f>HYPERLINK("https://www.google.com/maps/search/?api=1&amp;query=-12.31775,-76.82424","Punta Hermosa, Lima")</f>
      </c>
      <c r="O123" t="str">
        <v>Inicio de ralentí</v>
      </c>
      <c r="P123" t="str">
        <v>Vehículo Detenido</v>
      </c>
      <c r="Q123">
        <v>2072.2</v>
      </c>
      <c r="R123" t="str">
        <v/>
      </c>
      <c r="S123">
        <v>0</v>
      </c>
      <c r="T123">
        <v>80.73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>
        <v>85</v>
      </c>
      <c r="AC123" t="str">
        <v>01/10/2026</v>
      </c>
      <c r="AD123" t="str">
        <v>08:46:39</v>
      </c>
      <c r="AE123">
        <f>IF("ONLINE"="NOGPS","GPS Antiguo","En línea")</f>
      </c>
      <c r="AF123">
        <f>IF(0=0,"Sin atender", IF(0=1,"Atendida","Atendida y Reportada"))</f>
      </c>
      <c r="AG123" t="str">
        <v/>
      </c>
      <c r="AH123" t="str">
        <v/>
      </c>
      <c r="AI123" t="str">
        <v/>
      </c>
      <c r="AJ123" t="str">
        <v/>
      </c>
      <c r="AK123" t="str">
        <v>01/10/2026 08:46:57</v>
      </c>
      <c r="AL123" t="str">
        <v>08:46:57</v>
      </c>
      <c r="AM123" t="str">
        <v/>
      </c>
    </row>
    <row r="124">
      <c r="A124">
        <v>123</v>
      </c>
      <c r="B124" t="str">
        <v>MASS BSF</v>
      </c>
      <c r="C124" t="str">
        <v>F8R-810</v>
      </c>
      <c r="D124" t="str">
        <v>F8R-810</v>
      </c>
      <c r="E124" t="str">
        <v/>
      </c>
      <c r="F124" t="str">
        <v>867806078868827</v>
      </c>
      <c r="G124" t="str">
        <v>TBD</v>
      </c>
      <c r="H124" t="str">
        <v/>
      </c>
      <c r="I124" t="str">
        <v/>
      </c>
      <c r="J124" t="str">
        <v>01/10/2026</v>
      </c>
      <c r="K124" t="str">
        <v>08:47:14</v>
      </c>
      <c r="L124">
        <v>-12.317785</v>
      </c>
      <c r="M124">
        <v>-76.82431</v>
      </c>
      <c r="N124">
        <f>HYPERLINK("https://www.google.com/maps/search/?api=1&amp;query=-12.317785,-76.82431","Punta Hermosa, Lima")</f>
      </c>
      <c r="O124" t="str">
        <v>Fin de ralentí</v>
      </c>
      <c r="P124" t="str">
        <v/>
      </c>
      <c r="Q124">
        <v>2072.2</v>
      </c>
      <c r="R124" t="str">
        <v/>
      </c>
      <c r="S124">
        <v>7.5</v>
      </c>
      <c r="T124">
        <v>80.73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>
        <v>86</v>
      </c>
      <c r="AC124" t="str">
        <v>01/10/2026</v>
      </c>
      <c r="AD124" t="str">
        <v>08:47:14</v>
      </c>
      <c r="AE124">
        <f>IF("ONLINE"="NOGPS","GPS Antiguo","En línea")</f>
      </c>
      <c r="AF124">
        <f>IF(0=0,"Sin atender", IF(0=1,"Atendida","Atendida y Reportada"))</f>
      </c>
      <c r="AG124" t="str">
        <v/>
      </c>
      <c r="AH124" t="str">
        <v/>
      </c>
      <c r="AI124" t="str">
        <v/>
      </c>
      <c r="AJ124" t="str">
        <v/>
      </c>
      <c r="AK124" t="str">
        <v>01/10/2026 08:47:32</v>
      </c>
      <c r="AL124" t="str">
        <v>08:47:32</v>
      </c>
      <c r="AM124" t="str">
        <v/>
      </c>
    </row>
    <row r="125">
      <c r="A125">
        <v>124</v>
      </c>
      <c r="B125" t="str">
        <v>MASS BSF</v>
      </c>
      <c r="C125" t="str">
        <v>F8R-810</v>
      </c>
      <c r="D125" t="str">
        <v>F8R-810</v>
      </c>
      <c r="E125" t="str">
        <v/>
      </c>
      <c r="F125" t="str">
        <v>867806078868827</v>
      </c>
      <c r="G125" t="str">
        <v>TBD</v>
      </c>
      <c r="H125" t="str">
        <v/>
      </c>
      <c r="I125" t="str">
        <v/>
      </c>
      <c r="J125" t="str">
        <v>01/10/2026</v>
      </c>
      <c r="K125" t="str">
        <v>08:47:34</v>
      </c>
      <c r="L125">
        <v>-12.317395</v>
      </c>
      <c r="M125">
        <v>-76.824615</v>
      </c>
      <c r="N125">
        <f>HYPERLINK("https://www.google.com/maps/search/?api=1&amp;query=-12.317395,-76.824615","Punta Hermosa, Lima")</f>
      </c>
      <c r="O125" t="str">
        <v>Se movio</v>
      </c>
      <c r="P125" t="str">
        <v/>
      </c>
      <c r="Q125">
        <v>2072.3</v>
      </c>
      <c r="R125" t="str">
        <v/>
      </c>
      <c r="S125">
        <v>11.4</v>
      </c>
      <c r="T125">
        <v>80.73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>
        <v>85</v>
      </c>
      <c r="AC125" t="str">
        <v>01/10/2026</v>
      </c>
      <c r="AD125" t="str">
        <v>08:47:33</v>
      </c>
      <c r="AE125">
        <f>IF("ONLINE"="NOGPS","GPS Antiguo","En línea")</f>
      </c>
      <c r="AF125">
        <f>IF(0=0,"Sin atender", IF(0=1,"Atendida","Atendida y Reportada"))</f>
      </c>
      <c r="AG125" t="str">
        <v/>
      </c>
      <c r="AH125" t="str">
        <v/>
      </c>
      <c r="AI125" t="str">
        <v/>
      </c>
      <c r="AJ125" t="str">
        <v/>
      </c>
      <c r="AK125" t="str">
        <v>01/10/2026 08:47:51</v>
      </c>
      <c r="AL125" t="str">
        <v>08:47:51</v>
      </c>
      <c r="AM125" t="str">
        <v/>
      </c>
    </row>
    <row r="126">
      <c r="A126">
        <v>125</v>
      </c>
      <c r="B126" t="str">
        <v>MASS BSF</v>
      </c>
      <c r="C126" t="str">
        <v>F8R-810</v>
      </c>
      <c r="D126" t="str">
        <v>F8R-810</v>
      </c>
      <c r="E126" t="str">
        <v/>
      </c>
      <c r="F126" t="str">
        <v>867806078868827</v>
      </c>
      <c r="G126" t="str">
        <v>TBD</v>
      </c>
      <c r="H126" t="str">
        <v/>
      </c>
      <c r="I126" t="str">
        <v/>
      </c>
      <c r="J126" t="str">
        <v>01/10/2026</v>
      </c>
      <c r="K126" t="str">
        <v>08:47:45</v>
      </c>
      <c r="L126">
        <v>-12.317119</v>
      </c>
      <c r="M126">
        <v>-76.82479</v>
      </c>
      <c r="N126">
        <f>HYPERLINK("https://www.google.com/maps/search/?api=1&amp;query=-12.317119,-76.82479","Punta Hermosa, Lima")</f>
      </c>
      <c r="O126" t="str">
        <v>Acelerado y giro brusco</v>
      </c>
      <c r="P126" t="str">
        <v/>
      </c>
      <c r="Q126">
        <v>2072.3</v>
      </c>
      <c r="R126" t="str">
        <v/>
      </c>
      <c r="S126">
        <v>11.1</v>
      </c>
      <c r="T126">
        <v>80.73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>
        <v>85</v>
      </c>
      <c r="AC126" t="str">
        <v>01/10/2026</v>
      </c>
      <c r="AD126" t="str">
        <v>08:47:44</v>
      </c>
      <c r="AE126">
        <f>IF("ONLINE"="NOGPS","GPS Antiguo","En línea")</f>
      </c>
      <c r="AF126">
        <f>IF(0=0,"Sin atender", IF(0=1,"Atendida","Atendida y Reportada"))</f>
      </c>
      <c r="AG126" t="str">
        <v/>
      </c>
      <c r="AH126" t="str">
        <v/>
      </c>
      <c r="AI126" t="str">
        <v/>
      </c>
      <c r="AJ126" t="str">
        <v/>
      </c>
      <c r="AK126" t="str">
        <v>01/10/2026 08:48:02</v>
      </c>
      <c r="AL126" t="str">
        <v>08:48:02</v>
      </c>
      <c r="AM126" t="str">
        <v/>
      </c>
    </row>
    <row r="127">
      <c r="A127">
        <v>126</v>
      </c>
      <c r="B127" t="str">
        <v>MASS BSF</v>
      </c>
      <c r="C127" t="str">
        <v>F8R-810</v>
      </c>
      <c r="D127" t="str">
        <v>F8R-810</v>
      </c>
      <c r="E127" t="str">
        <v/>
      </c>
      <c r="F127" t="str">
        <v>867806078868827</v>
      </c>
      <c r="G127" t="str">
        <v>TBD</v>
      </c>
      <c r="H127" t="str">
        <v/>
      </c>
      <c r="I127" t="str">
        <v/>
      </c>
      <c r="J127" t="str">
        <v>01/10/2026</v>
      </c>
      <c r="K127" t="str">
        <v>08:48:10</v>
      </c>
      <c r="L127">
        <v>-12.316472</v>
      </c>
      <c r="M127">
        <v>-76.825195</v>
      </c>
      <c r="N127">
        <f>HYPERLINK("https://www.google.com/maps/search/?api=1&amp;query=-12.316472,-76.825195","Punta Hermosa, Lima")</f>
      </c>
      <c r="O127" t="str">
        <v>Aceleración brusca</v>
      </c>
      <c r="P127" t="str">
        <v>CMT-910</v>
      </c>
      <c r="Q127">
        <v>2072.4</v>
      </c>
      <c r="R127" t="str">
        <v/>
      </c>
      <c r="S127">
        <v>12.2</v>
      </c>
      <c r="T127">
        <v>80.73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>
        <v>85</v>
      </c>
      <c r="AC127" t="str">
        <v>01/10/2026</v>
      </c>
      <c r="AD127" t="str">
        <v>08:48:09</v>
      </c>
      <c r="AE127">
        <f>IF("ONLINE"="NOGPS","GPS Antiguo","En línea")</f>
      </c>
      <c r="AF127">
        <f>IF(0=0,"Sin atender", IF(0=1,"Atendida","Atendida y Reportada"))</f>
      </c>
      <c r="AG127" t="str">
        <v/>
      </c>
      <c r="AH127" t="str">
        <v/>
      </c>
      <c r="AI127" t="str">
        <v/>
      </c>
      <c r="AJ127" t="str">
        <v/>
      </c>
      <c r="AK127" t="str">
        <v>01/10/2026 08:48:33</v>
      </c>
      <c r="AL127" t="str">
        <v>08:48:33</v>
      </c>
      <c r="AM127" t="str">
        <v/>
      </c>
    </row>
    <row r="128">
      <c r="A128">
        <v>127</v>
      </c>
      <c r="B128" t="str">
        <v>MASS BSF</v>
      </c>
      <c r="C128" t="str">
        <v>F8R-810</v>
      </c>
      <c r="D128" t="str">
        <v>F8R-810</v>
      </c>
      <c r="E128" t="str">
        <v/>
      </c>
      <c r="F128" t="str">
        <v>867806078868827</v>
      </c>
      <c r="G128" t="str">
        <v>TBD</v>
      </c>
      <c r="H128" t="str">
        <v/>
      </c>
      <c r="I128" t="str">
        <v/>
      </c>
      <c r="J128" t="str">
        <v>01/10/2026</v>
      </c>
      <c r="K128" t="str">
        <v>08:49:16</v>
      </c>
      <c r="L128">
        <v>-12.315489</v>
      </c>
      <c r="M128">
        <v>-76.826324</v>
      </c>
      <c r="N128">
        <f>HYPERLINK("https://www.google.com/maps/search/?api=1&amp;query=-12.315489,-76.826324","Punta Hermosa, Lima")</f>
      </c>
      <c r="O128" t="str">
        <v>Aceleración brusca</v>
      </c>
      <c r="P128" t="str">
        <v>CMT-910</v>
      </c>
      <c r="Q128">
        <v>2072.6</v>
      </c>
      <c r="R128" t="str">
        <v/>
      </c>
      <c r="S128">
        <v>10.9</v>
      </c>
      <c r="T128">
        <v>80.73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>
        <v>85</v>
      </c>
      <c r="AC128" t="str">
        <v>01/10/2026</v>
      </c>
      <c r="AD128" t="str">
        <v>08:49:16</v>
      </c>
      <c r="AE128">
        <f>IF("ONLINE"="NOGPS","GPS Antiguo","En línea")</f>
      </c>
      <c r="AF128">
        <f>IF(0=0,"Sin atender", IF(0=1,"Atendida","Atendida y Reportada"))</f>
      </c>
      <c r="AG128" t="str">
        <v/>
      </c>
      <c r="AH128" t="str">
        <v/>
      </c>
      <c r="AI128" t="str">
        <v/>
      </c>
      <c r="AJ128" t="str">
        <v/>
      </c>
      <c r="AK128" t="str">
        <v>01/10/2026 08:49:38</v>
      </c>
      <c r="AL128" t="str">
        <v>08:49:38</v>
      </c>
      <c r="AM128" t="str">
        <v/>
      </c>
    </row>
    <row r="129">
      <c r="A129">
        <v>128</v>
      </c>
      <c r="B129" t="str">
        <v>MASS BSF</v>
      </c>
      <c r="C129" t="str">
        <v>F8R-810</v>
      </c>
      <c r="D129" t="str">
        <v>F8R-810</v>
      </c>
      <c r="E129" t="str">
        <v/>
      </c>
      <c r="F129" t="str">
        <v>867806078868827</v>
      </c>
      <c r="G129" t="str">
        <v>TBD</v>
      </c>
      <c r="H129" t="str">
        <v/>
      </c>
      <c r="I129" t="str">
        <v/>
      </c>
      <c r="J129" t="str">
        <v>01/10/2026</v>
      </c>
      <c r="K129" t="str">
        <v>08:49:37</v>
      </c>
      <c r="L129">
        <v>-12.315842</v>
      </c>
      <c r="M129">
        <v>-76.826866</v>
      </c>
      <c r="N129">
        <f>HYPERLINK("https://www.google.com/maps/search/?api=1&amp;query=-12.315842,-76.826866","Punta Hermosa, Lima")</f>
      </c>
      <c r="O129" t="str">
        <v>Aceleración brusca</v>
      </c>
      <c r="P129" t="str">
        <v>CMT-910</v>
      </c>
      <c r="Q129">
        <v>2072.7</v>
      </c>
      <c r="R129" t="str">
        <v/>
      </c>
      <c r="S129">
        <v>11.2</v>
      </c>
      <c r="T129">
        <v>80.73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>
        <v>85</v>
      </c>
      <c r="AC129" t="str">
        <v>01/10/2026</v>
      </c>
      <c r="AD129" t="str">
        <v>08:49:37</v>
      </c>
      <c r="AE129">
        <f>IF("ONLINE"="NOGPS","GPS Antiguo","En línea")</f>
      </c>
      <c r="AF129">
        <f>IF(0=0,"Sin atender", IF(0=1,"Atendida","Atendida y Reportada"))</f>
      </c>
      <c r="AG129" t="str">
        <v/>
      </c>
      <c r="AH129" t="str">
        <v/>
      </c>
      <c r="AI129" t="str">
        <v/>
      </c>
      <c r="AJ129" t="str">
        <v/>
      </c>
      <c r="AK129" t="str">
        <v>01/10/2026 08:50:03</v>
      </c>
      <c r="AL129" t="str">
        <v>08:50:03</v>
      </c>
      <c r="AM129" t="str">
        <v/>
      </c>
    </row>
    <row r="130">
      <c r="A130">
        <v>129</v>
      </c>
      <c r="B130" t="str">
        <v>MASS BSF</v>
      </c>
      <c r="C130" t="str">
        <v>F8R-810</v>
      </c>
      <c r="D130" t="str">
        <v>F8R-810</v>
      </c>
      <c r="E130" t="str">
        <v/>
      </c>
      <c r="F130" t="str">
        <v>867806078868827</v>
      </c>
      <c r="G130" t="str">
        <v>TBD</v>
      </c>
      <c r="H130" t="str">
        <v/>
      </c>
      <c r="I130" t="str">
        <v/>
      </c>
      <c r="J130" t="str">
        <v>01/10/2026</v>
      </c>
      <c r="K130" t="str">
        <v>08:49:46</v>
      </c>
      <c r="L130">
        <v>-12.315989</v>
      </c>
      <c r="M130">
        <v>-76.82709</v>
      </c>
      <c r="N130">
        <f>HYPERLINK("https://www.google.com/maps/search/?api=1&amp;query=-12.315989,-76.82709","Punta Hermosa, Lima")</f>
      </c>
      <c r="O130" t="str">
        <v>Acelerado y giro brusco</v>
      </c>
      <c r="P130" t="str">
        <v/>
      </c>
      <c r="Q130">
        <v>2072.7</v>
      </c>
      <c r="R130" t="str">
        <v/>
      </c>
      <c r="S130">
        <v>13.1</v>
      </c>
      <c r="T130">
        <v>80.73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>
        <v>85</v>
      </c>
      <c r="AC130" t="str">
        <v>01/10/2026</v>
      </c>
      <c r="AD130" t="str">
        <v>08:49:45</v>
      </c>
      <c r="AE130">
        <f>IF("ONLINE"="NOGPS","GPS Antiguo","En línea")</f>
      </c>
      <c r="AF130">
        <f>IF(0=0,"Sin atender", IF(0=1,"Atendida","Atendida y Reportada"))</f>
      </c>
      <c r="AG130" t="str">
        <v/>
      </c>
      <c r="AH130" t="str">
        <v/>
      </c>
      <c r="AI130" t="str">
        <v/>
      </c>
      <c r="AJ130" t="str">
        <v/>
      </c>
      <c r="AK130" t="str">
        <v>01/10/2026 08:50:07</v>
      </c>
      <c r="AL130" t="str">
        <v>08:50:07</v>
      </c>
      <c r="AM130" t="str">
        <v/>
      </c>
    </row>
    <row r="131">
      <c r="A131">
        <v>130</v>
      </c>
      <c r="B131" t="str">
        <v>MASS BSF</v>
      </c>
      <c r="C131" t="str">
        <v>F8R-810</v>
      </c>
      <c r="D131" t="str">
        <v>F8R-810</v>
      </c>
      <c r="E131" t="str">
        <v/>
      </c>
      <c r="F131" t="str">
        <v>867806078868827</v>
      </c>
      <c r="G131" t="str">
        <v>TBD</v>
      </c>
      <c r="H131" t="str">
        <v/>
      </c>
      <c r="I131" t="str">
        <v/>
      </c>
      <c r="J131" t="str">
        <v>01/10/2026</v>
      </c>
      <c r="K131" t="str">
        <v>08:50:06</v>
      </c>
      <c r="L131">
        <v>-12.31629</v>
      </c>
      <c r="M131">
        <v>-76.82762</v>
      </c>
      <c r="N131">
        <f>HYPERLINK("https://www.google.com/maps/search/?api=1&amp;query=-12.31629,-76.82762","Punta Hermosa, Lima")</f>
      </c>
      <c r="O131" t="str">
        <v>Aceleración brusca</v>
      </c>
      <c r="P131" t="str">
        <v>CMT-910</v>
      </c>
      <c r="Q131">
        <v>2072.8</v>
      </c>
      <c r="R131" t="str">
        <v/>
      </c>
      <c r="S131">
        <v>14.2</v>
      </c>
      <c r="T131">
        <v>80.73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>
        <v>85</v>
      </c>
      <c r="AC131" t="str">
        <v>01/10/2026</v>
      </c>
      <c r="AD131" t="str">
        <v>08:50:05</v>
      </c>
      <c r="AE131">
        <f>IF("ONLINE"="NOGPS","GPS Antiguo","En línea")</f>
      </c>
      <c r="AF131">
        <f>IF(0=0,"Sin atender", IF(0=1,"Atendida","Atendida y Reportada"))</f>
      </c>
      <c r="AG131" t="str">
        <v/>
      </c>
      <c r="AH131" t="str">
        <v/>
      </c>
      <c r="AI131" t="str">
        <v/>
      </c>
      <c r="AJ131" t="str">
        <v/>
      </c>
      <c r="AK131" t="str">
        <v>01/10/2026 08:50:22</v>
      </c>
      <c r="AL131" t="str">
        <v>08:50:22</v>
      </c>
      <c r="AM131" t="str">
        <v/>
      </c>
    </row>
    <row r="132">
      <c r="A132">
        <v>131</v>
      </c>
      <c r="B132" t="str">
        <v>MASS BSF</v>
      </c>
      <c r="C132" t="str">
        <v>F8R-810</v>
      </c>
      <c r="D132" t="str">
        <v>F8R-810</v>
      </c>
      <c r="E132" t="str">
        <v/>
      </c>
      <c r="F132" t="str">
        <v>867806078868827</v>
      </c>
      <c r="G132" t="str">
        <v>TBD</v>
      </c>
      <c r="H132" t="str">
        <v/>
      </c>
      <c r="I132" t="str">
        <v/>
      </c>
      <c r="J132" t="str">
        <v>01/10/2026</v>
      </c>
      <c r="K132" t="str">
        <v>08:50:21</v>
      </c>
      <c r="L132">
        <v>-12.316598</v>
      </c>
      <c r="M132">
        <v>-76.828094</v>
      </c>
      <c r="N132">
        <f>HYPERLINK("https://www.google.com/maps/search/?api=1&amp;query=-12.316598,-76.828094","Punta Hermosa, Lima")</f>
      </c>
      <c r="O132" t="str">
        <v>Acelerado y giro brusco</v>
      </c>
      <c r="P132" t="str">
        <v/>
      </c>
      <c r="Q132">
        <v>2072.8</v>
      </c>
      <c r="R132" t="str">
        <v/>
      </c>
      <c r="S132">
        <v>14.2</v>
      </c>
      <c r="T132">
        <v>80.73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>
        <v>85</v>
      </c>
      <c r="AC132" t="str">
        <v>01/10/2026</v>
      </c>
      <c r="AD132" t="str">
        <v>08:50:20</v>
      </c>
      <c r="AE132">
        <f>IF("ONLINE"="NOGPS","GPS Antiguo","En línea")</f>
      </c>
      <c r="AF132">
        <f>IF(0=0,"Sin atender", IF(0=1,"Atendida","Atendida y Reportada"))</f>
      </c>
      <c r="AG132" t="str">
        <v/>
      </c>
      <c r="AH132" t="str">
        <v/>
      </c>
      <c r="AI132" t="str">
        <v/>
      </c>
      <c r="AJ132" t="str">
        <v/>
      </c>
      <c r="AK132" t="str">
        <v>01/10/2026 08:50:31</v>
      </c>
      <c r="AL132" t="str">
        <v>08:50:31</v>
      </c>
      <c r="AM132" t="str">
        <v/>
      </c>
    </row>
    <row r="133">
      <c r="A133">
        <v>132</v>
      </c>
      <c r="B133" t="str">
        <v>MASS BSF</v>
      </c>
      <c r="C133" t="str">
        <v>F8R-810</v>
      </c>
      <c r="D133" t="str">
        <v>F8R-810</v>
      </c>
      <c r="E133" t="str">
        <v/>
      </c>
      <c r="F133" t="str">
        <v>867806078868827</v>
      </c>
      <c r="G133" t="str">
        <v>TBD</v>
      </c>
      <c r="H133" t="str">
        <v/>
      </c>
      <c r="I133" t="str">
        <v/>
      </c>
      <c r="J133" t="str">
        <v>01/10/2026</v>
      </c>
      <c r="K133" t="str">
        <v>08:50:32</v>
      </c>
      <c r="L133">
        <v>-12.316792</v>
      </c>
      <c r="M133">
        <v>-76.82843</v>
      </c>
      <c r="N133">
        <f>HYPERLINK("https://www.google.com/maps/search/?api=1&amp;query=-12.316792,-76.82843","Punta Hermosa, Lima")</f>
      </c>
      <c r="O133" t="str">
        <v>Acelerado y giro brusco</v>
      </c>
      <c r="P133" t="str">
        <v/>
      </c>
      <c r="Q133">
        <v>2072.9</v>
      </c>
      <c r="R133" t="str">
        <v/>
      </c>
      <c r="S133">
        <v>12.7</v>
      </c>
      <c r="T133">
        <v>80.73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>
        <v>85</v>
      </c>
      <c r="AC133" t="str">
        <v>01/10/2026</v>
      </c>
      <c r="AD133" t="str">
        <v>08:50:31</v>
      </c>
      <c r="AE133">
        <f>IF("ONLINE"="NOGPS","GPS Antiguo","En línea")</f>
      </c>
      <c r="AF133">
        <f>IF(0=0,"Sin atender", IF(0=1,"Atendida","Atendida y Reportada"))</f>
      </c>
      <c r="AG133" t="str">
        <v/>
      </c>
      <c r="AH133" t="str">
        <v/>
      </c>
      <c r="AI133" t="str">
        <v/>
      </c>
      <c r="AJ133" t="str">
        <v/>
      </c>
      <c r="AK133" t="str">
        <v>01/10/2026 08:50:45</v>
      </c>
      <c r="AL133" t="str">
        <v>08:50:45</v>
      </c>
      <c r="AM133" t="str">
        <v/>
      </c>
    </row>
    <row r="134">
      <c r="A134">
        <v>133</v>
      </c>
      <c r="B134" t="str">
        <v>MASS BSF</v>
      </c>
      <c r="C134" t="str">
        <v>F8R-810</v>
      </c>
      <c r="D134" t="str">
        <v>F8R-810</v>
      </c>
      <c r="E134" t="str">
        <v/>
      </c>
      <c r="F134" t="str">
        <v>867806078868827</v>
      </c>
      <c r="G134" t="str">
        <v>TBD</v>
      </c>
      <c r="H134" t="str">
        <v/>
      </c>
      <c r="I134" t="str">
        <v/>
      </c>
      <c r="J134" t="str">
        <v>01/10/2026</v>
      </c>
      <c r="K134" t="str">
        <v>08:50:36</v>
      </c>
      <c r="L134">
        <v>-12.316855</v>
      </c>
      <c r="M134">
        <v>-76.828545</v>
      </c>
      <c r="N134">
        <f>HYPERLINK("https://www.google.com/maps/search/?api=1&amp;query=-12.316855,-76.828545","Punta Hermosa, Lima")</f>
      </c>
      <c r="O134" t="str">
        <v>Acelerado y giro brusco</v>
      </c>
      <c r="P134" t="str">
        <v/>
      </c>
      <c r="Q134">
        <v>2072.9</v>
      </c>
      <c r="R134" t="str">
        <v/>
      </c>
      <c r="S134">
        <v>13.1</v>
      </c>
      <c r="T134">
        <v>80.73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>
        <v>85</v>
      </c>
      <c r="AC134" t="str">
        <v>01/10/2026</v>
      </c>
      <c r="AD134" t="str">
        <v>08:50:35</v>
      </c>
      <c r="AE134">
        <f>IF("ONLINE"="NOGPS","GPS Antiguo","En línea")</f>
      </c>
      <c r="AF134">
        <f>IF(0=0,"Sin atender", IF(0=1,"Atendida","Atendida y Reportada"))</f>
      </c>
      <c r="AG134" t="str">
        <v/>
      </c>
      <c r="AH134" t="str">
        <v/>
      </c>
      <c r="AI134" t="str">
        <v/>
      </c>
      <c r="AJ134" t="str">
        <v/>
      </c>
      <c r="AK134" t="str">
        <v>01/10/2026 08:50:52</v>
      </c>
      <c r="AL134" t="str">
        <v>08:50:52</v>
      </c>
      <c r="AM134" t="str">
        <v/>
      </c>
    </row>
    <row r="135">
      <c r="A135">
        <v>134</v>
      </c>
      <c r="B135" t="str">
        <v>MASS BSF</v>
      </c>
      <c r="C135" t="str">
        <v>F8R-810</v>
      </c>
      <c r="D135" t="str">
        <v>F8R-810</v>
      </c>
      <c r="E135" t="str">
        <v/>
      </c>
      <c r="F135" t="str">
        <v>867806078868827</v>
      </c>
      <c r="G135" t="str">
        <v>TBD</v>
      </c>
      <c r="H135" t="str">
        <v/>
      </c>
      <c r="I135" t="str">
        <v/>
      </c>
      <c r="J135" t="str">
        <v>01/10/2026</v>
      </c>
      <c r="K135" t="str">
        <v>08:50:39</v>
      </c>
      <c r="L135">
        <v>-12.31693</v>
      </c>
      <c r="M135">
        <v>-76.82866</v>
      </c>
      <c r="N135">
        <f>HYPERLINK("https://www.google.com/maps/search/?api=1&amp;query=-12.31693,-76.82866","Punta Hermosa, Lima")</f>
      </c>
      <c r="O135" t="str">
        <v>Acelerado y giro brusco</v>
      </c>
      <c r="P135" t="str">
        <v/>
      </c>
      <c r="Q135">
        <v>2072.9</v>
      </c>
      <c r="R135" t="str">
        <v/>
      </c>
      <c r="S135">
        <v>14</v>
      </c>
      <c r="T135">
        <v>80.73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>
        <v>85</v>
      </c>
      <c r="AC135" t="str">
        <v>01/10/2026</v>
      </c>
      <c r="AD135" t="str">
        <v>08:50:39</v>
      </c>
      <c r="AE135">
        <f>IF("ONLINE"="NOGPS","GPS Antiguo","En línea")</f>
      </c>
      <c r="AF135">
        <f>IF(0=0,"Sin atender", IF(0=1,"Atendida","Atendida y Reportada"))</f>
      </c>
      <c r="AG135" t="str">
        <v/>
      </c>
      <c r="AH135" t="str">
        <v/>
      </c>
      <c r="AI135" t="str">
        <v/>
      </c>
      <c r="AJ135" t="str">
        <v/>
      </c>
      <c r="AK135" t="str">
        <v>01/10/2026 08:50:55</v>
      </c>
      <c r="AL135" t="str">
        <v>08:50:55</v>
      </c>
      <c r="AM135" t="str">
        <v/>
      </c>
    </row>
    <row r="136">
      <c r="A136">
        <v>135</v>
      </c>
      <c r="B136" t="str">
        <v>MASS BSF</v>
      </c>
      <c r="C136" t="str">
        <v>F8R-810</v>
      </c>
      <c r="D136" t="str">
        <v>F8R-810</v>
      </c>
      <c r="E136" t="str">
        <v/>
      </c>
      <c r="F136" t="str">
        <v>867806078868827</v>
      </c>
      <c r="G136" t="str">
        <v>TBD</v>
      </c>
      <c r="H136" t="str">
        <v/>
      </c>
      <c r="I136" t="str">
        <v/>
      </c>
      <c r="J136" t="str">
        <v>01/10/2026</v>
      </c>
      <c r="K136" t="str">
        <v>08:50:49</v>
      </c>
      <c r="L136">
        <v>-12.31709</v>
      </c>
      <c r="M136">
        <v>-76.82892</v>
      </c>
      <c r="N136">
        <f>HYPERLINK("https://www.google.com/maps/search/?api=1&amp;query=-12.31709,-76.82892","Punta Hermosa, Lima")</f>
      </c>
      <c r="O136" t="str">
        <v>Aceleración brusca</v>
      </c>
      <c r="P136" t="str">
        <v>CMT-910</v>
      </c>
      <c r="Q136">
        <v>2072.9</v>
      </c>
      <c r="R136" t="str">
        <v/>
      </c>
      <c r="S136">
        <v>14.8</v>
      </c>
      <c r="T136">
        <v>80.73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>
        <v>85</v>
      </c>
      <c r="AC136" t="str">
        <v>01/10/2026</v>
      </c>
      <c r="AD136" t="str">
        <v>08:50:48</v>
      </c>
      <c r="AE136">
        <f>IF("ONLINE"="NOGPS","GPS Antiguo","En línea")</f>
      </c>
      <c r="AF136">
        <f>IF(0=0,"Sin atender", IF(0=1,"Atendida","Atendida y Reportada"))</f>
      </c>
      <c r="AG136" t="str">
        <v/>
      </c>
      <c r="AH136" t="str">
        <v/>
      </c>
      <c r="AI136" t="str">
        <v/>
      </c>
      <c r="AJ136" t="str">
        <v/>
      </c>
      <c r="AK136" t="str">
        <v>01/10/2026 08:50:58</v>
      </c>
      <c r="AL136" t="str">
        <v>08:50:58</v>
      </c>
      <c r="AM136" t="str">
        <v/>
      </c>
    </row>
    <row r="137">
      <c r="A137">
        <v>136</v>
      </c>
      <c r="B137" t="str">
        <v>MASS BSF</v>
      </c>
      <c r="C137" t="str">
        <v>F8R-810</v>
      </c>
      <c r="D137" t="str">
        <v>F8R-810</v>
      </c>
      <c r="E137" t="str">
        <v/>
      </c>
      <c r="F137" t="str">
        <v>867806078868827</v>
      </c>
      <c r="G137" t="str">
        <v>TBD</v>
      </c>
      <c r="H137" t="str">
        <v/>
      </c>
      <c r="I137" t="str">
        <v/>
      </c>
      <c r="J137" t="str">
        <v>01/10/2026</v>
      </c>
      <c r="K137" t="str">
        <v>08:51:00</v>
      </c>
      <c r="L137">
        <v>-12.317282</v>
      </c>
      <c r="M137">
        <v>-76.82922</v>
      </c>
      <c r="N137">
        <f>HYPERLINK("https://www.google.com/maps/search/?api=1&amp;query=-12.317282,-76.82922","Punta Hermosa, Lima")</f>
      </c>
      <c r="O137" t="str">
        <v>Acelerado y giro brusco</v>
      </c>
      <c r="P137" t="str">
        <v/>
      </c>
      <c r="Q137">
        <v>2073</v>
      </c>
      <c r="R137" t="str">
        <v/>
      </c>
      <c r="S137">
        <v>12.2</v>
      </c>
      <c r="T137">
        <v>80.73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>
        <v>85</v>
      </c>
      <c r="AC137" t="str">
        <v>01/10/2026</v>
      </c>
      <c r="AD137" t="str">
        <v>08:50:59</v>
      </c>
      <c r="AE137">
        <f>IF("ONLINE"="NOGPS","GPS Antiguo","En línea")</f>
      </c>
      <c r="AF137">
        <f>IF(0=0,"Sin atender", IF(0=1,"Atendida","Atendida y Reportada"))</f>
      </c>
      <c r="AG137" t="str">
        <v/>
      </c>
      <c r="AH137" t="str">
        <v/>
      </c>
      <c r="AI137" t="str">
        <v/>
      </c>
      <c r="AJ137" t="str">
        <v/>
      </c>
      <c r="AK137" t="str">
        <v>01/10/2026 08:51:16</v>
      </c>
      <c r="AL137" t="str">
        <v>08:51:16</v>
      </c>
      <c r="AM137" t="str">
        <v/>
      </c>
    </row>
    <row r="138">
      <c r="A138">
        <v>137</v>
      </c>
      <c r="B138" t="str">
        <v>MASS BSF</v>
      </c>
      <c r="C138" t="str">
        <v>F8R-810</v>
      </c>
      <c r="D138" t="str">
        <v>F8R-810</v>
      </c>
      <c r="E138" t="str">
        <v/>
      </c>
      <c r="F138" t="str">
        <v>867806078868827</v>
      </c>
      <c r="G138" t="str">
        <v>TBD</v>
      </c>
      <c r="H138" t="str">
        <v/>
      </c>
      <c r="I138" t="str">
        <v/>
      </c>
      <c r="J138" t="str">
        <v>01/10/2026</v>
      </c>
      <c r="K138" t="str">
        <v>08:51:26</v>
      </c>
      <c r="L138">
        <v>-12.317482</v>
      </c>
      <c r="M138">
        <v>-76.829605</v>
      </c>
      <c r="N138">
        <f>HYPERLINK("https://www.google.com/maps/search/?api=1&amp;query=-12.317482,-76.829605","Punta Hermosa, Lima")</f>
      </c>
      <c r="O138" t="str">
        <v>Acelerado y giro brusco</v>
      </c>
      <c r="P138" t="str">
        <v/>
      </c>
      <c r="Q138">
        <v>2073</v>
      </c>
      <c r="R138" t="str">
        <v/>
      </c>
      <c r="S138">
        <v>12</v>
      </c>
      <c r="T138">
        <v>80.73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>
        <v>93</v>
      </c>
      <c r="AC138" t="str">
        <v>01/10/2026</v>
      </c>
      <c r="AD138" t="str">
        <v>08:51:25</v>
      </c>
      <c r="AE138">
        <f>IF("ONLINE"="NOGPS","GPS Antiguo","En línea")</f>
      </c>
      <c r="AF138">
        <f>IF(0=0,"Sin atender", IF(0=1,"Atendida","Atendida y Reportada"))</f>
      </c>
      <c r="AG138" t="str">
        <v/>
      </c>
      <c r="AH138" t="str">
        <v/>
      </c>
      <c r="AI138" t="str">
        <v/>
      </c>
      <c r="AJ138" t="str">
        <v/>
      </c>
      <c r="AK138" t="str">
        <v>01/10/2026 08:51:43</v>
      </c>
      <c r="AL138" t="str">
        <v>08:51:43</v>
      </c>
      <c r="AM138" t="str">
        <v/>
      </c>
    </row>
    <row r="139">
      <c r="A139">
        <v>138</v>
      </c>
      <c r="B139" t="str">
        <v>MASS BSF</v>
      </c>
      <c r="C139" t="str">
        <v>F8R-810</v>
      </c>
      <c r="D139" t="str">
        <v>F8R-810</v>
      </c>
      <c r="E139" t="str">
        <v/>
      </c>
      <c r="F139" t="str">
        <v>867806078868827</v>
      </c>
      <c r="G139" t="str">
        <v>TBD</v>
      </c>
      <c r="H139" t="str">
        <v/>
      </c>
      <c r="I139" t="str">
        <v xml:space="preserve"> </v>
      </c>
      <c r="J139" t="str">
        <v>01/10/2026</v>
      </c>
      <c r="K139" t="str">
        <v>08:51:34</v>
      </c>
      <c r="L139">
        <v>-12.317583</v>
      </c>
      <c r="M139">
        <v>-76.82996</v>
      </c>
      <c r="N139">
        <f>HYPERLINK("https://www.google.com/maps/search/?api=1&amp;query=-12.317583,-76.82996","Punta Hermosa, Lima")</f>
      </c>
      <c r="O139" t="str">
        <v>Salió de zona</v>
      </c>
      <c r="P139" t="str">
        <v/>
      </c>
      <c r="Q139">
        <v>2073</v>
      </c>
      <c r="R139" t="str">
        <v>MASS BSF 1</v>
      </c>
      <c r="S139">
        <v>20.7</v>
      </c>
      <c r="T139">
        <v>80.65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>
        <v>93</v>
      </c>
      <c r="AC139" t="str">
        <v>01/10/2026</v>
      </c>
      <c r="AD139" t="str">
        <v>08:51:34</v>
      </c>
      <c r="AE139">
        <f>IF("ONLINE"="NOGPS","GPS Antiguo","En línea")</f>
      </c>
      <c r="AF139">
        <f>IF(0=0,"Sin atender", IF(0=1,"Atendida","Atendida y Reportada"))</f>
      </c>
      <c r="AG139" t="str">
        <v/>
      </c>
      <c r="AH139" t="str">
        <v/>
      </c>
      <c r="AI139" t="str">
        <v/>
      </c>
      <c r="AJ139" t="str">
        <v/>
      </c>
      <c r="AK139" t="str">
        <v>01/10/2026 08:51:49</v>
      </c>
      <c r="AL139" t="str">
        <v>08:51:49</v>
      </c>
      <c r="AM139" t="str">
        <v/>
      </c>
    </row>
    <row r="140">
      <c r="A140">
        <v>139</v>
      </c>
      <c r="B140" t="str">
        <v>MASS BSF</v>
      </c>
      <c r="C140" t="str">
        <v>F8R-810</v>
      </c>
      <c r="D140" t="str">
        <v>F8R-810</v>
      </c>
      <c r="E140" t="str">
        <v/>
      </c>
      <c r="F140" t="str">
        <v>867806078868827</v>
      </c>
      <c r="G140" t="str">
        <v>TBD</v>
      </c>
      <c r="H140" t="str">
        <v/>
      </c>
      <c r="I140" t="str">
        <v/>
      </c>
      <c r="J140" t="str">
        <v>01/10/2026</v>
      </c>
      <c r="K140" t="str">
        <v>08:51:37</v>
      </c>
      <c r="L140">
        <v>-12.31753</v>
      </c>
      <c r="M140">
        <v>-76.83014</v>
      </c>
      <c r="N140">
        <f>HYPERLINK("https://www.google.com/maps/search/?api=1&amp;query=-12.31753,-76.83014","Carretera Panamericana Sur, Punta Hermosa, Lima")</f>
      </c>
      <c r="O140" t="str">
        <v>Acelerado y giro brusco</v>
      </c>
      <c r="P140" t="str">
        <v/>
      </c>
      <c r="Q140">
        <v>2073.1</v>
      </c>
      <c r="R140" t="str">
        <v/>
      </c>
      <c r="S140">
        <v>23.3</v>
      </c>
      <c r="T140">
        <v>80.73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>
        <v>92</v>
      </c>
      <c r="AC140" t="str">
        <v>01/10/2026</v>
      </c>
      <c r="AD140" t="str">
        <v>08:51:37</v>
      </c>
      <c r="AE140">
        <f>IF("ONLINE"="NOGPS","GPS Antiguo","En línea")</f>
      </c>
      <c r="AF140">
        <f>IF(0=0,"Sin atender", IF(0=1,"Atendida","Atendida y Reportada"))</f>
      </c>
      <c r="AG140" t="str">
        <v/>
      </c>
      <c r="AH140" t="str">
        <v/>
      </c>
      <c r="AI140" t="str">
        <v/>
      </c>
      <c r="AJ140" t="str">
        <v/>
      </c>
      <c r="AK140" t="str">
        <v>01/10/2026 08:51:58</v>
      </c>
      <c r="AL140" t="str">
        <v>08:51:58</v>
      </c>
      <c r="AM140" t="str">
        <v/>
      </c>
    </row>
    <row r="141">
      <c r="A141">
        <v>140</v>
      </c>
      <c r="B141" t="str">
        <v>MASS BSF</v>
      </c>
      <c r="C141" t="str">
        <v>F8R-810</v>
      </c>
      <c r="D141" t="str">
        <v>F8R-810</v>
      </c>
      <c r="E141" t="str">
        <v/>
      </c>
      <c r="F141" t="str">
        <v>867806078868827</v>
      </c>
      <c r="G141" t="str">
        <v>TBD</v>
      </c>
      <c r="H141" t="str">
        <v/>
      </c>
      <c r="I141" t="str">
        <v/>
      </c>
      <c r="J141" t="str">
        <v>01/10/2026</v>
      </c>
      <c r="K141" t="str">
        <v>08:51:58</v>
      </c>
      <c r="L141">
        <v>-12.316756</v>
      </c>
      <c r="M141">
        <v>-76.83092</v>
      </c>
      <c r="N141">
        <f>HYPERLINK("https://www.google.com/maps/search/?api=1&amp;query=-12.316756,-76.83092","Carretera Panamericana Sur, Punta Hermosa, Lima")</f>
      </c>
      <c r="O141" t="str">
        <v>Acelerado y giro brusco</v>
      </c>
      <c r="P141" t="str">
        <v/>
      </c>
      <c r="Q141">
        <v>2073.2</v>
      </c>
      <c r="R141" t="str">
        <v/>
      </c>
      <c r="S141">
        <v>17.5</v>
      </c>
      <c r="T141">
        <v>80.73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>
        <v>92</v>
      </c>
      <c r="AC141" t="str">
        <v>01/10/2026</v>
      </c>
      <c r="AD141" t="str">
        <v>08:51:58</v>
      </c>
      <c r="AE141">
        <f>IF("ONLINE"="NOGPS","GPS Antiguo","En línea")</f>
      </c>
      <c r="AF141">
        <f>IF(0=0,"Sin atender", IF(0=1,"Atendida","Atendida y Reportada"))</f>
      </c>
      <c r="AG141" t="str">
        <v/>
      </c>
      <c r="AH141" t="str">
        <v/>
      </c>
      <c r="AI141" t="str">
        <v/>
      </c>
      <c r="AJ141" t="str">
        <v/>
      </c>
      <c r="AK141" t="str">
        <v>01/10/2026 08:52:11</v>
      </c>
      <c r="AL141" t="str">
        <v>08:52:11</v>
      </c>
      <c r="AM141" t="str">
        <v/>
      </c>
    </row>
    <row r="142">
      <c r="A142">
        <v>141</v>
      </c>
      <c r="B142" t="str">
        <v>MASS BSF</v>
      </c>
      <c r="C142" t="str">
        <v>F8R-810</v>
      </c>
      <c r="D142" t="str">
        <v>F8R-810</v>
      </c>
      <c r="E142" t="str">
        <v/>
      </c>
      <c r="F142" t="str">
        <v>867806078868827</v>
      </c>
      <c r="G142" t="str">
        <v>TBD</v>
      </c>
      <c r="H142" t="str">
        <v/>
      </c>
      <c r="I142" t="str">
        <v/>
      </c>
      <c r="J142" t="str">
        <v>01/10/2026</v>
      </c>
      <c r="K142" t="str">
        <v>08:52:22</v>
      </c>
      <c r="L142">
        <v>-12.315119</v>
      </c>
      <c r="M142">
        <v>-76.83205</v>
      </c>
      <c r="N142">
        <f>HYPERLINK("https://www.google.com/maps/search/?api=1&amp;query=-12.315119,-76.83205","Carretera Panamericana Sur, Punta Hermosa, Lima")</f>
      </c>
      <c r="O142" t="str">
        <v>Acelerado y giro brusco</v>
      </c>
      <c r="P142" t="str">
        <v/>
      </c>
      <c r="Q142">
        <v>2073.4</v>
      </c>
      <c r="R142" t="str">
        <v/>
      </c>
      <c r="S142">
        <v>46.1</v>
      </c>
      <c r="T142">
        <v>80.73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>
        <v>85</v>
      </c>
      <c r="AC142" t="str">
        <v>01/10/2026</v>
      </c>
      <c r="AD142" t="str">
        <v>08:52:21</v>
      </c>
      <c r="AE142">
        <f>IF("ONLINE"="NOGPS","GPS Antiguo","En línea")</f>
      </c>
      <c r="AF142">
        <f>IF(0=0,"Sin atender", IF(0=1,"Atendida","Atendida y Reportada"))</f>
      </c>
      <c r="AG142" t="str">
        <v/>
      </c>
      <c r="AH142" t="str">
        <v/>
      </c>
      <c r="AI142" t="str">
        <v/>
      </c>
      <c r="AJ142" t="str">
        <v/>
      </c>
      <c r="AK142" t="str">
        <v>01/10/2026 08:52:27</v>
      </c>
      <c r="AL142" t="str">
        <v>08:52:27</v>
      </c>
      <c r="AM142" t="str">
        <v/>
      </c>
    </row>
    <row r="143">
      <c r="A143">
        <v>142</v>
      </c>
      <c r="B143" t="str">
        <v>MASS BSF</v>
      </c>
      <c r="C143" t="str">
        <v>F8R-810</v>
      </c>
      <c r="D143" t="str">
        <v>F8R-810</v>
      </c>
      <c r="E143" t="str">
        <v/>
      </c>
      <c r="F143" t="str">
        <v>867806078868827</v>
      </c>
      <c r="G143" t="str">
        <v>TBD</v>
      </c>
      <c r="H143" t="str">
        <v/>
      </c>
      <c r="I143" t="str">
        <v/>
      </c>
      <c r="J143" t="str">
        <v>01/10/2026</v>
      </c>
      <c r="K143" t="str">
        <v>08:52:55</v>
      </c>
      <c r="L143">
        <v>-12.311116</v>
      </c>
      <c r="M143">
        <v>-76.834724</v>
      </c>
      <c r="N143">
        <f>HYPERLINK("https://www.google.com/maps/search/?api=1&amp;query=-12.311116,-76.834724","Carretera Panamericana Sur, Punta Hermosa, Lima")</f>
      </c>
      <c r="O143" t="str">
        <v>Aceleración brusca</v>
      </c>
      <c r="P143" t="str">
        <v>CMT-910</v>
      </c>
      <c r="Q143">
        <v>2073.9</v>
      </c>
      <c r="R143" t="str">
        <v/>
      </c>
      <c r="S143">
        <v>67.4</v>
      </c>
      <c r="T143">
        <v>80.73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>
        <v>95</v>
      </c>
      <c r="AC143" t="str">
        <v>01/10/2026</v>
      </c>
      <c r="AD143" t="str">
        <v>08:52:54</v>
      </c>
      <c r="AE143">
        <f>IF("ONLINE"="NOGPS","GPS Antiguo","En línea")</f>
      </c>
      <c r="AF143">
        <f>IF(0=0,"Sin atender", IF(0=1,"Atendida","Atendida y Reportada"))</f>
      </c>
      <c r="AG143" t="str">
        <v/>
      </c>
      <c r="AH143" t="str">
        <v/>
      </c>
      <c r="AI143" t="str">
        <v/>
      </c>
      <c r="AJ143" t="str">
        <v/>
      </c>
      <c r="AK143" t="str">
        <v>01/10/2026 08:53:08</v>
      </c>
      <c r="AL143" t="str">
        <v>08:53:08</v>
      </c>
      <c r="AM143" t="str">
        <v/>
      </c>
    </row>
    <row r="144">
      <c r="A144">
        <v>143</v>
      </c>
      <c r="B144" t="str">
        <v>MASS BSF</v>
      </c>
      <c r="C144" t="str">
        <v>F8R-810</v>
      </c>
      <c r="D144" t="str">
        <v>F8R-810</v>
      </c>
      <c r="E144" t="str">
        <v/>
      </c>
      <c r="F144" t="str">
        <v>867806078868827</v>
      </c>
      <c r="G144" t="str">
        <v>TBD</v>
      </c>
      <c r="H144" t="str">
        <v/>
      </c>
      <c r="I144" t="str">
        <v/>
      </c>
      <c r="J144" t="str">
        <v>01/10/2026</v>
      </c>
      <c r="K144" t="str">
        <v>08:53:06</v>
      </c>
      <c r="L144">
        <v>-12.30956</v>
      </c>
      <c r="M144">
        <v>-76.83576</v>
      </c>
      <c r="N144">
        <f>HYPERLINK("https://www.google.com/maps/search/?api=1&amp;query=-12.30956,-76.83576","Carretera Panamericana Sur, Punta Hermosa, Lima")</f>
      </c>
      <c r="O144" t="str">
        <v>Acelerado y giro brusco</v>
      </c>
      <c r="P144" t="str">
        <v/>
      </c>
      <c r="Q144">
        <v>2074.1</v>
      </c>
      <c r="R144" t="str">
        <v/>
      </c>
      <c r="S144">
        <v>68.3</v>
      </c>
      <c r="T144">
        <v>80.73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>
        <v>95</v>
      </c>
      <c r="AC144" t="str">
        <v>01/10/2026</v>
      </c>
      <c r="AD144" t="str">
        <v>08:53:05</v>
      </c>
      <c r="AE144">
        <f>IF("ONLINE"="NOGPS","GPS Antiguo","En línea")</f>
      </c>
      <c r="AF144">
        <f>IF(0=0,"Sin atender", IF(0=1,"Atendida","Atendida y Reportada"))</f>
      </c>
      <c r="AG144" t="str">
        <v/>
      </c>
      <c r="AH144" t="str">
        <v/>
      </c>
      <c r="AI144" t="str">
        <v/>
      </c>
      <c r="AJ144" t="str">
        <v/>
      </c>
      <c r="AK144" t="str">
        <v>01/10/2026 08:53:20</v>
      </c>
      <c r="AL144" t="str">
        <v>08:53:20</v>
      </c>
      <c r="AM144" t="str">
        <v/>
      </c>
    </row>
    <row r="145">
      <c r="A145">
        <v>144</v>
      </c>
      <c r="B145" t="str">
        <v>MASS BSF</v>
      </c>
      <c r="C145" t="str">
        <v>F8R-810</v>
      </c>
      <c r="D145" t="str">
        <v>F8R-810</v>
      </c>
      <c r="E145" t="str">
        <v/>
      </c>
      <c r="F145" t="str">
        <v>867806078868827</v>
      </c>
      <c r="G145" t="str">
        <v>TBD</v>
      </c>
      <c r="H145" t="str">
        <v/>
      </c>
      <c r="I145" t="str">
        <v/>
      </c>
      <c r="J145" t="str">
        <v>01/10/2026</v>
      </c>
      <c r="K145" t="str">
        <v>08:53:26</v>
      </c>
      <c r="L145">
        <v>-12.30701</v>
      </c>
      <c r="M145">
        <v>-76.83761</v>
      </c>
      <c r="N145">
        <f>HYPERLINK("https://www.google.com/maps/search/?api=1&amp;query=-12.30701,-76.83761","Carretera Panamericana Sur, Punta Hermosa, Lima")</f>
      </c>
      <c r="O145" t="str">
        <v>Acelerado y giro brusco</v>
      </c>
      <c r="P145" t="str">
        <v/>
      </c>
      <c r="Q145">
        <v>2074.5</v>
      </c>
      <c r="R145" t="str">
        <v/>
      </c>
      <c r="S145">
        <v>61.6</v>
      </c>
      <c r="T145">
        <v>80.73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>
        <v>86</v>
      </c>
      <c r="AC145" t="str">
        <v>01/10/2026</v>
      </c>
      <c r="AD145" t="str">
        <v>08:53:25</v>
      </c>
      <c r="AE145">
        <f>IF("ONLINE"="NOGPS","GPS Antiguo","En línea")</f>
      </c>
      <c r="AF145">
        <f>IF(0=0,"Sin atender", IF(0=1,"Atendida","Atendida y Reportada"))</f>
      </c>
      <c r="AG145" t="str">
        <v/>
      </c>
      <c r="AH145" t="str">
        <v/>
      </c>
      <c r="AI145" t="str">
        <v/>
      </c>
      <c r="AJ145" t="str">
        <v/>
      </c>
      <c r="AK145" t="str">
        <v>01/10/2026 08:53:38</v>
      </c>
      <c r="AL145" t="str">
        <v>08:53:38</v>
      </c>
      <c r="AM145" t="str">
        <v/>
      </c>
    </row>
    <row r="146">
      <c r="A146">
        <v>145</v>
      </c>
      <c r="B146" t="str">
        <v>MASS BSF</v>
      </c>
      <c r="C146" t="str">
        <v>F8R-810</v>
      </c>
      <c r="D146" t="str">
        <v>F8R-810</v>
      </c>
      <c r="E146" t="str">
        <v/>
      </c>
      <c r="F146" t="str">
        <v>867806078868827</v>
      </c>
      <c r="G146" t="str">
        <v>TBD</v>
      </c>
      <c r="H146" t="str">
        <v/>
      </c>
      <c r="I146" t="str">
        <v/>
      </c>
      <c r="J146" t="str">
        <v>01/10/2026</v>
      </c>
      <c r="K146" t="str">
        <v>08:53:45</v>
      </c>
      <c r="L146">
        <v>-12.304916</v>
      </c>
      <c r="M146">
        <v>-76.8397</v>
      </c>
      <c r="N146">
        <f>HYPERLINK("https://www.google.com/maps/search/?api=1&amp;query=-12.304916,-76.8397","Carretera Panamericana Sur, Lurín, Lima")</f>
      </c>
      <c r="O146" t="str">
        <v>Acelerado y giro brusco</v>
      </c>
      <c r="P146" t="str">
        <v/>
      </c>
      <c r="Q146">
        <v>2074.8</v>
      </c>
      <c r="R146" t="str">
        <v/>
      </c>
      <c r="S146">
        <v>59.2</v>
      </c>
      <c r="T146">
        <v>80.73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>
        <v>86</v>
      </c>
      <c r="AC146" t="str">
        <v>01/10/2026</v>
      </c>
      <c r="AD146" t="str">
        <v>08:53:44</v>
      </c>
      <c r="AE146">
        <f>IF("ONLINE"="NOGPS","GPS Antiguo","En línea")</f>
      </c>
      <c r="AF146">
        <f>IF(0=0,"Sin atender", IF(0=1,"Atendida","Atendida y Reportada"))</f>
      </c>
      <c r="AG146" t="str">
        <v/>
      </c>
      <c r="AH146" t="str">
        <v/>
      </c>
      <c r="AI146" t="str">
        <v/>
      </c>
      <c r="AJ146" t="str">
        <v/>
      </c>
      <c r="AK146" t="str">
        <v>01/10/2026 08:53:52</v>
      </c>
      <c r="AL146" t="str">
        <v>08:53:52</v>
      </c>
      <c r="AM146" t="str">
        <v/>
      </c>
    </row>
    <row r="147">
      <c r="A147">
        <v>146</v>
      </c>
      <c r="B147" t="str">
        <v>MASS BSF</v>
      </c>
      <c r="C147" t="str">
        <v>F8R-810</v>
      </c>
      <c r="D147" t="str">
        <v>F8R-810</v>
      </c>
      <c r="E147" t="str">
        <v/>
      </c>
      <c r="F147" t="str">
        <v>867806078868827</v>
      </c>
      <c r="G147" t="str">
        <v>TBD</v>
      </c>
      <c r="H147" t="str">
        <v/>
      </c>
      <c r="I147" t="str">
        <v/>
      </c>
      <c r="J147" t="str">
        <v>01/10/2026</v>
      </c>
      <c r="K147" t="str">
        <v>08:53:52</v>
      </c>
      <c r="L147">
        <v>-12.304203</v>
      </c>
      <c r="M147">
        <v>-76.84058</v>
      </c>
      <c r="N147">
        <f>HYPERLINK("https://www.google.com/maps/search/?api=1&amp;query=-12.304203,-76.84058","Carretera Panamericana Sur, Lurín, Lima")</f>
      </c>
      <c r="O147" t="str">
        <v>Acelerado y giro brusco</v>
      </c>
      <c r="P147" t="str">
        <v/>
      </c>
      <c r="Q147">
        <v>2074.9</v>
      </c>
      <c r="R147" t="str">
        <v/>
      </c>
      <c r="S147">
        <v>49.8</v>
      </c>
      <c r="T147">
        <v>80.73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>
        <v>86</v>
      </c>
      <c r="AC147" t="str">
        <v>01/10/2026</v>
      </c>
      <c r="AD147" t="str">
        <v>08:53:52</v>
      </c>
      <c r="AE147">
        <f>IF("ONLINE"="NOGPS","GPS Antiguo","En línea")</f>
      </c>
      <c r="AF147">
        <f>IF(0=0,"Sin atender", IF(0=1,"Atendida","Atendida y Reportada"))</f>
      </c>
      <c r="AG147" t="str">
        <v/>
      </c>
      <c r="AH147" t="str">
        <v/>
      </c>
      <c r="AI147" t="str">
        <v/>
      </c>
      <c r="AJ147" t="str">
        <v/>
      </c>
      <c r="AK147" t="str">
        <v>01/10/2026 08:53:58</v>
      </c>
      <c r="AL147" t="str">
        <v>08:53:58</v>
      </c>
      <c r="AM147" t="str">
        <v/>
      </c>
    </row>
    <row r="148">
      <c r="A148">
        <v>147</v>
      </c>
      <c r="B148" t="str">
        <v>MASS BSF</v>
      </c>
      <c r="C148" t="str">
        <v>F8R-810</v>
      </c>
      <c r="D148" t="str">
        <v>F8R-810</v>
      </c>
      <c r="E148" t="str">
        <v/>
      </c>
      <c r="F148" t="str">
        <v>867806078868827</v>
      </c>
      <c r="G148" t="str">
        <v>TBD</v>
      </c>
      <c r="H148" t="str">
        <v/>
      </c>
      <c r="I148" t="str">
        <v/>
      </c>
      <c r="J148" t="str">
        <v>01/10/2026</v>
      </c>
      <c r="K148" t="str">
        <v>08:54:06</v>
      </c>
      <c r="L148">
        <v>-12.303195</v>
      </c>
      <c r="M148">
        <v>-76.84214</v>
      </c>
      <c r="N148">
        <f>HYPERLINK("https://www.google.com/maps/search/?api=1&amp;query=-12.303195,-76.84214","Carretera Panamericana Sur, Lurín, Lima")</f>
      </c>
      <c r="O148" t="str">
        <v>Acelerado y giro brusco</v>
      </c>
      <c r="P148" t="str">
        <v/>
      </c>
      <c r="Q148">
        <v>2075.1</v>
      </c>
      <c r="R148" t="str">
        <v/>
      </c>
      <c r="S148">
        <v>62.9</v>
      </c>
      <c r="T148">
        <v>80.73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>
        <v>86</v>
      </c>
      <c r="AC148" t="str">
        <v>01/10/2026</v>
      </c>
      <c r="AD148" t="str">
        <v>08:54:05</v>
      </c>
      <c r="AE148">
        <f>IF("ONLINE"="NOGPS","GPS Antiguo","En línea")</f>
      </c>
      <c r="AF148">
        <f>IF(0=0,"Sin atender", IF(0=1,"Atendida","Atendida y Reportada"))</f>
      </c>
      <c r="AG148" t="str">
        <v/>
      </c>
      <c r="AH148" t="str">
        <v/>
      </c>
      <c r="AI148" t="str">
        <v/>
      </c>
      <c r="AJ148" t="str">
        <v/>
      </c>
      <c r="AK148" t="str">
        <v>01/10/2026 08:54:15</v>
      </c>
      <c r="AL148" t="str">
        <v>08:54:15</v>
      </c>
      <c r="AM148" t="str">
        <v/>
      </c>
    </row>
    <row r="149">
      <c r="A149">
        <v>148</v>
      </c>
      <c r="B149" t="str">
        <v>MASS BSF</v>
      </c>
      <c r="C149" t="str">
        <v>F8R-810</v>
      </c>
      <c r="D149" t="str">
        <v>F8R-810</v>
      </c>
      <c r="E149" t="str">
        <v/>
      </c>
      <c r="F149" t="str">
        <v>867806078868827</v>
      </c>
      <c r="G149" t="str">
        <v>TBD</v>
      </c>
      <c r="H149" t="str">
        <v/>
      </c>
      <c r="I149" t="str">
        <v/>
      </c>
      <c r="J149" t="str">
        <v>01/10/2026</v>
      </c>
      <c r="K149" t="str">
        <v>08:54:36</v>
      </c>
      <c r="L149">
        <v>-12.30103</v>
      </c>
      <c r="M149">
        <v>-76.84666</v>
      </c>
      <c r="N149">
        <f>HYPERLINK("https://www.google.com/maps/search/?api=1&amp;query=-12.30103,-76.84666","Carretera Panamericana Sur, Lurín, Lima")</f>
      </c>
      <c r="O149" t="str">
        <v>Acelerado y giro brusco</v>
      </c>
      <c r="P149" t="str">
        <v/>
      </c>
      <c r="Q149">
        <v>2075.7</v>
      </c>
      <c r="R149" t="str">
        <v/>
      </c>
      <c r="S149">
        <v>58.3</v>
      </c>
      <c r="T149">
        <v>80.73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>
        <v>86</v>
      </c>
      <c r="AC149" t="str">
        <v>01/10/2026</v>
      </c>
      <c r="AD149" t="str">
        <v>08:54:35</v>
      </c>
      <c r="AE149">
        <f>IF("ONLINE"="NOGPS","GPS Antiguo","En línea")</f>
      </c>
      <c r="AF149">
        <f>IF(0=0,"Sin atender", IF(0=1,"Atendida","Atendida y Reportada"))</f>
      </c>
      <c r="AG149" t="str">
        <v/>
      </c>
      <c r="AH149" t="str">
        <v/>
      </c>
      <c r="AI149" t="str">
        <v/>
      </c>
      <c r="AJ149" t="str">
        <v/>
      </c>
      <c r="AK149" t="str">
        <v>01/10/2026 08:54:50</v>
      </c>
      <c r="AL149" t="str">
        <v>08:54:50</v>
      </c>
      <c r="AM149" t="str">
        <v/>
      </c>
    </row>
    <row r="150">
      <c r="A150">
        <v>149</v>
      </c>
      <c r="B150" t="str">
        <v>MASS BSF</v>
      </c>
      <c r="C150" t="str">
        <v>F8R-810</v>
      </c>
      <c r="D150" t="str">
        <v>F8R-810</v>
      </c>
      <c r="E150" t="str">
        <v/>
      </c>
      <c r="F150" t="str">
        <v>867806078868827</v>
      </c>
      <c r="G150" t="str">
        <v>TBD</v>
      </c>
      <c r="H150" t="str">
        <v/>
      </c>
      <c r="I150" t="str">
        <v/>
      </c>
      <c r="J150" t="str">
        <v>01/10/2026</v>
      </c>
      <c r="K150" t="str">
        <v>08:54:52</v>
      </c>
      <c r="L150">
        <v>-12.300123</v>
      </c>
      <c r="M150">
        <v>-76.84871</v>
      </c>
      <c r="N150">
        <f>HYPERLINK("https://www.google.com/maps/search/?api=1&amp;query=-12.300123,-76.84871","Carretera Panamericana Sur, Lurín, Lima")</f>
      </c>
      <c r="O150" t="str">
        <v>Acelerado y giro brusco</v>
      </c>
      <c r="P150" t="str">
        <v/>
      </c>
      <c r="Q150">
        <v>2075.9</v>
      </c>
      <c r="R150" t="str">
        <v/>
      </c>
      <c r="S150">
        <v>52.4</v>
      </c>
      <c r="T150">
        <v>80.73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>
        <v>86</v>
      </c>
      <c r="AC150" t="str">
        <v>01/10/2026</v>
      </c>
      <c r="AD150" t="str">
        <v>08:54:51</v>
      </c>
      <c r="AE150">
        <f>IF("ONLINE"="NOGPS","GPS Antiguo","En línea")</f>
      </c>
      <c r="AF150">
        <f>IF(0=0,"Sin atender", IF(0=1,"Atendida","Atendida y Reportada"))</f>
      </c>
      <c r="AG150" t="str">
        <v/>
      </c>
      <c r="AH150" t="str">
        <v/>
      </c>
      <c r="AI150" t="str">
        <v/>
      </c>
      <c r="AJ150" t="str">
        <v/>
      </c>
      <c r="AK150" t="str">
        <v>01/10/2026 08:55:11</v>
      </c>
      <c r="AL150" t="str">
        <v>08:55:11</v>
      </c>
      <c r="AM150" t="str">
        <v/>
      </c>
    </row>
    <row r="151">
      <c r="A151">
        <v>150</v>
      </c>
      <c r="B151" t="str">
        <v>MASS BSF</v>
      </c>
      <c r="C151" t="str">
        <v>F8R-810</v>
      </c>
      <c r="D151" t="str">
        <v>F8R-810</v>
      </c>
      <c r="E151" t="str">
        <v/>
      </c>
      <c r="F151" t="str">
        <v>867806078868827</v>
      </c>
      <c r="G151" t="str">
        <v>TBD</v>
      </c>
      <c r="H151" t="str">
        <v/>
      </c>
      <c r="I151" t="str">
        <v/>
      </c>
      <c r="J151" t="str">
        <v>01/10/2026</v>
      </c>
      <c r="K151" t="str">
        <v>08:55:12</v>
      </c>
      <c r="L151">
        <v>-12.299026</v>
      </c>
      <c r="M151">
        <v>-76.851105</v>
      </c>
      <c r="N151">
        <f>HYPERLINK("https://www.google.com/maps/search/?api=1&amp;query=-12.299026,-76.851105","Carretera Panamericana Sur, Lurín, Lima")</f>
      </c>
      <c r="O151" t="str">
        <v>Aceleración brusca</v>
      </c>
      <c r="P151" t="str">
        <v>CMT-910</v>
      </c>
      <c r="Q151">
        <v>2076.2</v>
      </c>
      <c r="R151" t="str">
        <v/>
      </c>
      <c r="S151">
        <v>53.3</v>
      </c>
      <c r="T151">
        <v>80.73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>
        <v>86</v>
      </c>
      <c r="AC151" t="str">
        <v>01/10/2026</v>
      </c>
      <c r="AD151" t="str">
        <v>08:55:11</v>
      </c>
      <c r="AE151">
        <f>IF("ONLINE"="NOGPS","GPS Antiguo","En línea")</f>
      </c>
      <c r="AF151">
        <f>IF(0=0,"Sin atender", IF(0=1,"Atendida","Atendida y Reportada"))</f>
      </c>
      <c r="AG151" t="str">
        <v/>
      </c>
      <c r="AH151" t="str">
        <v/>
      </c>
      <c r="AI151" t="str">
        <v/>
      </c>
      <c r="AJ151" t="str">
        <v/>
      </c>
      <c r="AK151" t="str">
        <v>01/10/2026 08:55:29</v>
      </c>
      <c r="AL151" t="str">
        <v>08:55:29</v>
      </c>
      <c r="AM151" t="str">
        <v/>
      </c>
    </row>
    <row r="152">
      <c r="A152">
        <v>151</v>
      </c>
      <c r="B152" t="str">
        <v>MASS BSF</v>
      </c>
      <c r="C152" t="str">
        <v>F8R-810</v>
      </c>
      <c r="D152" t="str">
        <v>F8R-810</v>
      </c>
      <c r="E152" t="str">
        <v/>
      </c>
      <c r="F152" t="str">
        <v>867806078868827</v>
      </c>
      <c r="G152" t="str">
        <v>TBD</v>
      </c>
      <c r="H152" t="str">
        <v/>
      </c>
      <c r="I152" t="str">
        <v/>
      </c>
      <c r="J152" t="str">
        <v>01/10/2026</v>
      </c>
      <c r="K152" t="str">
        <v>08:55:18</v>
      </c>
      <c r="L152">
        <v>-12.298685</v>
      </c>
      <c r="M152">
        <v>-76.85187</v>
      </c>
      <c r="N152">
        <f>HYPERLINK("https://www.google.com/maps/search/?api=1&amp;query=-12.298685,-76.85187","Carretera Panamericana Sur, Lurín, Lima")</f>
      </c>
      <c r="O152" t="str">
        <v>Aceleración brusca</v>
      </c>
      <c r="P152" t="str">
        <v>CMT-910</v>
      </c>
      <c r="Q152">
        <v>2076.3</v>
      </c>
      <c r="R152" t="str">
        <v/>
      </c>
      <c r="S152">
        <v>56.8</v>
      </c>
      <c r="T152">
        <v>80.73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>
        <v>86</v>
      </c>
      <c r="AC152" t="str">
        <v>01/10/2026</v>
      </c>
      <c r="AD152" t="str">
        <v>08:55:17</v>
      </c>
      <c r="AE152">
        <f>IF("ONLINE"="NOGPS","GPS Antiguo","En línea")</f>
      </c>
      <c r="AF152">
        <f>IF(0=0,"Sin atender", IF(0=1,"Atendida","Atendida y Reportada"))</f>
      </c>
      <c r="AG152" t="str">
        <v/>
      </c>
      <c r="AH152" t="str">
        <v/>
      </c>
      <c r="AI152" t="str">
        <v/>
      </c>
      <c r="AJ152" t="str">
        <v/>
      </c>
      <c r="AK152" t="str">
        <v>01/10/2026 08:55:23</v>
      </c>
      <c r="AL152" t="str">
        <v>08:55:23</v>
      </c>
      <c r="AM152" t="str">
        <v/>
      </c>
    </row>
    <row r="153">
      <c r="A153">
        <v>152</v>
      </c>
      <c r="B153" t="str">
        <v>MASS BSF</v>
      </c>
      <c r="C153" t="str">
        <v>F8R-810</v>
      </c>
      <c r="D153" t="str">
        <v>F8R-810</v>
      </c>
      <c r="E153" t="str">
        <v/>
      </c>
      <c r="F153" t="str">
        <v>867806078868827</v>
      </c>
      <c r="G153" t="str">
        <v>TBD</v>
      </c>
      <c r="H153" t="str">
        <v/>
      </c>
      <c r="I153" t="str">
        <v/>
      </c>
      <c r="J153" t="str">
        <v>01/10/2026</v>
      </c>
      <c r="K153" t="str">
        <v>08:56:28</v>
      </c>
      <c r="L153">
        <v>-12.2934</v>
      </c>
      <c r="M153">
        <v>-76.86211</v>
      </c>
      <c r="N153">
        <f>HYPERLINK("https://www.google.com/maps/search/?api=1&amp;query=-12.2934,-76.86211","Carretera Panamericana Sur, Lurín, Lima")</f>
      </c>
      <c r="O153" t="str">
        <v>Acelerado y giro brusco</v>
      </c>
      <c r="P153" t="str">
        <v/>
      </c>
      <c r="Q153">
        <v>2077.6</v>
      </c>
      <c r="R153" t="str">
        <v/>
      </c>
      <c r="S153">
        <v>66.4</v>
      </c>
      <c r="T153">
        <v>80.73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>
        <v>86</v>
      </c>
      <c r="AC153" t="str">
        <v>01/10/2026</v>
      </c>
      <c r="AD153" t="str">
        <v>08:56:27</v>
      </c>
      <c r="AE153">
        <f>IF("ONLINE"="NOGPS","GPS Antiguo","En línea")</f>
      </c>
      <c r="AF153">
        <f>IF(0=0,"Sin atender", IF(0=1,"Atendida","Atendida y Reportada"))</f>
      </c>
      <c r="AG153" t="str">
        <v/>
      </c>
      <c r="AH153" t="str">
        <v/>
      </c>
      <c r="AI153" t="str">
        <v/>
      </c>
      <c r="AJ153" t="str">
        <v/>
      </c>
      <c r="AK153" t="str">
        <v>01/10/2026 08:56:45</v>
      </c>
      <c r="AL153" t="str">
        <v>08:56:45</v>
      </c>
      <c r="AM153" t="str">
        <v/>
      </c>
    </row>
    <row r="154">
      <c r="A154">
        <v>153</v>
      </c>
      <c r="B154" t="str">
        <v>MASS BSF</v>
      </c>
      <c r="C154" t="str">
        <v>F8R-810</v>
      </c>
      <c r="D154" t="str">
        <v>F8R-810</v>
      </c>
      <c r="E154" t="str">
        <v/>
      </c>
      <c r="F154" t="str">
        <v>867806078868827</v>
      </c>
      <c r="G154" t="str">
        <v>TBD</v>
      </c>
      <c r="H154" t="str">
        <v/>
      </c>
      <c r="I154" t="str">
        <v/>
      </c>
      <c r="J154" t="str">
        <v>01/10/2026</v>
      </c>
      <c r="K154" t="str">
        <v>08:56:47</v>
      </c>
      <c r="L154">
        <v>-12.291635</v>
      </c>
      <c r="M154">
        <v>-76.86491</v>
      </c>
      <c r="N154">
        <f>HYPERLINK("https://www.google.com/maps/search/?api=1&amp;query=-12.291635,-76.86491","Carretera Panamericana Sur, Lurín, Lima")</f>
      </c>
      <c r="O154" t="str">
        <v>Acelerado y giro brusco</v>
      </c>
      <c r="P154" t="str">
        <v/>
      </c>
      <c r="Q154">
        <v>2077.9</v>
      </c>
      <c r="R154" t="str">
        <v/>
      </c>
      <c r="S154">
        <v>68.7</v>
      </c>
      <c r="T154">
        <v>80.73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>
        <v>87</v>
      </c>
      <c r="AC154" t="str">
        <v>01/10/2026</v>
      </c>
      <c r="AD154" t="str">
        <v>08:56:46</v>
      </c>
      <c r="AE154">
        <f>IF("ONLINE"="NOGPS","GPS Antiguo","En línea")</f>
      </c>
      <c r="AF154">
        <f>IF(0=0,"Sin atender", IF(0=1,"Atendida","Atendida y Reportada"))</f>
      </c>
      <c r="AG154" t="str">
        <v/>
      </c>
      <c r="AH154" t="str">
        <v/>
      </c>
      <c r="AI154" t="str">
        <v/>
      </c>
      <c r="AJ154" t="str">
        <v/>
      </c>
      <c r="AK154" t="str">
        <v>01/10/2026 08:57:10</v>
      </c>
      <c r="AL154" t="str">
        <v>08:57:10</v>
      </c>
      <c r="AM154" t="str">
        <v/>
      </c>
    </row>
    <row r="155">
      <c r="A155">
        <v>154</v>
      </c>
      <c r="B155" t="str">
        <v>MASS BSF</v>
      </c>
      <c r="C155" t="str">
        <v>F8R-810</v>
      </c>
      <c r="D155" t="str">
        <v>F8R-810</v>
      </c>
      <c r="E155" t="str">
        <v/>
      </c>
      <c r="F155" t="str">
        <v>867806078868827</v>
      </c>
      <c r="G155" t="str">
        <v>TBD</v>
      </c>
      <c r="H155" t="str">
        <v/>
      </c>
      <c r="I155" t="str">
        <v/>
      </c>
      <c r="J155" t="str">
        <v>01/10/2026</v>
      </c>
      <c r="K155" t="str">
        <v>08:57:27</v>
      </c>
      <c r="L155">
        <v>-12.288002</v>
      </c>
      <c r="M155">
        <v>-76.87072</v>
      </c>
      <c r="N155">
        <f>HYPERLINK("https://www.google.com/maps/search/?api=1&amp;query=-12.288002,-76.87072","Carretera Panamericana Sur, Lurín, Lima")</f>
      </c>
      <c r="O155" t="str">
        <v>Acelerado y giro brusco</v>
      </c>
      <c r="P155" t="str">
        <v/>
      </c>
      <c r="Q155">
        <v>2078.7</v>
      </c>
      <c r="R155" t="str">
        <v/>
      </c>
      <c r="S155">
        <v>68.7</v>
      </c>
      <c r="T155">
        <v>80.73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>
        <v>87</v>
      </c>
      <c r="AC155" t="str">
        <v>01/10/2026</v>
      </c>
      <c r="AD155" t="str">
        <v>08:57:26</v>
      </c>
      <c r="AE155">
        <f>IF("ONLINE"="NOGPS","GPS Antiguo","En línea")</f>
      </c>
      <c r="AF155">
        <f>IF(0=0,"Sin atender", IF(0=1,"Atendida","Atendida y Reportada"))</f>
      </c>
      <c r="AG155" t="str">
        <v/>
      </c>
      <c r="AH155" t="str">
        <v/>
      </c>
      <c r="AI155" t="str">
        <v/>
      </c>
      <c r="AJ155" t="str">
        <v/>
      </c>
      <c r="AK155" t="str">
        <v>01/10/2026 08:57:40</v>
      </c>
      <c r="AL155" t="str">
        <v>08:57:40</v>
      </c>
      <c r="AM155" t="str">
        <v/>
      </c>
    </row>
    <row r="156">
      <c r="A156">
        <v>155</v>
      </c>
      <c r="B156" t="str">
        <v>MASS BSF</v>
      </c>
      <c r="C156" t="str">
        <v>F8R-810</v>
      </c>
      <c r="D156" t="str">
        <v>F8R-810</v>
      </c>
      <c r="E156" t="str">
        <v/>
      </c>
      <c r="F156" t="str">
        <v>867806078868827</v>
      </c>
      <c r="G156" t="str">
        <v>TBD</v>
      </c>
      <c r="H156" t="str">
        <v/>
      </c>
      <c r="I156" t="str">
        <v/>
      </c>
      <c r="J156" t="str">
        <v>01/10/2026</v>
      </c>
      <c r="K156" t="str">
        <v>08:57:36</v>
      </c>
      <c r="L156">
        <v>-12.28706</v>
      </c>
      <c r="M156">
        <v>-76.87222</v>
      </c>
      <c r="N156">
        <f>HYPERLINK("https://www.google.com/maps/search/?api=1&amp;query=-12.28706,-76.87222","Carretera Panamericana Sur, Lurín, Lima")</f>
      </c>
      <c r="O156" t="str">
        <v>Aceleración brusca</v>
      </c>
      <c r="P156" t="str">
        <v>CMT-910</v>
      </c>
      <c r="Q156">
        <v>2078.8</v>
      </c>
      <c r="R156" t="str">
        <v/>
      </c>
      <c r="S156">
        <v>70.3</v>
      </c>
      <c r="T156">
        <v>80.73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>
        <v>85</v>
      </c>
      <c r="AC156" t="str">
        <v>01/10/2026</v>
      </c>
      <c r="AD156" t="str">
        <v>08:57:36</v>
      </c>
      <c r="AE156">
        <f>IF("ONLINE"="NOGPS","GPS Antiguo","En línea")</f>
      </c>
      <c r="AF156">
        <f>IF(0=0,"Sin atender", IF(0=1,"Atendida","Atendida y Reportada"))</f>
      </c>
      <c r="AG156" t="str">
        <v/>
      </c>
      <c r="AH156" t="str">
        <v/>
      </c>
      <c r="AI156" t="str">
        <v/>
      </c>
      <c r="AJ156" t="str">
        <v/>
      </c>
      <c r="AK156" t="str">
        <v>01/10/2026 08:57:47</v>
      </c>
      <c r="AL156" t="str">
        <v>08:57:47</v>
      </c>
      <c r="AM156" t="str">
        <v/>
      </c>
    </row>
    <row r="157">
      <c r="A157">
        <v>156</v>
      </c>
      <c r="B157" t="str">
        <v>MASS BSF</v>
      </c>
      <c r="C157" t="str">
        <v>F8R-810</v>
      </c>
      <c r="D157" t="str">
        <v>F8R-810</v>
      </c>
      <c r="E157" t="str">
        <v/>
      </c>
      <c r="F157" t="str">
        <v>867806078868827</v>
      </c>
      <c r="G157" t="str">
        <v>TBD</v>
      </c>
      <c r="H157" t="str">
        <v/>
      </c>
      <c r="I157" t="str">
        <v/>
      </c>
      <c r="J157" t="str">
        <v>01/10/2026</v>
      </c>
      <c r="K157" t="str">
        <v>09:00:26</v>
      </c>
      <c r="L157">
        <v>-12.271552</v>
      </c>
      <c r="M157">
        <v>-76.89693</v>
      </c>
      <c r="N157">
        <f>HYPERLINK("https://www.google.com/maps/search/?api=1&amp;query=-12.271552,-76.89693","Carretera Panamericana Sur, Lurín, Lima")</f>
      </c>
      <c r="O157" t="str">
        <v>Acelerado y giro brusco</v>
      </c>
      <c r="P157" t="str">
        <v/>
      </c>
      <c r="Q157">
        <v>2082</v>
      </c>
      <c r="R157" t="str">
        <v/>
      </c>
      <c r="S157">
        <v>62.5</v>
      </c>
      <c r="T157">
        <v>80.73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>
        <v>85</v>
      </c>
      <c r="AC157" t="str">
        <v>01/10/2026</v>
      </c>
      <c r="AD157" t="str">
        <v>09:00:25</v>
      </c>
      <c r="AE157">
        <f>IF("ONLINE"="NOGPS","GPS Antiguo","En línea")</f>
      </c>
      <c r="AF157">
        <f>IF(0=0,"Sin atender", IF(0=1,"Atendida","Atendida y Reportada"))</f>
      </c>
      <c r="AG157" t="str">
        <v/>
      </c>
      <c r="AH157" t="str">
        <v/>
      </c>
      <c r="AI157" t="str">
        <v/>
      </c>
      <c r="AJ157" t="str">
        <v/>
      </c>
      <c r="AK157" t="str">
        <v>01/10/2026 09:00:40</v>
      </c>
      <c r="AL157" t="str">
        <v>09:00:40</v>
      </c>
      <c r="AM157" t="str">
        <v/>
      </c>
    </row>
    <row r="158">
      <c r="A158">
        <v>157</v>
      </c>
      <c r="B158" t="str">
        <v>MASS BSF</v>
      </c>
      <c r="C158" t="str">
        <v>F8R-810</v>
      </c>
      <c r="D158" t="str">
        <v>F8R-810</v>
      </c>
      <c r="E158" t="str">
        <v/>
      </c>
      <c r="F158" t="str">
        <v>867806078868827</v>
      </c>
      <c r="G158" t="str">
        <v>TBD</v>
      </c>
      <c r="H158" t="str">
        <v/>
      </c>
      <c r="I158" t="str">
        <v/>
      </c>
      <c r="J158" t="str">
        <v>01/10/2026</v>
      </c>
      <c r="K158" t="str">
        <v>09:00:51</v>
      </c>
      <c r="L158">
        <v>-12.269341</v>
      </c>
      <c r="M158">
        <v>-76.90045</v>
      </c>
      <c r="N158">
        <f>HYPERLINK("https://www.google.com/maps/search/?api=1&amp;query=-12.269341,-76.90045","Carretera Panamericana Sur, Lurín, Lima")</f>
      </c>
      <c r="O158" t="str">
        <v>Acelerado y giro brusco</v>
      </c>
      <c r="P158" t="str">
        <v/>
      </c>
      <c r="Q158">
        <v>2082.5</v>
      </c>
      <c r="R158" t="str">
        <v/>
      </c>
      <c r="S158">
        <v>63.8</v>
      </c>
      <c r="T158">
        <v>80.73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>
        <v>85</v>
      </c>
      <c r="AC158" t="str">
        <v>01/10/2026</v>
      </c>
      <c r="AD158" t="str">
        <v>09:00:51</v>
      </c>
      <c r="AE158">
        <f>IF("ONLINE"="NOGPS","GPS Antiguo","En línea")</f>
      </c>
      <c r="AF158">
        <f>IF(0=0,"Sin atender", IF(0=1,"Atendida","Atendida y Reportada"))</f>
      </c>
      <c r="AG158" t="str">
        <v/>
      </c>
      <c r="AH158" t="str">
        <v/>
      </c>
      <c r="AI158" t="str">
        <v/>
      </c>
      <c r="AJ158" t="str">
        <v/>
      </c>
      <c r="AK158" t="str">
        <v>01/10/2026 09:01:03</v>
      </c>
      <c r="AL158" t="str">
        <v>09:01:03</v>
      </c>
      <c r="AM158" t="str">
        <v/>
      </c>
    </row>
    <row r="159">
      <c r="A159">
        <v>158</v>
      </c>
      <c r="B159" t="str">
        <v>MASS BSF</v>
      </c>
      <c r="C159" t="str">
        <v>F8R-810</v>
      </c>
      <c r="D159" t="str">
        <v>F8R-810</v>
      </c>
      <c r="E159" t="str">
        <v/>
      </c>
      <c r="F159" t="str">
        <v>867806078868827</v>
      </c>
      <c r="G159" t="str">
        <v>TBD</v>
      </c>
      <c r="H159" t="str">
        <v/>
      </c>
      <c r="I159" t="str">
        <v/>
      </c>
      <c r="J159" t="str">
        <v>01/10/2026</v>
      </c>
      <c r="K159" t="str">
        <v>09:01:19</v>
      </c>
      <c r="L159">
        <v>-12.267056</v>
      </c>
      <c r="M159">
        <v>-76.904106</v>
      </c>
      <c r="N159">
        <f>HYPERLINK("https://www.google.com/maps/search/?api=1&amp;query=-12.267056,-76.904106","Carretera Panamericana Sur, Lurín, Lima")</f>
      </c>
      <c r="O159" t="str">
        <v>Aceleración brusca</v>
      </c>
      <c r="P159" t="str">
        <v>CMT-910</v>
      </c>
      <c r="Q159">
        <v>2082.9</v>
      </c>
      <c r="R159" t="str">
        <v/>
      </c>
      <c r="S159">
        <v>64.8</v>
      </c>
      <c r="T159">
        <v>80.73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>
        <v>85</v>
      </c>
      <c r="AC159" t="str">
        <v>01/10/2026</v>
      </c>
      <c r="AD159" t="str">
        <v>09:01:18</v>
      </c>
      <c r="AE159">
        <f>IF("ONLINE"="NOGPS","GPS Antiguo","En línea")</f>
      </c>
      <c r="AF159">
        <f>IF(0=0,"Sin atender", IF(0=1,"Atendida","Atendida y Reportada"))</f>
      </c>
      <c r="AG159" t="str">
        <v/>
      </c>
      <c r="AH159" t="str">
        <v/>
      </c>
      <c r="AI159" t="str">
        <v/>
      </c>
      <c r="AJ159" t="str">
        <v/>
      </c>
      <c r="AK159" t="str">
        <v>01/10/2026 09:01:23</v>
      </c>
      <c r="AL159" t="str">
        <v>09:01:23</v>
      </c>
      <c r="AM159" t="str">
        <v/>
      </c>
    </row>
    <row r="160">
      <c r="A160">
        <v>159</v>
      </c>
      <c r="B160" t="str">
        <v>MASS BSF</v>
      </c>
      <c r="C160" t="str">
        <v>F8R-810</v>
      </c>
      <c r="D160" t="str">
        <v>F8R-810</v>
      </c>
      <c r="E160" t="str">
        <v/>
      </c>
      <c r="F160" t="str">
        <v>867806078868827</v>
      </c>
      <c r="G160" t="str">
        <v>TBD</v>
      </c>
      <c r="H160" t="str">
        <v/>
      </c>
      <c r="I160" t="str">
        <v/>
      </c>
      <c r="J160" t="str">
        <v>01/10/2026</v>
      </c>
      <c r="K160" t="str">
        <v>09:04:27</v>
      </c>
      <c r="L160">
        <v>-12.249447</v>
      </c>
      <c r="M160">
        <v>-76.93168</v>
      </c>
      <c r="N160">
        <f>HYPERLINK("https://www.google.com/maps/search/?api=1&amp;query=-12.249447,-76.93168","Carretera Panamericana Sur, Villa El Salvador, Lima")</f>
      </c>
      <c r="O160" t="str">
        <v>Aceleración brusca</v>
      </c>
      <c r="P160" t="str">
        <v>CMT-910</v>
      </c>
      <c r="Q160">
        <v>2086.5</v>
      </c>
      <c r="R160" t="str">
        <v/>
      </c>
      <c r="S160">
        <v>69.2</v>
      </c>
      <c r="T160">
        <v>80.73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>
        <v>85</v>
      </c>
      <c r="AC160" t="str">
        <v>01/10/2026</v>
      </c>
      <c r="AD160" t="str">
        <v>09:04:26</v>
      </c>
      <c r="AE160">
        <f>IF("ONLINE"="NOGPS","GPS Antiguo","En línea")</f>
      </c>
      <c r="AF160">
        <f>IF(0=0,"Sin atender", IF(0=1,"Atendida","Atendida y Reportada"))</f>
      </c>
      <c r="AG160" t="str">
        <v/>
      </c>
      <c r="AH160" t="str">
        <v/>
      </c>
      <c r="AI160" t="str">
        <v/>
      </c>
      <c r="AJ160" t="str">
        <v/>
      </c>
      <c r="AK160" t="str">
        <v>01/10/2026 09:04:34</v>
      </c>
      <c r="AL160" t="str">
        <v>09:04:34</v>
      </c>
      <c r="AM160" t="str">
        <v/>
      </c>
    </row>
    <row r="161">
      <c r="A161">
        <v>160</v>
      </c>
      <c r="B161" t="str">
        <v>MASS BSF</v>
      </c>
      <c r="C161" t="str">
        <v>F8R-810</v>
      </c>
      <c r="D161" t="str">
        <v>F8R-810</v>
      </c>
      <c r="E161" t="str">
        <v/>
      </c>
      <c r="F161" t="str">
        <v>867806078868827</v>
      </c>
      <c r="G161" t="str">
        <v>TBD</v>
      </c>
      <c r="H161" t="str">
        <v/>
      </c>
      <c r="I161" t="str">
        <v/>
      </c>
      <c r="J161" t="str">
        <v>01/10/2026</v>
      </c>
      <c r="K161" t="str">
        <v>09:04:36</v>
      </c>
      <c r="L161">
        <v>-12.248405</v>
      </c>
      <c r="M161">
        <v>-76.933044</v>
      </c>
      <c r="N161">
        <f>HYPERLINK("https://www.google.com/maps/search/?api=1&amp;query=-12.248405,-76.933044","Carretera Panamericana Sur, Villa El Salvador, Lima")</f>
      </c>
      <c r="O161" t="str">
        <v>Acelerado y giro brusco</v>
      </c>
      <c r="P161" t="str">
        <v/>
      </c>
      <c r="Q161">
        <v>2086.7</v>
      </c>
      <c r="R161" t="str">
        <v/>
      </c>
      <c r="S161">
        <v>68.5</v>
      </c>
      <c r="T161">
        <v>80.73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>
        <v>85</v>
      </c>
      <c r="AC161" t="str">
        <v>01/10/2026</v>
      </c>
      <c r="AD161" t="str">
        <v>09:04:36</v>
      </c>
      <c r="AE161">
        <f>IF("ONLINE"="NOGPS","GPS Antiguo","En línea")</f>
      </c>
      <c r="AF161">
        <f>IF(0=0,"Sin atender", IF(0=1,"Atendida","Atendida y Reportada"))</f>
      </c>
      <c r="AG161" t="str">
        <v/>
      </c>
      <c r="AH161" t="str">
        <v/>
      </c>
      <c r="AI161" t="str">
        <v/>
      </c>
      <c r="AJ161" t="str">
        <v/>
      </c>
      <c r="AK161" t="str">
        <v>01/10/2026 09:04:51</v>
      </c>
      <c r="AL161" t="str">
        <v>09:04:51</v>
      </c>
      <c r="AM161" t="str">
        <v/>
      </c>
    </row>
    <row r="162">
      <c r="A162">
        <v>161</v>
      </c>
      <c r="B162" t="str">
        <v>MASS BSF</v>
      </c>
      <c r="C162" t="str">
        <v>F8R-810</v>
      </c>
      <c r="D162" t="str">
        <v>F8R-810</v>
      </c>
      <c r="E162" t="str">
        <v/>
      </c>
      <c r="F162" t="str">
        <v>867806078868827</v>
      </c>
      <c r="G162" t="str">
        <v>TBD</v>
      </c>
      <c r="H162" t="str">
        <v/>
      </c>
      <c r="I162" t="str">
        <v/>
      </c>
      <c r="J162" t="str">
        <v>01/10/2026</v>
      </c>
      <c r="K162" t="str">
        <v>09:04:40</v>
      </c>
      <c r="L162">
        <v>-12.248085</v>
      </c>
      <c r="M162">
        <v>-76.933464</v>
      </c>
      <c r="N162">
        <f>HYPERLINK("https://www.google.com/maps/search/?api=1&amp;query=-12.248085,-76.933464","Carretera Panamericana Sur, Villa El Salvador, Lima")</f>
      </c>
      <c r="O162" t="str">
        <v>Acelerado y giro brusco</v>
      </c>
      <c r="P162" t="str">
        <v/>
      </c>
      <c r="Q162">
        <v>2086.7</v>
      </c>
      <c r="R162" t="str">
        <v/>
      </c>
      <c r="S162">
        <v>69.4</v>
      </c>
      <c r="T162">
        <v>80.73</v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>
        <v>85</v>
      </c>
      <c r="AC162" t="str">
        <v>01/10/2026</v>
      </c>
      <c r="AD162" t="str">
        <v>09:04:39</v>
      </c>
      <c r="AE162">
        <f>IF("ONLINE"="NOGPS","GPS Antiguo","En línea")</f>
      </c>
      <c r="AF162">
        <f>IF(0=0,"Sin atender", IF(0=1,"Atendida","Atendida y Reportada"))</f>
      </c>
      <c r="AG162" t="str">
        <v/>
      </c>
      <c r="AH162" t="str">
        <v/>
      </c>
      <c r="AI162" t="str">
        <v/>
      </c>
      <c r="AJ162" t="str">
        <v/>
      </c>
      <c r="AK162" t="str">
        <v>01/10/2026 09:04:56</v>
      </c>
      <c r="AL162" t="str">
        <v>09:04:56</v>
      </c>
      <c r="AM162" t="str">
        <v/>
      </c>
    </row>
    <row r="163">
      <c r="A163">
        <v>162</v>
      </c>
      <c r="B163" t="str">
        <v>MASS BSF</v>
      </c>
      <c r="C163" t="str">
        <v>F8R-810</v>
      </c>
      <c r="D163" t="str">
        <v>F8R-810</v>
      </c>
      <c r="E163" t="str">
        <v/>
      </c>
      <c r="F163" t="str">
        <v>867806078868827</v>
      </c>
      <c r="G163" t="str">
        <v>TBD</v>
      </c>
      <c r="H163" t="str">
        <v/>
      </c>
      <c r="I163" t="str">
        <v/>
      </c>
      <c r="J163" t="str">
        <v>01/10/2026</v>
      </c>
      <c r="K163" t="str">
        <v>09:04:53</v>
      </c>
      <c r="L163">
        <v>-12.24684</v>
      </c>
      <c r="M163">
        <v>-76.93533</v>
      </c>
      <c r="N163">
        <f>HYPERLINK("https://www.google.com/maps/search/?api=1&amp;query=-12.24684,-76.93533","Carretera Panamericana Sur, Lurín, Lima")</f>
      </c>
      <c r="O163" t="str">
        <v>Acelerado y giro brusco</v>
      </c>
      <c r="P163" t="str">
        <v/>
      </c>
      <c r="Q163">
        <v>2087</v>
      </c>
      <c r="R163" t="str">
        <v/>
      </c>
      <c r="S163">
        <v>66.4</v>
      </c>
      <c r="T163">
        <v>80.73</v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>
        <v>85</v>
      </c>
      <c r="AC163" t="str">
        <v>01/10/2026</v>
      </c>
      <c r="AD163" t="str">
        <v>09:04:52</v>
      </c>
      <c r="AE163">
        <f>IF("ONLINE"="NOGPS","GPS Antiguo","En línea")</f>
      </c>
      <c r="AF163">
        <f>IF(0=0,"Sin atender", IF(0=1,"Atendida","Atendida y Reportada"))</f>
      </c>
      <c r="AG163" t="str">
        <v/>
      </c>
      <c r="AH163" t="str">
        <v/>
      </c>
      <c r="AI163" t="str">
        <v/>
      </c>
      <c r="AJ163" t="str">
        <v/>
      </c>
      <c r="AK163" t="str">
        <v>01/10/2026 09:05:16</v>
      </c>
      <c r="AL163" t="str">
        <v>09:05:16</v>
      </c>
      <c r="AM163" t="str">
        <v/>
      </c>
    </row>
    <row r="164">
      <c r="A164">
        <v>163</v>
      </c>
      <c r="B164" t="str">
        <v>MASS BSF</v>
      </c>
      <c r="C164" t="str">
        <v>F8R-810</v>
      </c>
      <c r="D164" t="str">
        <v>F8R-810</v>
      </c>
      <c r="E164" t="str">
        <v/>
      </c>
      <c r="F164" t="str">
        <v>867806078868827</v>
      </c>
      <c r="G164" t="str">
        <v>TBD</v>
      </c>
      <c r="H164" t="str">
        <v/>
      </c>
      <c r="I164" t="str">
        <v/>
      </c>
      <c r="J164" t="str">
        <v>01/10/2026</v>
      </c>
      <c r="K164" t="str">
        <v>09:05:11</v>
      </c>
      <c r="L164">
        <v>-12.245408</v>
      </c>
      <c r="M164">
        <v>-76.93809</v>
      </c>
      <c r="N164">
        <f>HYPERLINK("https://www.google.com/maps/search/?api=1&amp;query=-12.245408,-76.93809","Carretera Panamericana Sur, Lurín, Lima")</f>
      </c>
      <c r="O164" t="str">
        <v>Acelerado y giro brusco</v>
      </c>
      <c r="P164" t="str">
        <v/>
      </c>
      <c r="Q164">
        <v>2087.3</v>
      </c>
      <c r="R164" t="str">
        <v/>
      </c>
      <c r="S164">
        <v>63.5</v>
      </c>
      <c r="T164">
        <v>80.73</v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>
        <v>85</v>
      </c>
      <c r="AC164" t="str">
        <v>01/10/2026</v>
      </c>
      <c r="AD164" t="str">
        <v>09:05:11</v>
      </c>
      <c r="AE164">
        <f>IF("ONLINE"="NOGPS","GPS Antiguo","En línea")</f>
      </c>
      <c r="AF164">
        <f>IF(0=0,"Sin atender", IF(0=1,"Atendida","Atendida y Reportada"))</f>
      </c>
      <c r="AG164" t="str">
        <v/>
      </c>
      <c r="AH164" t="str">
        <v/>
      </c>
      <c r="AI164" t="str">
        <v/>
      </c>
      <c r="AJ164" t="str">
        <v/>
      </c>
      <c r="AK164" t="str">
        <v>01/10/2026 09:05:19</v>
      </c>
      <c r="AL164" t="str">
        <v>09:05:19</v>
      </c>
      <c r="AM164" t="str">
        <v/>
      </c>
    </row>
    <row r="165">
      <c r="A165">
        <v>164</v>
      </c>
      <c r="B165" t="str">
        <v>MASS BSF</v>
      </c>
      <c r="C165" t="str">
        <v>F8R-810</v>
      </c>
      <c r="D165" t="str">
        <v>F8R-810</v>
      </c>
      <c r="E165" t="str">
        <v/>
      </c>
      <c r="F165" t="str">
        <v>867806078868827</v>
      </c>
      <c r="G165" t="str">
        <v>TBD</v>
      </c>
      <c r="H165" t="str">
        <v/>
      </c>
      <c r="I165" t="str">
        <v/>
      </c>
      <c r="J165" t="str">
        <v>01/10/2026</v>
      </c>
      <c r="K165" t="str">
        <v>09:05:19</v>
      </c>
      <c r="L165">
        <v>-12.244815</v>
      </c>
      <c r="M165">
        <v>-76.93923</v>
      </c>
      <c r="N165">
        <f>HYPERLINK("https://www.google.com/maps/search/?api=1&amp;query=-12.244815,-76.93923","Carretera Panamericana Sur, Villa El Salvador, Lima")</f>
      </c>
      <c r="O165" t="str">
        <v>Acelerado y giro brusco</v>
      </c>
      <c r="P165" t="str">
        <v/>
      </c>
      <c r="Q165">
        <v>2087.5</v>
      </c>
      <c r="R165" t="str">
        <v/>
      </c>
      <c r="S165">
        <v>63.8</v>
      </c>
      <c r="T165">
        <v>80.73</v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>
        <v>85</v>
      </c>
      <c r="AC165" t="str">
        <v>01/10/2026</v>
      </c>
      <c r="AD165" t="str">
        <v>09:05:19</v>
      </c>
      <c r="AE165">
        <f>IF("ONLINE"="NOGPS","GPS Antiguo","En línea")</f>
      </c>
      <c r="AF165">
        <f>IF(0=0,"Sin atender", IF(0=1,"Atendida","Atendida y Reportada"))</f>
      </c>
      <c r="AG165" t="str">
        <v/>
      </c>
      <c r="AH165" t="str">
        <v/>
      </c>
      <c r="AI165" t="str">
        <v/>
      </c>
      <c r="AJ165" t="str">
        <v/>
      </c>
      <c r="AK165" t="str">
        <v>01/10/2026 09:05:32</v>
      </c>
      <c r="AL165" t="str">
        <v>09:05:32</v>
      </c>
      <c r="AM165" t="str">
        <v/>
      </c>
    </row>
    <row r="166">
      <c r="A166">
        <v>165</v>
      </c>
      <c r="B166" t="str">
        <v>MASS BSF</v>
      </c>
      <c r="C166" t="str">
        <v>F8R-810</v>
      </c>
      <c r="D166" t="str">
        <v>F8R-810</v>
      </c>
      <c r="E166" t="str">
        <v/>
      </c>
      <c r="F166" t="str">
        <v>867806078868827</v>
      </c>
      <c r="G166" t="str">
        <v>TBD</v>
      </c>
      <c r="H166" t="str">
        <v/>
      </c>
      <c r="I166" t="str">
        <v/>
      </c>
      <c r="J166" t="str">
        <v>01/10/2026</v>
      </c>
      <c r="K166" t="str">
        <v>09:06:23</v>
      </c>
      <c r="L166">
        <v>-12.240125</v>
      </c>
      <c r="M166">
        <v>-76.948265</v>
      </c>
      <c r="N166">
        <f>HYPERLINK("https://www.google.com/maps/search/?api=1&amp;query=-12.240125,-76.948265","Carretera Panamericana Sur, Villa El Salvador, Lima")</f>
      </c>
      <c r="O166" t="str">
        <v>Acelerado y giro brusco</v>
      </c>
      <c r="P166" t="str">
        <v/>
      </c>
      <c r="Q166">
        <v>2088.6</v>
      </c>
      <c r="R166" t="str">
        <v/>
      </c>
      <c r="S166">
        <v>67.2</v>
      </c>
      <c r="T166">
        <v>80.73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>
        <v>85</v>
      </c>
      <c r="AC166" t="str">
        <v>01/10/2026</v>
      </c>
      <c r="AD166" t="str">
        <v>09:06:22</v>
      </c>
      <c r="AE166">
        <f>IF("ONLINE"="NOGPS","GPS Antiguo","En línea")</f>
      </c>
      <c r="AF166">
        <f>IF(0=0,"Sin atender", IF(0=1,"Atendida","Atendida y Reportada"))</f>
      </c>
      <c r="AG166" t="str">
        <v/>
      </c>
      <c r="AH166" t="str">
        <v/>
      </c>
      <c r="AI166" t="str">
        <v/>
      </c>
      <c r="AJ166" t="str">
        <v/>
      </c>
      <c r="AK166" t="str">
        <v>01/10/2026 09:06:33</v>
      </c>
      <c r="AL166" t="str">
        <v>09:06:33</v>
      </c>
      <c r="AM166" t="str">
        <v/>
      </c>
    </row>
    <row r="167">
      <c r="A167">
        <v>166</v>
      </c>
      <c r="B167" t="str">
        <v>MASS BSF</v>
      </c>
      <c r="C167" t="str">
        <v>F8R-810</v>
      </c>
      <c r="D167" t="str">
        <v>F8R-810</v>
      </c>
      <c r="E167" t="str">
        <v/>
      </c>
      <c r="F167" t="str">
        <v>867806078868827</v>
      </c>
      <c r="G167" t="str">
        <v>TBD</v>
      </c>
      <c r="H167" t="str">
        <v/>
      </c>
      <c r="I167" t="str">
        <v/>
      </c>
      <c r="J167" t="str">
        <v>01/10/2026</v>
      </c>
      <c r="K167" t="str">
        <v>09:06:31</v>
      </c>
      <c r="L167">
        <v>-12.23948</v>
      </c>
      <c r="M167">
        <v>-76.9495</v>
      </c>
      <c r="N167">
        <f>HYPERLINK("https://www.google.com/maps/search/?api=1&amp;query=-12.23948,-76.9495","Carretera Panamericana Sur, Villa El Salvador, Lima")</f>
      </c>
      <c r="O167" t="str">
        <v>Aceleración brusca</v>
      </c>
      <c r="P167" t="str">
        <v>CMT-910</v>
      </c>
      <c r="Q167">
        <v>2088.7</v>
      </c>
      <c r="R167" t="str">
        <v/>
      </c>
      <c r="S167">
        <v>68.1</v>
      </c>
      <c r="T167">
        <v>80.73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>
        <v>85</v>
      </c>
      <c r="AC167" t="str">
        <v>01/10/2026</v>
      </c>
      <c r="AD167" t="str">
        <v>09:06:30</v>
      </c>
      <c r="AE167">
        <f>IF("ONLINE"="NOGPS","GPS Antiguo","En línea")</f>
      </c>
      <c r="AF167">
        <f>IF(0=0,"Sin atender", IF(0=1,"Atendida","Atendida y Reportada"))</f>
      </c>
      <c r="AG167" t="str">
        <v/>
      </c>
      <c r="AH167" t="str">
        <v/>
      </c>
      <c r="AI167" t="str">
        <v/>
      </c>
      <c r="AJ167" t="str">
        <v/>
      </c>
      <c r="AK167" t="str">
        <v>01/10/2026 09:06:45</v>
      </c>
      <c r="AL167" t="str">
        <v>09:06:45</v>
      </c>
      <c r="AM167" t="str">
        <v/>
      </c>
    </row>
    <row r="168">
      <c r="A168">
        <v>167</v>
      </c>
      <c r="B168" t="str">
        <v>MASS BSF</v>
      </c>
      <c r="C168" t="str">
        <v>F8R-810</v>
      </c>
      <c r="D168" t="str">
        <v>F8R-810</v>
      </c>
      <c r="E168" t="str">
        <v/>
      </c>
      <c r="F168" t="str">
        <v>867806078868827</v>
      </c>
      <c r="G168" t="str">
        <v>TBD</v>
      </c>
      <c r="H168" t="str">
        <v/>
      </c>
      <c r="I168" t="str">
        <v/>
      </c>
      <c r="J168" t="str">
        <v>01/10/2026</v>
      </c>
      <c r="K168" t="str">
        <v>09:06:48</v>
      </c>
      <c r="L168">
        <v>-12.2381</v>
      </c>
      <c r="M168">
        <v>-76.952156</v>
      </c>
      <c r="N168">
        <f>HYPERLINK("https://www.google.com/maps/search/?api=1&amp;query=-12.2381,-76.952156","Carretera Panamericana Sur, Villa El Salvador, Lima")</f>
      </c>
      <c r="O168" t="str">
        <v>Aceleración brusca</v>
      </c>
      <c r="P168" t="str">
        <v>CMT-910</v>
      </c>
      <c r="Q168">
        <v>2089</v>
      </c>
      <c r="R168" t="str">
        <v/>
      </c>
      <c r="S168">
        <v>67.9</v>
      </c>
      <c r="T168">
        <v>80.73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>
        <v>85</v>
      </c>
      <c r="AC168" t="str">
        <v>01/10/2026</v>
      </c>
      <c r="AD168" t="str">
        <v>09:06:47</v>
      </c>
      <c r="AE168">
        <f>IF("ONLINE"="NOGPS","GPS Antiguo","En línea")</f>
      </c>
      <c r="AF168">
        <f>IF(0=0,"Sin atender", IF(0=1,"Atendida","Atendida y Reportada"))</f>
      </c>
      <c r="AG168" t="str">
        <v/>
      </c>
      <c r="AH168" t="str">
        <v/>
      </c>
      <c r="AI168" t="str">
        <v/>
      </c>
      <c r="AJ168" t="str">
        <v/>
      </c>
      <c r="AK168" t="str">
        <v>01/10/2026 09:07:04</v>
      </c>
      <c r="AL168" t="str">
        <v>09:07:04</v>
      </c>
      <c r="AM168" t="str">
        <v/>
      </c>
    </row>
    <row r="169">
      <c r="A169">
        <v>168</v>
      </c>
      <c r="B169" t="str">
        <v>MASS BSF</v>
      </c>
      <c r="C169" t="str">
        <v>F8R-810</v>
      </c>
      <c r="D169" t="str">
        <v>F8R-810</v>
      </c>
      <c r="E169" t="str">
        <v/>
      </c>
      <c r="F169" t="str">
        <v>867806078868827</v>
      </c>
      <c r="G169" t="str">
        <v>TBD</v>
      </c>
      <c r="H169" t="str">
        <v/>
      </c>
      <c r="I169" t="str">
        <v/>
      </c>
      <c r="J169" t="str">
        <v>01/10/2026</v>
      </c>
      <c r="K169" t="str">
        <v>09:07:13</v>
      </c>
      <c r="L169">
        <v>-12.236067</v>
      </c>
      <c r="M169">
        <v>-76.95608</v>
      </c>
      <c r="N169">
        <f>HYPERLINK("https://www.google.com/maps/search/?api=1&amp;query=-12.236067,-76.95608","Carretera Panamericana Sur, Villa El Salvador, Lima")</f>
      </c>
      <c r="O169" t="str">
        <v>Aceleración brusca</v>
      </c>
      <c r="P169" t="str">
        <v>CMT-910</v>
      </c>
      <c r="Q169">
        <v>2089.5</v>
      </c>
      <c r="R169" t="str">
        <v/>
      </c>
      <c r="S169">
        <v>70.1</v>
      </c>
      <c r="T169">
        <v>80.73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>
        <v>85</v>
      </c>
      <c r="AC169" t="str">
        <v>01/10/2026</v>
      </c>
      <c r="AD169" t="str">
        <v>09:07:12</v>
      </c>
      <c r="AE169">
        <f>IF("ONLINE"="NOGPS","GPS Antiguo","En línea")</f>
      </c>
      <c r="AF169">
        <f>IF(0=0,"Sin atender", IF(0=1,"Atendida","Atendida y Reportada"))</f>
      </c>
      <c r="AG169" t="str">
        <v/>
      </c>
      <c r="AH169" t="str">
        <v/>
      </c>
      <c r="AI169" t="str">
        <v/>
      </c>
      <c r="AJ169" t="str">
        <v/>
      </c>
      <c r="AK169" t="str">
        <v>01/10/2026 09:07:35</v>
      </c>
      <c r="AL169" t="str">
        <v>09:07:35</v>
      </c>
      <c r="AM169" t="str">
        <v/>
      </c>
    </row>
    <row r="170">
      <c r="A170">
        <v>169</v>
      </c>
      <c r="B170" t="str">
        <v>MASS BSF</v>
      </c>
      <c r="C170" t="str">
        <v>F8R-810</v>
      </c>
      <c r="D170" t="str">
        <v>F8R-810</v>
      </c>
      <c r="E170" t="str">
        <v/>
      </c>
      <c r="F170" t="str">
        <v>867806078868827</v>
      </c>
      <c r="G170" t="str">
        <v>TBD</v>
      </c>
      <c r="H170" t="str">
        <v/>
      </c>
      <c r="I170" t="str">
        <v/>
      </c>
      <c r="J170" t="str">
        <v>01/10/2026</v>
      </c>
      <c r="K170" t="str">
        <v>09:08:08</v>
      </c>
      <c r="L170">
        <v>-12.231637</v>
      </c>
      <c r="M170">
        <v>-76.964584</v>
      </c>
      <c r="N170">
        <f>HYPERLINK("https://www.google.com/maps/search/?api=1&amp;query=-12.231637,-76.964584","Carretera Panamericana Sur, Villa El Salvador, Lima")</f>
      </c>
      <c r="O170" t="str">
        <v>Aceleración brusca</v>
      </c>
      <c r="P170" t="str">
        <v>CMT-910</v>
      </c>
      <c r="Q170">
        <v>2090.6</v>
      </c>
      <c r="R170" t="str">
        <v/>
      </c>
      <c r="S170">
        <v>70.3</v>
      </c>
      <c r="T170">
        <v>80.73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>
        <v>85</v>
      </c>
      <c r="AC170" t="str">
        <v>01/10/2026</v>
      </c>
      <c r="AD170" t="str">
        <v>09:08:07</v>
      </c>
      <c r="AE170">
        <f>IF("ONLINE"="NOGPS","GPS Antiguo","En línea")</f>
      </c>
      <c r="AF170">
        <f>IF(0=0,"Sin atender", IF(0=1,"Atendida","Atendida y Reportada"))</f>
      </c>
      <c r="AG170" t="str">
        <v/>
      </c>
      <c r="AH170" t="str">
        <v/>
      </c>
      <c r="AI170" t="str">
        <v/>
      </c>
      <c r="AJ170" t="str">
        <v/>
      </c>
      <c r="AK170" t="str">
        <v>01/10/2026 09:08:39</v>
      </c>
      <c r="AL170" t="str">
        <v>09:08:39</v>
      </c>
      <c r="AM170" t="str">
        <v/>
      </c>
    </row>
    <row r="171">
      <c r="A171">
        <v>170</v>
      </c>
      <c r="B171" t="str">
        <v>MASS BSF</v>
      </c>
      <c r="C171" t="str">
        <v>F8R-810</v>
      </c>
      <c r="D171" t="str">
        <v>F8R-810</v>
      </c>
      <c r="E171" t="str">
        <v/>
      </c>
      <c r="F171" t="str">
        <v>867806078868827</v>
      </c>
      <c r="G171" t="str">
        <v>TBD</v>
      </c>
      <c r="H171" t="str">
        <v/>
      </c>
      <c r="I171" t="str">
        <v/>
      </c>
      <c r="J171" t="str">
        <v>01/10/2026</v>
      </c>
      <c r="K171" t="str">
        <v>09:08:16</v>
      </c>
      <c r="L171">
        <v>-12.230958</v>
      </c>
      <c r="M171">
        <v>-76.96581</v>
      </c>
      <c r="N171">
        <f>HYPERLINK("https://www.google.com/maps/search/?api=1&amp;query=-12.230958,-76.96581","Carretera Panamericana Sur, Villa El Salvador, Lima")</f>
      </c>
      <c r="O171" t="str">
        <v>Aceleración brusca</v>
      </c>
      <c r="P171" t="str">
        <v>CMT-910</v>
      </c>
      <c r="Q171">
        <v>2090.7</v>
      </c>
      <c r="R171" t="str">
        <v/>
      </c>
      <c r="S171">
        <v>69.4</v>
      </c>
      <c r="T171">
        <v>80.73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>
        <v>85</v>
      </c>
      <c r="AC171" t="str">
        <v>01/10/2026</v>
      </c>
      <c r="AD171" t="str">
        <v>09:08:15</v>
      </c>
      <c r="AE171">
        <f>IF("ONLINE"="NOGPS","GPS Antiguo","En línea")</f>
      </c>
      <c r="AF171">
        <f>IF(0=0,"Sin atender", IF(0=1,"Atendida","Atendida y Reportada"))</f>
      </c>
      <c r="AG171" t="str">
        <v/>
      </c>
      <c r="AH171" t="str">
        <v/>
      </c>
      <c r="AI171" t="str">
        <v/>
      </c>
      <c r="AJ171" t="str">
        <v/>
      </c>
      <c r="AK171" t="str">
        <v>01/10/2026 09:08:26</v>
      </c>
      <c r="AL171" t="str">
        <v>09:08:26</v>
      </c>
      <c r="AM171" t="str">
        <v/>
      </c>
    </row>
    <row r="172">
      <c r="A172">
        <v>171</v>
      </c>
      <c r="B172" t="str">
        <v>MASS BSF</v>
      </c>
      <c r="C172" t="str">
        <v>F8R-810</v>
      </c>
      <c r="D172" t="str">
        <v>F8R-810</v>
      </c>
      <c r="E172" t="str">
        <v/>
      </c>
      <c r="F172" t="str">
        <v>867806078868827</v>
      </c>
      <c r="G172" t="str">
        <v>TBD</v>
      </c>
      <c r="H172" t="str">
        <v/>
      </c>
      <c r="I172" t="str">
        <v/>
      </c>
      <c r="J172" t="str">
        <v>01/10/2026</v>
      </c>
      <c r="K172" t="str">
        <v>09:08:36</v>
      </c>
      <c r="L172">
        <v>-12.228732</v>
      </c>
      <c r="M172">
        <v>-76.96837</v>
      </c>
      <c r="N172">
        <f>HYPERLINK("https://www.google.com/maps/search/?api=1&amp;query=-12.228732,-76.96837","Carretera Panamericana Sur, Villa El Salvador, Lima")</f>
      </c>
      <c r="O172" t="str">
        <v>Acelerado y giro brusco</v>
      </c>
      <c r="P172" t="str">
        <v/>
      </c>
      <c r="Q172">
        <v>2091.1</v>
      </c>
      <c r="R172" t="str">
        <v/>
      </c>
      <c r="S172">
        <v>64.4</v>
      </c>
      <c r="T172">
        <v>80.73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>
        <v>85</v>
      </c>
      <c r="AC172" t="str">
        <v>01/10/2026</v>
      </c>
      <c r="AD172" t="str">
        <v>09:08:35</v>
      </c>
      <c r="AE172">
        <f>IF("ONLINE"="NOGPS","GPS Antiguo","En línea")</f>
      </c>
      <c r="AF172">
        <f>IF(0=0,"Sin atender", IF(0=1,"Atendida","Atendida y Reportada"))</f>
      </c>
      <c r="AG172" t="str">
        <v/>
      </c>
      <c r="AH172" t="str">
        <v/>
      </c>
      <c r="AI172" t="str">
        <v/>
      </c>
      <c r="AJ172" t="str">
        <v/>
      </c>
      <c r="AK172" t="str">
        <v>01/10/2026 09:08:44</v>
      </c>
      <c r="AL172" t="str">
        <v>09:08:44</v>
      </c>
      <c r="AM172" t="str">
        <v/>
      </c>
    </row>
    <row r="173">
      <c r="A173">
        <v>172</v>
      </c>
      <c r="B173" t="str">
        <v>MASS BSF</v>
      </c>
      <c r="C173" t="str">
        <v>F8R-810</v>
      </c>
      <c r="D173" t="str">
        <v>F8R-810</v>
      </c>
      <c r="E173" t="str">
        <v/>
      </c>
      <c r="F173" t="str">
        <v>867806078868827</v>
      </c>
      <c r="G173" t="str">
        <v>TBD</v>
      </c>
      <c r="H173" t="str">
        <v/>
      </c>
      <c r="I173" t="str">
        <v/>
      </c>
      <c r="J173" t="str">
        <v>01/10/2026</v>
      </c>
      <c r="K173" t="str">
        <v>09:08:39</v>
      </c>
      <c r="L173">
        <v>-12.228374</v>
      </c>
      <c r="M173">
        <v>-76.96871</v>
      </c>
      <c r="N173">
        <f>HYPERLINK("https://www.google.com/maps/search/?api=1&amp;query=-12.228374,-76.96871","Carretera Panamericana Sur, Villa El Salvador, Lima")</f>
      </c>
      <c r="O173" t="str">
        <v>Acelerado y giro brusco</v>
      </c>
      <c r="P173" t="str">
        <v/>
      </c>
      <c r="Q173">
        <v>2091.1</v>
      </c>
      <c r="R173" t="str">
        <v/>
      </c>
      <c r="S173">
        <v>65.5</v>
      </c>
      <c r="T173">
        <v>80.73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>
        <v>85</v>
      </c>
      <c r="AC173" t="str">
        <v>01/10/2026</v>
      </c>
      <c r="AD173" t="str">
        <v>09:08:38</v>
      </c>
      <c r="AE173">
        <f>IF("ONLINE"="NOGPS","GPS Antiguo","En línea")</f>
      </c>
      <c r="AF173">
        <f>IF(0=0,"Sin atender", IF(0=1,"Atendida","Atendida y Reportada"))</f>
      </c>
      <c r="AG173" t="str">
        <v/>
      </c>
      <c r="AH173" t="str">
        <v/>
      </c>
      <c r="AI173" t="str">
        <v/>
      </c>
      <c r="AJ173" t="str">
        <v/>
      </c>
      <c r="AK173" t="str">
        <v>01/10/2026 09:08:53</v>
      </c>
      <c r="AL173" t="str">
        <v>09:08:53</v>
      </c>
      <c r="AM173" t="str">
        <v/>
      </c>
    </row>
    <row r="174">
      <c r="A174">
        <v>173</v>
      </c>
      <c r="B174" t="str">
        <v>MASS BSF</v>
      </c>
      <c r="C174" t="str">
        <v>F8R-810</v>
      </c>
      <c r="D174" t="str">
        <v>F8R-810</v>
      </c>
      <c r="E174" t="str">
        <v/>
      </c>
      <c r="F174" t="str">
        <v>867806078868827</v>
      </c>
      <c r="G174" t="str">
        <v>TBD</v>
      </c>
      <c r="H174" t="str">
        <v/>
      </c>
      <c r="I174" t="str">
        <v/>
      </c>
      <c r="J174" t="str">
        <v>01/10/2026</v>
      </c>
      <c r="K174" t="str">
        <v>09:08:54</v>
      </c>
      <c r="L174">
        <v>-12.226653</v>
      </c>
      <c r="M174">
        <v>-76.97031</v>
      </c>
      <c r="N174">
        <f>HYPERLINK("https://www.google.com/maps/search/?api=1&amp;query=-12.226653,-76.97031","Carretera Panamericana Sur, Villa El Salvador, Lima")</f>
      </c>
      <c r="O174" t="str">
        <v>Aceleración brusca</v>
      </c>
      <c r="P174" t="str">
        <v>CMT-910</v>
      </c>
      <c r="Q174">
        <v>2091.4</v>
      </c>
      <c r="R174" t="str">
        <v/>
      </c>
      <c r="S174">
        <v>58.5</v>
      </c>
      <c r="T174">
        <v>80.73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>
        <v>85</v>
      </c>
      <c r="AC174" t="str">
        <v>01/10/2026</v>
      </c>
      <c r="AD174" t="str">
        <v>09:08:53</v>
      </c>
      <c r="AE174">
        <f>IF("ONLINE"="NOGPS","GPS Antiguo","En línea")</f>
      </c>
      <c r="AF174">
        <f>IF(0=0,"Sin atender", IF(0=1,"Atendida","Atendida y Reportada"))</f>
      </c>
      <c r="AG174" t="str">
        <v/>
      </c>
      <c r="AH174" t="str">
        <v/>
      </c>
      <c r="AI174" t="str">
        <v/>
      </c>
      <c r="AJ174" t="str">
        <v/>
      </c>
      <c r="AK174" t="str">
        <v>01/10/2026 09:09:04</v>
      </c>
      <c r="AL174" t="str">
        <v>09:09:04</v>
      </c>
      <c r="AM174" t="str">
        <v/>
      </c>
    </row>
    <row r="175">
      <c r="A175">
        <v>174</v>
      </c>
      <c r="B175" t="str">
        <v>MASS BSF</v>
      </c>
      <c r="C175" t="str">
        <v>F8R-810</v>
      </c>
      <c r="D175" t="str">
        <v>F8R-810</v>
      </c>
      <c r="E175" t="str">
        <v/>
      </c>
      <c r="F175" t="str">
        <v>867806078868827</v>
      </c>
      <c r="G175" t="str">
        <v>TBD</v>
      </c>
      <c r="H175" t="str">
        <v/>
      </c>
      <c r="I175" t="str">
        <v/>
      </c>
      <c r="J175" t="str">
        <v>01/10/2026</v>
      </c>
      <c r="K175" t="str">
        <v>09:09:00</v>
      </c>
      <c r="L175">
        <v>-12.226075</v>
      </c>
      <c r="M175">
        <v>-76.97093</v>
      </c>
      <c r="N175">
        <f>HYPERLINK("https://www.google.com/maps/search/?api=1&amp;query=-12.226075,-76.97093","Carretera Panamericana Sur, Villa El Salvador, Lima")</f>
      </c>
      <c r="O175" t="str">
        <v>Acelerado y giro brusco</v>
      </c>
      <c r="P175" t="str">
        <v/>
      </c>
      <c r="Q175">
        <v>2091.5</v>
      </c>
      <c r="R175" t="str">
        <v/>
      </c>
      <c r="S175">
        <v>55.3</v>
      </c>
      <c r="T175">
        <v>80.73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>
        <v>85</v>
      </c>
      <c r="AC175" t="str">
        <v>01/10/2026</v>
      </c>
      <c r="AD175" t="str">
        <v>09:08:59</v>
      </c>
      <c r="AE175">
        <f>IF("ONLINE"="NOGPS","GPS Antiguo","En línea")</f>
      </c>
      <c r="AF175">
        <f>IF(0=0,"Sin atender", IF(0=1,"Atendida","Atendida y Reportada"))</f>
      </c>
      <c r="AG175" t="str">
        <v/>
      </c>
      <c r="AH175" t="str">
        <v/>
      </c>
      <c r="AI175" t="str">
        <v/>
      </c>
      <c r="AJ175" t="str">
        <v/>
      </c>
      <c r="AK175" t="str">
        <v>01/10/2026 09:09:08</v>
      </c>
      <c r="AL175" t="str">
        <v>09:09:08</v>
      </c>
      <c r="AM175" t="str">
        <v/>
      </c>
    </row>
    <row r="176">
      <c r="A176">
        <v>175</v>
      </c>
      <c r="B176" t="str">
        <v>MASS BSF</v>
      </c>
      <c r="C176" t="str">
        <v>F8R-810</v>
      </c>
      <c r="D176" t="str">
        <v>F8R-810</v>
      </c>
      <c r="E176" t="str">
        <v/>
      </c>
      <c r="F176" t="str">
        <v>867806078868827</v>
      </c>
      <c r="G176" t="str">
        <v>TBD</v>
      </c>
      <c r="H176" t="str">
        <v/>
      </c>
      <c r="I176" t="str">
        <v/>
      </c>
      <c r="J176" t="str">
        <v>01/10/2026</v>
      </c>
      <c r="K176" t="str">
        <v>09:10:02</v>
      </c>
      <c r="L176">
        <v>-12.219708</v>
      </c>
      <c r="M176">
        <v>-76.97668</v>
      </c>
      <c r="N176">
        <f>HYPERLINK("https://www.google.com/maps/search/?api=1&amp;query=-12.219708,-76.97668","Carretera Panamericana Sur, Villa El Salvador, Lima")</f>
      </c>
      <c r="O176" t="str">
        <v>Acelerado y giro brusco</v>
      </c>
      <c r="P176" t="str">
        <v/>
      </c>
      <c r="Q176">
        <v>2092.4</v>
      </c>
      <c r="R176" t="str">
        <v/>
      </c>
      <c r="S176">
        <v>55.5</v>
      </c>
      <c r="T176">
        <v>80.73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>
        <v>85</v>
      </c>
      <c r="AC176" t="str">
        <v>01/10/2026</v>
      </c>
      <c r="AD176" t="str">
        <v>09:10:01</v>
      </c>
      <c r="AE176">
        <f>IF("ONLINE"="NOGPS","GPS Antiguo","En línea")</f>
      </c>
      <c r="AF176">
        <f>IF(0=0,"Sin atender", IF(0=1,"Atendida","Atendida y Reportada"))</f>
      </c>
      <c r="AG176" t="str">
        <v/>
      </c>
      <c r="AH176" t="str">
        <v/>
      </c>
      <c r="AI176" t="str">
        <v/>
      </c>
      <c r="AJ176" t="str">
        <v/>
      </c>
      <c r="AK176" t="str">
        <v>01/10/2026 09:10:14</v>
      </c>
      <c r="AL176" t="str">
        <v>09:10:14</v>
      </c>
      <c r="AM176" t="str">
        <v/>
      </c>
    </row>
    <row r="177">
      <c r="A177">
        <v>176</v>
      </c>
      <c r="B177" t="str">
        <v>MASS BSF</v>
      </c>
      <c r="C177" t="str">
        <v>F8R-810</v>
      </c>
      <c r="D177" t="str">
        <v>F8R-810</v>
      </c>
      <c r="E177" t="str">
        <v/>
      </c>
      <c r="F177" t="str">
        <v>867806078868827</v>
      </c>
      <c r="G177" t="str">
        <v>TBD</v>
      </c>
      <c r="H177" t="str">
        <v/>
      </c>
      <c r="I177" t="str">
        <v/>
      </c>
      <c r="J177" t="str">
        <v>01/10/2026</v>
      </c>
      <c r="K177" t="str">
        <v>09:10:59</v>
      </c>
      <c r="L177">
        <v>-12.212064</v>
      </c>
      <c r="M177">
        <v>-76.9759</v>
      </c>
      <c r="N177">
        <f>HYPERLINK("https://www.google.com/maps/search/?api=1&amp;query=-12.212064,-76.9759","Carretera Panamericana Sur, Chorrillos, Lima")</f>
      </c>
      <c r="O177" t="str">
        <v>Aceleración brusca</v>
      </c>
      <c r="P177" t="str">
        <v>CMT-910</v>
      </c>
      <c r="Q177">
        <v>2093.3</v>
      </c>
      <c r="R177" t="str">
        <v/>
      </c>
      <c r="S177">
        <v>48.5</v>
      </c>
      <c r="T177">
        <v>80.73</v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>
        <v>88</v>
      </c>
      <c r="AC177" t="str">
        <v>01/10/2026</v>
      </c>
      <c r="AD177" t="str">
        <v>09:10:58</v>
      </c>
      <c r="AE177">
        <f>IF("ONLINE"="NOGPS","GPS Antiguo","En línea")</f>
      </c>
      <c r="AF177">
        <f>IF(0=0,"Sin atender", IF(0=1,"Atendida","Atendida y Reportada"))</f>
      </c>
      <c r="AG177" t="str">
        <v/>
      </c>
      <c r="AH177" t="str">
        <v/>
      </c>
      <c r="AI177" t="str">
        <v/>
      </c>
      <c r="AJ177" t="str">
        <v/>
      </c>
      <c r="AK177" t="str">
        <v>01/10/2026 09:11:02</v>
      </c>
      <c r="AL177" t="str">
        <v>09:11:02</v>
      </c>
      <c r="AM177" t="str">
        <v/>
      </c>
    </row>
    <row r="178">
      <c r="A178">
        <v>177</v>
      </c>
      <c r="B178" t="str">
        <v>MASS BSF</v>
      </c>
      <c r="C178" t="str">
        <v>F8R-810</v>
      </c>
      <c r="D178" t="str">
        <v>F8R-810</v>
      </c>
      <c r="E178" t="str">
        <v/>
      </c>
      <c r="F178" t="str">
        <v>867806078868827</v>
      </c>
      <c r="G178" t="str">
        <v>TBD</v>
      </c>
      <c r="H178" t="str">
        <v/>
      </c>
      <c r="I178" t="str">
        <v/>
      </c>
      <c r="J178" t="str">
        <v>01/10/2026</v>
      </c>
      <c r="K178" t="str">
        <v>09:12:17</v>
      </c>
      <c r="L178">
        <v>-12.200871</v>
      </c>
      <c r="M178">
        <v>-76.97382</v>
      </c>
      <c r="N178">
        <f>HYPERLINK("https://www.google.com/maps/search/?api=1&amp;query=-12.200871,-76.97382","Carretera Panamericana Sur, Villa El Salvador, Lima")</f>
      </c>
      <c r="O178" t="str">
        <v>Acelerado y giro brusco</v>
      </c>
      <c r="P178" t="str">
        <v/>
      </c>
      <c r="Q178">
        <v>2094.5</v>
      </c>
      <c r="R178" t="str">
        <v/>
      </c>
      <c r="S178">
        <v>48.7</v>
      </c>
      <c r="T178">
        <v>80.73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>
        <v>87</v>
      </c>
      <c r="AC178" t="str">
        <v>01/10/2026</v>
      </c>
      <c r="AD178" t="str">
        <v>09:12:16</v>
      </c>
      <c r="AE178">
        <f>IF("ONLINE"="NOGPS","GPS Antiguo","En línea")</f>
      </c>
      <c r="AF178">
        <f>IF(0=0,"Sin atender", IF(0=1,"Atendida","Atendida y Reportada"))</f>
      </c>
      <c r="AG178" t="str">
        <v/>
      </c>
      <c r="AH178" t="str">
        <v/>
      </c>
      <c r="AI178" t="str">
        <v/>
      </c>
      <c r="AJ178" t="str">
        <v/>
      </c>
      <c r="AK178" t="str">
        <v>01/10/2026 09:12:34</v>
      </c>
      <c r="AL178" t="str">
        <v>09:12:34</v>
      </c>
      <c r="AM178" t="str">
        <v/>
      </c>
    </row>
    <row r="179">
      <c r="A179">
        <v>178</v>
      </c>
      <c r="B179" t="str">
        <v>MASS BSF</v>
      </c>
      <c r="C179" t="str">
        <v>F8R-810</v>
      </c>
      <c r="D179" t="str">
        <v>F8R-810</v>
      </c>
      <c r="E179" t="str">
        <v/>
      </c>
      <c r="F179" t="str">
        <v>867806078868827</v>
      </c>
      <c r="G179" t="str">
        <v>TBD</v>
      </c>
      <c r="H179" t="str">
        <v/>
      </c>
      <c r="I179" t="str">
        <v/>
      </c>
      <c r="J179" t="str">
        <v>01/10/2026</v>
      </c>
      <c r="K179" t="str">
        <v>09:14:27</v>
      </c>
      <c r="L179">
        <v>-12.188495</v>
      </c>
      <c r="M179">
        <v>-76.9735</v>
      </c>
      <c r="N179">
        <f>HYPERLINK("https://www.google.com/maps/search/?api=1&amp;query=-12.188495,-76.9735","Avenida Panamericana Sur, San Juan de Miraflores, Lima")</f>
      </c>
      <c r="O179" t="str">
        <v>Aceleración brusca</v>
      </c>
      <c r="P179" t="str">
        <v>CMT-910</v>
      </c>
      <c r="Q179">
        <v>2095.9</v>
      </c>
      <c r="R179" t="str">
        <v/>
      </c>
      <c r="S179">
        <v>35.9</v>
      </c>
      <c r="T179">
        <v>80.73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>
        <v>87</v>
      </c>
      <c r="AC179" t="str">
        <v>01/10/2026</v>
      </c>
      <c r="AD179" t="str">
        <v>09:14:26</v>
      </c>
      <c r="AE179">
        <f>IF("ONLINE"="NOGPS","GPS Antiguo","En línea")</f>
      </c>
      <c r="AF179">
        <f>IF(0=0,"Sin atender", IF(0=1,"Atendida","Atendida y Reportada"))</f>
      </c>
      <c r="AG179" t="str">
        <v/>
      </c>
      <c r="AH179" t="str">
        <v/>
      </c>
      <c r="AI179" t="str">
        <v/>
      </c>
      <c r="AJ179" t="str">
        <v/>
      </c>
      <c r="AK179" t="str">
        <v>01/10/2026 09:14:31</v>
      </c>
      <c r="AL179" t="str">
        <v>09:14:31</v>
      </c>
      <c r="AM179" t="str">
        <v/>
      </c>
    </row>
    <row r="180">
      <c r="A180">
        <v>179</v>
      </c>
      <c r="B180" t="str">
        <v>MASS BSF</v>
      </c>
      <c r="C180" t="str">
        <v>F8R-810</v>
      </c>
      <c r="D180" t="str">
        <v>F8R-810</v>
      </c>
      <c r="E180" t="str">
        <v/>
      </c>
      <c r="F180" t="str">
        <v>867806078868827</v>
      </c>
      <c r="G180" t="str">
        <v>TBD</v>
      </c>
      <c r="H180" t="str">
        <v/>
      </c>
      <c r="I180" t="str">
        <v/>
      </c>
      <c r="J180" t="str">
        <v>01/10/2026</v>
      </c>
      <c r="K180" t="str">
        <v>09:15:11</v>
      </c>
      <c r="L180">
        <v>-12.183838</v>
      </c>
      <c r="M180">
        <v>-76.97498</v>
      </c>
      <c r="N180">
        <f>HYPERLINK("https://www.google.com/maps/search/?api=1&amp;query=-12.183838,-76.97498","Avenida Panamericana Sur, San Juan de Miraflores, Lima")</f>
      </c>
      <c r="O180" t="str">
        <v>Acelerado y giro brusco</v>
      </c>
      <c r="P180" t="str">
        <v/>
      </c>
      <c r="Q180">
        <v>2096.5</v>
      </c>
      <c r="R180" t="str">
        <v/>
      </c>
      <c r="S180">
        <v>53.5</v>
      </c>
      <c r="T180">
        <v>80.73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>
        <v>85</v>
      </c>
      <c r="AC180" t="str">
        <v>01/10/2026</v>
      </c>
      <c r="AD180" t="str">
        <v>09:15:10</v>
      </c>
      <c r="AE180">
        <f>IF("ONLINE"="NOGPS","GPS Antiguo","En línea")</f>
      </c>
      <c r="AF180">
        <f>IF(0=0,"Sin atender", IF(0=1,"Atendida","Atendida y Reportada"))</f>
      </c>
      <c r="AG180" t="str">
        <v/>
      </c>
      <c r="AH180" t="str">
        <v/>
      </c>
      <c r="AI180" t="str">
        <v/>
      </c>
      <c r="AJ180" t="str">
        <v/>
      </c>
      <c r="AK180" t="str">
        <v>01/10/2026 09:15:26</v>
      </c>
      <c r="AL180" t="str">
        <v>09:15:26</v>
      </c>
      <c r="AM180" t="str">
        <v/>
      </c>
    </row>
    <row r="181">
      <c r="A181">
        <v>180</v>
      </c>
      <c r="B181" t="str">
        <v>MASS BSF</v>
      </c>
      <c r="C181" t="str">
        <v>F8R-810</v>
      </c>
      <c r="D181" t="str">
        <v>F8R-810</v>
      </c>
      <c r="E181" t="str">
        <v/>
      </c>
      <c r="F181" t="str">
        <v>867806078868827</v>
      </c>
      <c r="G181" t="str">
        <v>TBD</v>
      </c>
      <c r="H181" t="str">
        <v/>
      </c>
      <c r="I181" t="str">
        <v/>
      </c>
      <c r="J181" t="str">
        <v>01/10/2026</v>
      </c>
      <c r="K181" t="str">
        <v>09:16:10</v>
      </c>
      <c r="L181">
        <v>-12.175633</v>
      </c>
      <c r="M181">
        <v>-76.9776</v>
      </c>
      <c r="N181">
        <f>HYPERLINK("https://www.google.com/maps/search/?api=1&amp;query=-12.175633,-76.9776","Avenida Panamericana Sur, San Juan de Miraflores, Lima")</f>
      </c>
      <c r="O181" t="str">
        <v>Aceleración brusca</v>
      </c>
      <c r="P181" t="str">
        <v>CMT-910</v>
      </c>
      <c r="Q181">
        <v>2097.4</v>
      </c>
      <c r="R181" t="str">
        <v/>
      </c>
      <c r="S181">
        <v>59.4</v>
      </c>
      <c r="T181">
        <v>80.73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>
        <v>85</v>
      </c>
      <c r="AC181" t="str">
        <v>01/10/2026</v>
      </c>
      <c r="AD181" t="str">
        <v>09:16:09</v>
      </c>
      <c r="AE181">
        <f>IF("ONLINE"="NOGPS","GPS Antiguo","En línea")</f>
      </c>
      <c r="AF181">
        <f>IF(0=0,"Sin atender", IF(0=1,"Atendida","Atendida y Reportada"))</f>
      </c>
      <c r="AG181" t="str">
        <v/>
      </c>
      <c r="AH181" t="str">
        <v/>
      </c>
      <c r="AI181" t="str">
        <v/>
      </c>
      <c r="AJ181" t="str">
        <v/>
      </c>
      <c r="AK181" t="str">
        <v>01/10/2026 09:16:34</v>
      </c>
      <c r="AL181" t="str">
        <v>09:16:34</v>
      </c>
      <c r="AM181" t="str">
        <v/>
      </c>
    </row>
    <row r="182">
      <c r="A182">
        <v>181</v>
      </c>
      <c r="B182" t="str">
        <v>MASS BSF</v>
      </c>
      <c r="C182" t="str">
        <v>F8R-810</v>
      </c>
      <c r="D182" t="str">
        <v>F8R-810</v>
      </c>
      <c r="E182" t="str">
        <v/>
      </c>
      <c r="F182" t="str">
        <v>867806078868827</v>
      </c>
      <c r="G182" t="str">
        <v>TBD</v>
      </c>
      <c r="H182" t="str">
        <v/>
      </c>
      <c r="I182" t="str">
        <v/>
      </c>
      <c r="J182" t="str">
        <v>01/10/2026</v>
      </c>
      <c r="K182" t="str">
        <v>09:16:27</v>
      </c>
      <c r="L182">
        <v>-12.173173</v>
      </c>
      <c r="M182">
        <v>-76.97838</v>
      </c>
      <c r="N182">
        <f>HYPERLINK("https://www.google.com/maps/search/?api=1&amp;query=-12.173173,-76.97838","Avenida Panamericana Sur, San Juan de Miraflores, Lima")</f>
      </c>
      <c r="O182" t="str">
        <v>Aceleración brusca</v>
      </c>
      <c r="P182" t="str">
        <v>CMT-910</v>
      </c>
      <c r="Q182">
        <v>2097.7</v>
      </c>
      <c r="R182" t="str">
        <v/>
      </c>
      <c r="S182">
        <v>53.3</v>
      </c>
      <c r="T182">
        <v>80.73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>
        <v>85</v>
      </c>
      <c r="AC182" t="str">
        <v>01/10/2026</v>
      </c>
      <c r="AD182" t="str">
        <v>09:16:27</v>
      </c>
      <c r="AE182">
        <f>IF("ONLINE"="NOGPS","GPS Antiguo","En línea")</f>
      </c>
      <c r="AF182">
        <f>IF(0=0,"Sin atender", IF(0=1,"Atendida","Atendida y Reportada"))</f>
      </c>
      <c r="AG182" t="str">
        <v/>
      </c>
      <c r="AH182" t="str">
        <v/>
      </c>
      <c r="AI182" t="str">
        <v/>
      </c>
      <c r="AJ182" t="str">
        <v/>
      </c>
      <c r="AK182" t="str">
        <v>01/10/2026 09:16:36</v>
      </c>
      <c r="AL182" t="str">
        <v>09:16:36</v>
      </c>
      <c r="AM182" t="str">
        <v/>
      </c>
    </row>
    <row r="183">
      <c r="A183">
        <v>182</v>
      </c>
      <c r="B183" t="str">
        <v>MASS BSF</v>
      </c>
      <c r="C183" t="str">
        <v>F8R-810</v>
      </c>
      <c r="D183" t="str">
        <v>F8R-810</v>
      </c>
      <c r="E183" t="str">
        <v/>
      </c>
      <c r="F183" t="str">
        <v>867806078868827</v>
      </c>
      <c r="G183" t="str">
        <v>TBD</v>
      </c>
      <c r="H183" t="str">
        <v/>
      </c>
      <c r="I183" t="str">
        <v/>
      </c>
      <c r="J183" t="str">
        <v>01/10/2026</v>
      </c>
      <c r="K183" t="str">
        <v>09:16:35</v>
      </c>
      <c r="L183">
        <v>-12.172176</v>
      </c>
      <c r="M183">
        <v>-76.9787</v>
      </c>
      <c r="N183">
        <f>HYPERLINK("https://www.google.com/maps/search/?api=1&amp;query=-12.172176,-76.9787","Avenida Panamericana Sur, San Juan de Miraflores, Lima")</f>
      </c>
      <c r="O183" t="str">
        <v>Aceleración brusca</v>
      </c>
      <c r="P183" t="str">
        <v>CMT-910</v>
      </c>
      <c r="Q183">
        <v>2097.8</v>
      </c>
      <c r="R183" t="str">
        <v/>
      </c>
      <c r="S183">
        <v>51.1</v>
      </c>
      <c r="T183">
        <v>80.73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>
        <v>85</v>
      </c>
      <c r="AC183" t="str">
        <v>01/10/2026</v>
      </c>
      <c r="AD183" t="str">
        <v>09:16:35</v>
      </c>
      <c r="AE183">
        <f>IF("ONLINE"="NOGPS","GPS Antiguo","En línea")</f>
      </c>
      <c r="AF183">
        <f>IF(0=0,"Sin atender", IF(0=1,"Atendida","Atendida y Reportada"))</f>
      </c>
      <c r="AG183" t="str">
        <v/>
      </c>
      <c r="AH183" t="str">
        <v/>
      </c>
      <c r="AI183" t="str">
        <v/>
      </c>
      <c r="AJ183" t="str">
        <v/>
      </c>
      <c r="AK183" t="str">
        <v>01/10/2026 09:16:53</v>
      </c>
      <c r="AL183" t="str">
        <v>09:16:53</v>
      </c>
      <c r="AM183" t="str">
        <v/>
      </c>
    </row>
    <row r="184">
      <c r="A184">
        <v>183</v>
      </c>
      <c r="B184" t="str">
        <v>MASS BSF</v>
      </c>
      <c r="C184" t="str">
        <v>F8R-810</v>
      </c>
      <c r="D184" t="str">
        <v>F8R-810</v>
      </c>
      <c r="E184" t="str">
        <v/>
      </c>
      <c r="F184" t="str">
        <v>867806078868827</v>
      </c>
      <c r="G184" t="str">
        <v>TBD</v>
      </c>
      <c r="H184" t="str">
        <v/>
      </c>
      <c r="I184" t="str">
        <v/>
      </c>
      <c r="J184" t="str">
        <v>01/10/2026</v>
      </c>
      <c r="K184" t="str">
        <v>09:17:12</v>
      </c>
      <c r="L184">
        <v>-12.16799</v>
      </c>
      <c r="M184">
        <v>-76.979965</v>
      </c>
      <c r="N184">
        <f>HYPERLINK("https://www.google.com/maps/search/?api=1&amp;query=-12.16799,-76.979965","Avenida Panamericana Sur, San Juan de Miraflores, Lima")</f>
      </c>
      <c r="O184" t="str">
        <v>Acelerado y giro brusco</v>
      </c>
      <c r="P184" t="str">
        <v/>
      </c>
      <c r="Q184">
        <v>2098.3</v>
      </c>
      <c r="R184" t="str">
        <v/>
      </c>
      <c r="S184">
        <v>45.9</v>
      </c>
      <c r="T184">
        <v>80.73</v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>
        <v>85</v>
      </c>
      <c r="AC184" t="str">
        <v>01/10/2026</v>
      </c>
      <c r="AD184" t="str">
        <v>09:17:11</v>
      </c>
      <c r="AE184">
        <f>IF("ONLINE"="NOGPS","GPS Antiguo","En línea")</f>
      </c>
      <c r="AF184">
        <f>IF(0=0,"Sin atender", IF(0=1,"Atendida","Atendida y Reportada"))</f>
      </c>
      <c r="AG184" t="str">
        <v/>
      </c>
      <c r="AH184" t="str">
        <v/>
      </c>
      <c r="AI184" t="str">
        <v/>
      </c>
      <c r="AJ184" t="str">
        <v/>
      </c>
      <c r="AK184" t="str">
        <v>01/10/2026 09:17:27</v>
      </c>
      <c r="AL184" t="str">
        <v>09:17:27</v>
      </c>
      <c r="AM184" t="str">
        <v/>
      </c>
    </row>
    <row r="185">
      <c r="A185">
        <v>184</v>
      </c>
      <c r="B185" t="str">
        <v>MASS BSF</v>
      </c>
      <c r="C185" t="str">
        <v>F8R-810</v>
      </c>
      <c r="D185" t="str">
        <v>F8R-810</v>
      </c>
      <c r="E185" t="str">
        <v/>
      </c>
      <c r="F185" t="str">
        <v>867806078868827</v>
      </c>
      <c r="G185" t="str">
        <v>TBD</v>
      </c>
      <c r="H185" t="str">
        <v/>
      </c>
      <c r="I185" t="str">
        <v/>
      </c>
      <c r="J185" t="str">
        <v>01/10/2026</v>
      </c>
      <c r="K185" t="str">
        <v>09:18:28</v>
      </c>
      <c r="L185">
        <v>-12.164968</v>
      </c>
      <c r="M185">
        <v>-76.98086</v>
      </c>
      <c r="N185">
        <f>HYPERLINK("https://www.google.com/maps/search/?api=1&amp;query=-12.164968,-76.98086","Avenida Panamericana Sur, San Juan de Miraflores, Lima")</f>
      </c>
      <c r="O185" t="str">
        <v>Aceleración brusca</v>
      </c>
      <c r="P185" t="str">
        <v>CMT-910</v>
      </c>
      <c r="Q185">
        <v>2098.6</v>
      </c>
      <c r="R185" t="str">
        <v/>
      </c>
      <c r="S185">
        <v>9.8</v>
      </c>
      <c r="T185">
        <v>80.73</v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>
        <v>91</v>
      </c>
      <c r="AC185" t="str">
        <v>01/10/2026</v>
      </c>
      <c r="AD185" t="str">
        <v>09:18:27</v>
      </c>
      <c r="AE185">
        <f>IF("ONLINE"="NOGPS","GPS Antiguo","En línea")</f>
      </c>
      <c r="AF185">
        <f>IF(0=0,"Sin atender", IF(0=1,"Atendida","Atendida y Reportada"))</f>
      </c>
      <c r="AG185" t="str">
        <v/>
      </c>
      <c r="AH185" t="str">
        <v/>
      </c>
      <c r="AI185" t="str">
        <v/>
      </c>
      <c r="AJ185" t="str">
        <v/>
      </c>
      <c r="AK185" t="str">
        <v>01/10/2026 09:18:54</v>
      </c>
      <c r="AL185" t="str">
        <v>09:18:54</v>
      </c>
      <c r="AM185" t="str">
        <v/>
      </c>
    </row>
    <row r="186">
      <c r="A186">
        <v>185</v>
      </c>
      <c r="B186" t="str">
        <v>MASS BSF</v>
      </c>
      <c r="C186" t="str">
        <v>F8R-810</v>
      </c>
      <c r="D186" t="str">
        <v>F8R-810</v>
      </c>
      <c r="E186" t="str">
        <v/>
      </c>
      <c r="F186" t="str">
        <v>867806078868827</v>
      </c>
      <c r="G186" t="str">
        <v>TBD</v>
      </c>
      <c r="H186" t="str">
        <v/>
      </c>
      <c r="I186" t="str">
        <v/>
      </c>
      <c r="J186" t="str">
        <v>01/10/2026</v>
      </c>
      <c r="K186" t="str">
        <v>09:18:38</v>
      </c>
      <c r="L186">
        <v>-12.16477</v>
      </c>
      <c r="M186">
        <v>-76.98091</v>
      </c>
      <c r="N186">
        <f>HYPERLINK("https://www.google.com/maps/search/?api=1&amp;query=-12.16477,-76.98091","Avenida Panamericana Sur, San Juan de Miraflores, Lima")</f>
      </c>
      <c r="O186" t="str">
        <v>Acelerado y giro brusco</v>
      </c>
      <c r="P186" t="str">
        <v/>
      </c>
      <c r="Q186">
        <v>2098.7</v>
      </c>
      <c r="R186" t="str">
        <v/>
      </c>
      <c r="S186">
        <v>12.4</v>
      </c>
      <c r="T186">
        <v>80.73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>
        <v>91</v>
      </c>
      <c r="AC186" t="str">
        <v>01/10/2026</v>
      </c>
      <c r="AD186" t="str">
        <v>09:18:37</v>
      </c>
      <c r="AE186">
        <f>IF("ONLINE"="NOGPS","GPS Antiguo","En línea")</f>
      </c>
      <c r="AF186">
        <f>IF(0=0,"Sin atender", IF(0=1,"Atendida","Atendida y Reportada"))</f>
      </c>
      <c r="AG186" t="str">
        <v/>
      </c>
      <c r="AH186" t="str">
        <v/>
      </c>
      <c r="AI186" t="str">
        <v/>
      </c>
      <c r="AJ186" t="str">
        <v/>
      </c>
      <c r="AK186" t="str">
        <v>01/10/2026 09:18:53</v>
      </c>
      <c r="AL186" t="str">
        <v>09:18:53</v>
      </c>
      <c r="AM186" t="str">
        <v/>
      </c>
    </row>
    <row r="187">
      <c r="A187">
        <v>186</v>
      </c>
      <c r="B187" t="str">
        <v>MASS BSF</v>
      </c>
      <c r="C187" t="str">
        <v>F8R-810</v>
      </c>
      <c r="D187" t="str">
        <v>F8R-810</v>
      </c>
      <c r="E187" t="str">
        <v/>
      </c>
      <c r="F187" t="str">
        <v>867806078868827</v>
      </c>
      <c r="G187" t="str">
        <v>TBD</v>
      </c>
      <c r="H187" t="str">
        <v/>
      </c>
      <c r="I187" t="str">
        <v/>
      </c>
      <c r="J187" t="str">
        <v>01/10/2026</v>
      </c>
      <c r="K187" t="str">
        <v>09:19:12</v>
      </c>
      <c r="L187">
        <v>-12.163767</v>
      </c>
      <c r="M187">
        <v>-76.98122</v>
      </c>
      <c r="N187">
        <f>HYPERLINK("https://www.google.com/maps/search/?api=1&amp;query=-12.163767,-76.98122","Avenida Panamericana Sur, San Juan de Miraflores, Lima")</f>
      </c>
      <c r="O187" t="str">
        <v>Aceleración brusca</v>
      </c>
      <c r="P187" t="str">
        <v>CMT-910</v>
      </c>
      <c r="Q187">
        <v>2098.8</v>
      </c>
      <c r="R187" t="str">
        <v/>
      </c>
      <c r="S187">
        <v>18.7</v>
      </c>
      <c r="T187">
        <v>80.73</v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>
        <v>91</v>
      </c>
      <c r="AC187" t="str">
        <v>01/10/2026</v>
      </c>
      <c r="AD187" t="str">
        <v>09:19:11</v>
      </c>
      <c r="AE187">
        <f>IF("ONLINE"="NOGPS","GPS Antiguo","En línea")</f>
      </c>
      <c r="AF187">
        <f>IF(0=0,"Sin atender", IF(0=1,"Atendida","Atendida y Reportada"))</f>
      </c>
      <c r="AG187" t="str">
        <v/>
      </c>
      <c r="AH187" t="str">
        <v/>
      </c>
      <c r="AI187" t="str">
        <v/>
      </c>
      <c r="AJ187" t="str">
        <v/>
      </c>
      <c r="AK187" t="str">
        <v>01/10/2026 09:19:24</v>
      </c>
      <c r="AL187" t="str">
        <v>09:19:24</v>
      </c>
      <c r="AM187" t="str">
        <v/>
      </c>
    </row>
    <row r="188">
      <c r="A188">
        <v>187</v>
      </c>
      <c r="B188" t="str">
        <v>MASS BSF</v>
      </c>
      <c r="C188" t="str">
        <v>F8R-810</v>
      </c>
      <c r="D188" t="str">
        <v>F8R-810</v>
      </c>
      <c r="E188" t="str">
        <v/>
      </c>
      <c r="F188" t="str">
        <v>867806078868827</v>
      </c>
      <c r="G188" t="str">
        <v>TBD</v>
      </c>
      <c r="H188" t="str">
        <v/>
      </c>
      <c r="I188" t="str">
        <v/>
      </c>
      <c r="J188" t="str">
        <v>01/10/2026</v>
      </c>
      <c r="K188" t="str">
        <v>09:19:41</v>
      </c>
      <c r="L188">
        <v>-12.162995</v>
      </c>
      <c r="M188">
        <v>-76.981445</v>
      </c>
      <c r="N188">
        <f>HYPERLINK("https://www.google.com/maps/search/?api=1&amp;query=-12.162995,-76.981445","Avenida Panamericana Sur, San Juan de Miraflores, Lima")</f>
      </c>
      <c r="O188" t="str">
        <v>Acelerado y giro brusco</v>
      </c>
      <c r="P188" t="str">
        <v/>
      </c>
      <c r="Q188">
        <v>2098.9</v>
      </c>
      <c r="R188" t="str">
        <v/>
      </c>
      <c r="S188">
        <v>11.1</v>
      </c>
      <c r="T188">
        <v>80.73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>
        <v>91</v>
      </c>
      <c r="AC188" t="str">
        <v>01/10/2026</v>
      </c>
      <c r="AD188" t="str">
        <v>09:19:40</v>
      </c>
      <c r="AE188">
        <f>IF("ONLINE"="NOGPS","GPS Antiguo","En línea")</f>
      </c>
      <c r="AF188">
        <f>IF(0=0,"Sin atender", IF(0=1,"Atendida","Atendida y Reportada"))</f>
      </c>
      <c r="AG188" t="str">
        <v/>
      </c>
      <c r="AH188" t="str">
        <v/>
      </c>
      <c r="AI188" t="str">
        <v/>
      </c>
      <c r="AJ188" t="str">
        <v/>
      </c>
      <c r="AK188" t="str">
        <v>01/10/2026 09:19:50</v>
      </c>
      <c r="AL188" t="str">
        <v>09:19:50</v>
      </c>
      <c r="AM188" t="str">
        <v/>
      </c>
    </row>
    <row r="189">
      <c r="A189">
        <v>188</v>
      </c>
      <c r="B189" t="str">
        <v>MASS BSF</v>
      </c>
      <c r="C189" t="str">
        <v>F8R-810</v>
      </c>
      <c r="D189" t="str">
        <v>F8R-810</v>
      </c>
      <c r="E189" t="str">
        <v/>
      </c>
      <c r="F189" t="str">
        <v>867806078868827</v>
      </c>
      <c r="G189" t="str">
        <v>TBD</v>
      </c>
      <c r="H189" t="str">
        <v/>
      </c>
      <c r="I189" t="str">
        <v/>
      </c>
      <c r="J189" t="str">
        <v>01/10/2026</v>
      </c>
      <c r="K189" t="str">
        <v>09:19:46</v>
      </c>
      <c r="L189">
        <v>-12.16276</v>
      </c>
      <c r="M189">
        <v>-76.981514</v>
      </c>
      <c r="N189">
        <f>HYPERLINK("https://www.google.com/maps/search/?api=1&amp;query=-12.16276,-76.981514","Avenida Panamericana Sur, San Juan de Miraflores, Lima")</f>
      </c>
      <c r="O189" t="str">
        <v>Acelerado y giro brusco</v>
      </c>
      <c r="P189" t="str">
        <v/>
      </c>
      <c r="Q189">
        <v>2098.9</v>
      </c>
      <c r="R189" t="str">
        <v/>
      </c>
      <c r="S189">
        <v>21.4</v>
      </c>
      <c r="T189">
        <v>80.73</v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>
        <v>91</v>
      </c>
      <c r="AC189" t="str">
        <v>01/10/2026</v>
      </c>
      <c r="AD189" t="str">
        <v>09:19:46</v>
      </c>
      <c r="AE189">
        <f>IF("ONLINE"="NOGPS","GPS Antiguo","En línea")</f>
      </c>
      <c r="AF189">
        <f>IF(0=0,"Sin atender", IF(0=1,"Atendida","Atendida y Reportada"))</f>
      </c>
      <c r="AG189" t="str">
        <v/>
      </c>
      <c r="AH189" t="str">
        <v/>
      </c>
      <c r="AI189" t="str">
        <v/>
      </c>
      <c r="AJ189" t="str">
        <v/>
      </c>
      <c r="AK189" t="str">
        <v>01/10/2026 09:20:03</v>
      </c>
      <c r="AL189" t="str">
        <v>09:20:03</v>
      </c>
      <c r="AM189" t="str">
        <v/>
      </c>
    </row>
    <row r="190">
      <c r="A190">
        <v>189</v>
      </c>
      <c r="B190" t="str">
        <v>MASS BSF</v>
      </c>
      <c r="C190" t="str">
        <v>F8R-810</v>
      </c>
      <c r="D190" t="str">
        <v>F8R-810</v>
      </c>
      <c r="E190" t="str">
        <v/>
      </c>
      <c r="F190" t="str">
        <v>867806078868827</v>
      </c>
      <c r="G190" t="str">
        <v>TBD</v>
      </c>
      <c r="H190" t="str">
        <v/>
      </c>
      <c r="I190" t="str">
        <v/>
      </c>
      <c r="J190" t="str">
        <v>01/10/2026</v>
      </c>
      <c r="K190" t="str">
        <v>09:20:19</v>
      </c>
      <c r="L190">
        <v>-12.161638</v>
      </c>
      <c r="M190">
        <v>-76.98184</v>
      </c>
      <c r="N190">
        <f>HYPERLINK("https://www.google.com/maps/search/?api=1&amp;query=-12.161638,-76.98184","Avenida Panamericana Sur, San Juan de Miraflores, Lima")</f>
      </c>
      <c r="O190" t="str">
        <v>Acelerado y giro brusco</v>
      </c>
      <c r="P190" t="str">
        <v/>
      </c>
      <c r="Q190">
        <v>2099</v>
      </c>
      <c r="R190" t="str">
        <v/>
      </c>
      <c r="S190">
        <v>14</v>
      </c>
      <c r="T190">
        <v>80.73</v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>
        <v>86</v>
      </c>
      <c r="AC190" t="str">
        <v>01/10/2026</v>
      </c>
      <c r="AD190" t="str">
        <v>09:20:18</v>
      </c>
      <c r="AE190">
        <f>IF("ONLINE"="NOGPS","GPS Antiguo","En línea")</f>
      </c>
      <c r="AF190">
        <f>IF(0=0,"Sin atender", IF(0=1,"Atendida","Atendida y Reportada"))</f>
      </c>
      <c r="AG190" t="str">
        <v/>
      </c>
      <c r="AH190" t="str">
        <v/>
      </c>
      <c r="AI190" t="str">
        <v/>
      </c>
      <c r="AJ190" t="str">
        <v/>
      </c>
      <c r="AK190" t="str">
        <v>01/10/2026 09:20:25</v>
      </c>
      <c r="AL190" t="str">
        <v>09:20:25</v>
      </c>
      <c r="AM190" t="str">
        <v/>
      </c>
    </row>
    <row r="191">
      <c r="A191">
        <v>190</v>
      </c>
      <c r="B191" t="str">
        <v>MASS BSF</v>
      </c>
      <c r="C191" t="str">
        <v>F8R-810</v>
      </c>
      <c r="D191" t="str">
        <v>F8R-810</v>
      </c>
      <c r="E191" t="str">
        <v/>
      </c>
      <c r="F191" t="str">
        <v>867806078868827</v>
      </c>
      <c r="G191" t="str">
        <v>TBD</v>
      </c>
      <c r="H191" t="str">
        <v/>
      </c>
      <c r="I191" t="str">
        <v/>
      </c>
      <c r="J191" t="str">
        <v>01/10/2026</v>
      </c>
      <c r="K191" t="str">
        <v>09:20:35</v>
      </c>
      <c r="L191">
        <v>-12.161345</v>
      </c>
      <c r="M191">
        <v>-76.98193</v>
      </c>
      <c r="N191">
        <f>HYPERLINK("https://www.google.com/maps/search/?api=1&amp;query=-12.161345,-76.98193","Avenida Panamericana Sur, San Juan de Miraflores, Lima")</f>
      </c>
      <c r="O191" t="str">
        <v>Acelerado y giro brusco</v>
      </c>
      <c r="P191" t="str">
        <v/>
      </c>
      <c r="Q191">
        <v>2099</v>
      </c>
      <c r="R191" t="str">
        <v/>
      </c>
      <c r="S191">
        <v>15</v>
      </c>
      <c r="T191">
        <v>80.73</v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>
        <v>86</v>
      </c>
      <c r="AC191" t="str">
        <v>01/10/2026</v>
      </c>
      <c r="AD191" t="str">
        <v>09:20:34</v>
      </c>
      <c r="AE191">
        <f>IF("ONLINE"="NOGPS","GPS Antiguo","En línea")</f>
      </c>
      <c r="AF191">
        <f>IF(0=0,"Sin atender", IF(0=1,"Atendida","Atendida y Reportada"))</f>
      </c>
      <c r="AG191" t="str">
        <v/>
      </c>
      <c r="AH191" t="str">
        <v/>
      </c>
      <c r="AI191" t="str">
        <v/>
      </c>
      <c r="AJ191" t="str">
        <v/>
      </c>
      <c r="AK191" t="str">
        <v>01/10/2026 09:20:55</v>
      </c>
      <c r="AL191" t="str">
        <v>09:20:55</v>
      </c>
      <c r="AM191" t="str">
        <v/>
      </c>
    </row>
    <row r="192">
      <c r="A192">
        <v>191</v>
      </c>
      <c r="B192" t="str">
        <v>MASS BSF</v>
      </c>
      <c r="C192" t="str">
        <v>F8R-810</v>
      </c>
      <c r="D192" t="str">
        <v>F8R-810</v>
      </c>
      <c r="E192" t="str">
        <v/>
      </c>
      <c r="F192" t="str">
        <v>867806078868827</v>
      </c>
      <c r="G192" t="str">
        <v>TBD</v>
      </c>
      <c r="H192" t="str">
        <v/>
      </c>
      <c r="I192" t="str">
        <v/>
      </c>
      <c r="J192" t="str">
        <v>01/10/2026</v>
      </c>
      <c r="K192" t="str">
        <v>09:20:52</v>
      </c>
      <c r="L192">
        <v>-12.160698</v>
      </c>
      <c r="M192">
        <v>-76.98212</v>
      </c>
      <c r="N192">
        <f>HYPERLINK("https://www.google.com/maps/search/?api=1&amp;query=-12.160698,-76.98212","Avenida Panamericana Sur, San Juan de Miraflores, Lima")</f>
      </c>
      <c r="O192" t="str">
        <v>Acelerado y giro brusco</v>
      </c>
      <c r="P192" t="str">
        <v/>
      </c>
      <c r="Q192">
        <v>2099.1</v>
      </c>
      <c r="R192" t="str">
        <v/>
      </c>
      <c r="S192">
        <v>28.5</v>
      </c>
      <c r="T192">
        <v>80.73</v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>
        <v>86</v>
      </c>
      <c r="AC192" t="str">
        <v>01/10/2026</v>
      </c>
      <c r="AD192" t="str">
        <v>09:20:51</v>
      </c>
      <c r="AE192">
        <f>IF("ONLINE"="NOGPS","GPS Antiguo","En línea")</f>
      </c>
      <c r="AF192">
        <f>IF(0=0,"Sin atender", IF(0=1,"Atendida","Atendida y Reportada"))</f>
      </c>
      <c r="AG192" t="str">
        <v/>
      </c>
      <c r="AH192" t="str">
        <v/>
      </c>
      <c r="AI192" t="str">
        <v/>
      </c>
      <c r="AJ192" t="str">
        <v/>
      </c>
      <c r="AK192" t="str">
        <v>01/10/2026 09:21:03</v>
      </c>
      <c r="AL192" t="str">
        <v>09:21:03</v>
      </c>
      <c r="AM192" t="str">
        <v/>
      </c>
    </row>
    <row r="193">
      <c r="A193">
        <v>192</v>
      </c>
      <c r="B193" t="str">
        <v>MASS BSF</v>
      </c>
      <c r="C193" t="str">
        <v>F8R-810</v>
      </c>
      <c r="D193" t="str">
        <v>F8R-810</v>
      </c>
      <c r="E193" t="str">
        <v/>
      </c>
      <c r="F193" t="str">
        <v>867806078868827</v>
      </c>
      <c r="G193" t="str">
        <v>TBD</v>
      </c>
      <c r="H193" t="str">
        <v/>
      </c>
      <c r="I193" t="str">
        <v/>
      </c>
      <c r="J193" t="str">
        <v>01/10/2026</v>
      </c>
      <c r="K193" t="str">
        <v>09:22:08</v>
      </c>
      <c r="L193">
        <v>-12.15411</v>
      </c>
      <c r="M193">
        <v>-76.98371</v>
      </c>
      <c r="N193">
        <f>HYPERLINK("https://www.google.com/maps/search/?api=1&amp;query=-12.15411,-76.98371","Avenida Panamericana Sur, San Juan de Miraflores, Lima")</f>
      </c>
      <c r="O193" t="str">
        <v>Acelerado y giro brusco</v>
      </c>
      <c r="P193" t="str">
        <v/>
      </c>
      <c r="Q193">
        <v>2099.9</v>
      </c>
      <c r="R193" t="str">
        <v/>
      </c>
      <c r="S193">
        <v>47.9</v>
      </c>
      <c r="T193">
        <v>80.73</v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>
        <v>85</v>
      </c>
      <c r="AC193" t="str">
        <v>01/10/2026</v>
      </c>
      <c r="AD193" t="str">
        <v>09:22:07</v>
      </c>
      <c r="AE193">
        <f>IF("ONLINE"="NOGPS","GPS Antiguo","En línea")</f>
      </c>
      <c r="AF193">
        <f>IF(0=0,"Sin atender", IF(0=1,"Atendida","Atendida y Reportada"))</f>
      </c>
      <c r="AG193" t="str">
        <v/>
      </c>
      <c r="AH193" t="str">
        <v/>
      </c>
      <c r="AI193" t="str">
        <v/>
      </c>
      <c r="AJ193" t="str">
        <v/>
      </c>
      <c r="AK193" t="str">
        <v>01/10/2026 09:22:22</v>
      </c>
      <c r="AL193" t="str">
        <v>09:22:22</v>
      </c>
      <c r="AM193" t="str">
        <v/>
      </c>
    </row>
    <row r="194">
      <c r="A194">
        <v>193</v>
      </c>
      <c r="B194" t="str">
        <v>MASS BSF</v>
      </c>
      <c r="C194" t="str">
        <v>F8R-810</v>
      </c>
      <c r="D194" t="str">
        <v>F8R-810</v>
      </c>
      <c r="E194" t="str">
        <v/>
      </c>
      <c r="F194" t="str">
        <v>867806078868827</v>
      </c>
      <c r="G194" t="str">
        <v>TBD</v>
      </c>
      <c r="H194" t="str">
        <v/>
      </c>
      <c r="I194" t="str">
        <v/>
      </c>
      <c r="J194" t="str">
        <v>01/10/2026</v>
      </c>
      <c r="K194" t="str">
        <v>09:22:28</v>
      </c>
      <c r="L194">
        <v>-12.151941</v>
      </c>
      <c r="M194">
        <v>-76.98355</v>
      </c>
      <c r="N194">
        <f>HYPERLINK("https://www.google.com/maps/search/?api=1&amp;query=-12.151941,-76.98355","Avenida Panamericana Sur, San Juan de Miraflores, Lima")</f>
      </c>
      <c r="O194" t="str">
        <v>Aceleración brusca</v>
      </c>
      <c r="P194" t="str">
        <v>CMT-910</v>
      </c>
      <c r="Q194">
        <v>2100.1</v>
      </c>
      <c r="R194" t="str">
        <v/>
      </c>
      <c r="S194">
        <v>44.6</v>
      </c>
      <c r="T194">
        <v>80.73</v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>
        <v>86</v>
      </c>
      <c r="AC194" t="str">
        <v>01/10/2026</v>
      </c>
      <c r="AD194" t="str">
        <v>09:22:27</v>
      </c>
      <c r="AE194">
        <f>IF("ONLINE"="NOGPS","GPS Antiguo","En línea")</f>
      </c>
      <c r="AF194">
        <f>IF(0=0,"Sin atender", IF(0=1,"Atendida","Atendida y Reportada"))</f>
      </c>
      <c r="AG194" t="str">
        <v/>
      </c>
      <c r="AH194" t="str">
        <v/>
      </c>
      <c r="AI194" t="str">
        <v/>
      </c>
      <c r="AJ194" t="str">
        <v/>
      </c>
      <c r="AK194" t="str">
        <v>01/10/2026 09:22:43</v>
      </c>
      <c r="AL194" t="str">
        <v>09:22:43</v>
      </c>
      <c r="AM194" t="str">
        <v/>
      </c>
    </row>
    <row r="195">
      <c r="A195">
        <v>194</v>
      </c>
      <c r="B195" t="str">
        <v>MASS BSF</v>
      </c>
      <c r="C195" t="str">
        <v>F8R-810</v>
      </c>
      <c r="D195" t="str">
        <v>F8R-810</v>
      </c>
      <c r="E195" t="str">
        <v/>
      </c>
      <c r="F195" t="str">
        <v>867806078868827</v>
      </c>
      <c r="G195" t="str">
        <v>TBD</v>
      </c>
      <c r="H195" t="str">
        <v/>
      </c>
      <c r="I195" t="str">
        <v/>
      </c>
      <c r="J195" t="str">
        <v>01/10/2026</v>
      </c>
      <c r="K195" t="str">
        <v>09:22:44</v>
      </c>
      <c r="L195">
        <v>-12.150715</v>
      </c>
      <c r="M195">
        <v>-76.98294</v>
      </c>
      <c r="N195">
        <f>HYPERLINK("https://www.google.com/maps/search/?api=1&amp;query=-12.150715,-76.98294","San Juan de Miraflores, Lima")</f>
      </c>
      <c r="O195" t="str">
        <v>Acelerado y giro brusco</v>
      </c>
      <c r="P195" t="str">
        <v/>
      </c>
      <c r="Q195">
        <v>2100.3</v>
      </c>
      <c r="R195" t="str">
        <v/>
      </c>
      <c r="S195">
        <v>29</v>
      </c>
      <c r="T195">
        <v>80.73</v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>
        <v>86</v>
      </c>
      <c r="AC195" t="str">
        <v>01/10/2026</v>
      </c>
      <c r="AD195" t="str">
        <v>09:22:43</v>
      </c>
      <c r="AE195">
        <f>IF("ONLINE"="NOGPS","GPS Antiguo","En línea")</f>
      </c>
      <c r="AF195">
        <f>IF(0=0,"Sin atender", IF(0=1,"Atendida","Atendida y Reportada"))</f>
      </c>
      <c r="AG195" t="str">
        <v/>
      </c>
      <c r="AH195" t="str">
        <v/>
      </c>
      <c r="AI195" t="str">
        <v/>
      </c>
      <c r="AJ195" t="str">
        <v/>
      </c>
      <c r="AK195" t="str">
        <v>01/10/2026 09:22:55</v>
      </c>
      <c r="AL195" t="str">
        <v>09:22:55</v>
      </c>
      <c r="AM195" t="str">
        <v/>
      </c>
    </row>
    <row r="196">
      <c r="A196">
        <v>195</v>
      </c>
      <c r="B196" t="str">
        <v>MASS BSF</v>
      </c>
      <c r="C196" t="str">
        <v>F8R-810</v>
      </c>
      <c r="D196" t="str">
        <v>F8R-810</v>
      </c>
      <c r="E196" t="str">
        <v/>
      </c>
      <c r="F196" t="str">
        <v>867806078868827</v>
      </c>
      <c r="G196" t="str">
        <v>TBD</v>
      </c>
      <c r="H196" t="str">
        <v/>
      </c>
      <c r="I196" t="str">
        <v/>
      </c>
      <c r="J196" t="str">
        <v>01/10/2026</v>
      </c>
      <c r="K196" t="str">
        <v>09:22:54</v>
      </c>
      <c r="L196">
        <v>-12.150603</v>
      </c>
      <c r="M196">
        <v>-76.982285</v>
      </c>
      <c r="N196">
        <f>HYPERLINK("https://www.google.com/maps/search/?api=1&amp;query=-12.150603,-76.982285","San Juan de Miraflores, Lima")</f>
      </c>
      <c r="O196" t="str">
        <v>Acelerado y giro brusco</v>
      </c>
      <c r="P196" t="str">
        <v/>
      </c>
      <c r="Q196">
        <v>2100.3</v>
      </c>
      <c r="R196" t="str">
        <v/>
      </c>
      <c r="S196">
        <v>20.5</v>
      </c>
      <c r="T196">
        <v>80.73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>
        <v>86</v>
      </c>
      <c r="AC196" t="str">
        <v>01/10/2026</v>
      </c>
      <c r="AD196" t="str">
        <v>09:22:53</v>
      </c>
      <c r="AE196">
        <f>IF("ONLINE"="NOGPS","GPS Antiguo","En línea")</f>
      </c>
      <c r="AF196">
        <f>IF(0=0,"Sin atender", IF(0=1,"Atendida","Atendida y Reportada"))</f>
      </c>
      <c r="AG196" t="str">
        <v/>
      </c>
      <c r="AH196" t="str">
        <v/>
      </c>
      <c r="AI196" t="str">
        <v/>
      </c>
      <c r="AJ196" t="str">
        <v/>
      </c>
      <c r="AK196" t="str">
        <v>01/10/2026 09:23:08</v>
      </c>
      <c r="AL196" t="str">
        <v>09:23:08</v>
      </c>
      <c r="AM196" t="str">
        <v/>
      </c>
    </row>
    <row r="197">
      <c r="A197">
        <v>196</v>
      </c>
      <c r="B197" t="str">
        <v>MASS BSF</v>
      </c>
      <c r="C197" t="str">
        <v>F8R-810</v>
      </c>
      <c r="D197" t="str">
        <v>F8R-810</v>
      </c>
      <c r="E197" t="str">
        <v/>
      </c>
      <c r="F197" t="str">
        <v>867806078868827</v>
      </c>
      <c r="G197" t="str">
        <v>TBD</v>
      </c>
      <c r="H197" t="str">
        <v/>
      </c>
      <c r="I197" t="str">
        <v/>
      </c>
      <c r="J197" t="str">
        <v>01/10/2026</v>
      </c>
      <c r="K197" t="str">
        <v>09:23:35</v>
      </c>
      <c r="L197">
        <v>-12.15066</v>
      </c>
      <c r="M197">
        <v>-76.98083</v>
      </c>
      <c r="N197">
        <f>HYPERLINK("https://www.google.com/maps/search/?api=1&amp;query=-12.15066,-76.98083","Avenida Los Lirios, San Juan de Miraflores, Lima")</f>
      </c>
      <c r="O197" t="str">
        <v>Acelerado y giro brusco</v>
      </c>
      <c r="P197" t="str">
        <v/>
      </c>
      <c r="Q197">
        <v>2100.5</v>
      </c>
      <c r="R197" t="str">
        <v/>
      </c>
      <c r="S197">
        <v>13.8</v>
      </c>
      <c r="T197">
        <v>80.73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>
        <v>86</v>
      </c>
      <c r="AC197" t="str">
        <v>01/10/2026</v>
      </c>
      <c r="AD197" t="str">
        <v>09:23:34</v>
      </c>
      <c r="AE197">
        <f>IF("ONLINE"="NOGPS","GPS Antiguo","En línea")</f>
      </c>
      <c r="AF197">
        <f>IF(0=0,"Sin atender", IF(0=1,"Atendida","Atendida y Reportada"))</f>
      </c>
      <c r="AG197" t="str">
        <v/>
      </c>
      <c r="AH197" t="str">
        <v/>
      </c>
      <c r="AI197" t="str">
        <v/>
      </c>
      <c r="AJ197" t="str">
        <v/>
      </c>
      <c r="AK197" t="str">
        <v>01/10/2026 09:23:55</v>
      </c>
      <c r="AL197" t="str">
        <v>09:23:55</v>
      </c>
      <c r="AM197" t="str">
        <v/>
      </c>
    </row>
    <row r="198">
      <c r="A198">
        <v>197</v>
      </c>
      <c r="B198" t="str">
        <v>MASS BSF</v>
      </c>
      <c r="C198" t="str">
        <v>F8R-810</v>
      </c>
      <c r="D198" t="str">
        <v>F8R-810</v>
      </c>
      <c r="E198" t="str">
        <v/>
      </c>
      <c r="F198" t="str">
        <v>867806078868827</v>
      </c>
      <c r="G198" t="str">
        <v>TBD</v>
      </c>
      <c r="H198" t="str">
        <v/>
      </c>
      <c r="I198" t="str">
        <v/>
      </c>
      <c r="J198" t="str">
        <v>01/10/2026</v>
      </c>
      <c r="K198" t="str">
        <v>09:23:42</v>
      </c>
      <c r="L198">
        <v>-12.150792</v>
      </c>
      <c r="M198">
        <v>-76.98053</v>
      </c>
      <c r="N198">
        <f>HYPERLINK("https://www.google.com/maps/search/?api=1&amp;query=-12.150792,-76.98053","Avenida Los Héroes, San Juan de Miraflores, Lima")</f>
      </c>
      <c r="O198" t="str">
        <v>Acelerado y giro brusco</v>
      </c>
      <c r="P198" t="str">
        <v/>
      </c>
      <c r="Q198">
        <v>2100.5</v>
      </c>
      <c r="R198" t="str">
        <v/>
      </c>
      <c r="S198">
        <v>22.4</v>
      </c>
      <c r="T198">
        <v>80.73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>
        <v>86</v>
      </c>
      <c r="AC198" t="str">
        <v>01/10/2026</v>
      </c>
      <c r="AD198" t="str">
        <v>09:23:41</v>
      </c>
      <c r="AE198">
        <f>IF("ONLINE"="NOGPS","GPS Antiguo","En línea")</f>
      </c>
      <c r="AF198">
        <f>IF(0=0,"Sin atender", IF(0=1,"Atendida","Atendida y Reportada"))</f>
      </c>
      <c r="AG198" t="str">
        <v/>
      </c>
      <c r="AH198" t="str">
        <v/>
      </c>
      <c r="AI198" t="str">
        <v/>
      </c>
      <c r="AJ198" t="str">
        <v/>
      </c>
      <c r="AK198" t="str">
        <v>01/10/2026 09:24:00</v>
      </c>
      <c r="AL198" t="str">
        <v>09:24:00</v>
      </c>
      <c r="AM198" t="str">
        <v/>
      </c>
    </row>
    <row r="199">
      <c r="A199">
        <v>198</v>
      </c>
      <c r="B199" t="str">
        <v>MASS BSF</v>
      </c>
      <c r="C199" t="str">
        <v>F8R-810</v>
      </c>
      <c r="D199" t="str">
        <v>F8R-810</v>
      </c>
      <c r="E199" t="str">
        <v/>
      </c>
      <c r="F199" t="str">
        <v>867806078868827</v>
      </c>
      <c r="G199" t="str">
        <v>TBD</v>
      </c>
      <c r="H199" t="str">
        <v/>
      </c>
      <c r="I199" t="str">
        <v/>
      </c>
      <c r="J199" t="str">
        <v>01/10/2026</v>
      </c>
      <c r="K199" t="str">
        <v>09:23:50</v>
      </c>
      <c r="L199">
        <v>-12.151023</v>
      </c>
      <c r="M199">
        <v>-76.98007</v>
      </c>
      <c r="N199">
        <f>HYPERLINK("https://www.google.com/maps/search/?api=1&amp;query=-12.151023,-76.98007","Avenida Los Héroes, San Juan de Miraflores, Lima")</f>
      </c>
      <c r="O199" t="str">
        <v>Aceleración brusca</v>
      </c>
      <c r="P199" t="str">
        <v>CMT-910</v>
      </c>
      <c r="Q199">
        <v>2100.6</v>
      </c>
      <c r="R199" t="str">
        <v/>
      </c>
      <c r="S199">
        <v>25.5</v>
      </c>
      <c r="T199">
        <v>80.73</v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>
        <v>86</v>
      </c>
      <c r="AC199" t="str">
        <v>01/10/2026</v>
      </c>
      <c r="AD199" t="str">
        <v>09:23:49</v>
      </c>
      <c r="AE199">
        <f>IF("ONLINE"="NOGPS","GPS Antiguo","En línea")</f>
      </c>
      <c r="AF199">
        <f>IF(0=0,"Sin atender", IF(0=1,"Atendida","Atendida y Reportada"))</f>
      </c>
      <c r="AG199" t="str">
        <v/>
      </c>
      <c r="AH199" t="str">
        <v/>
      </c>
      <c r="AI199" t="str">
        <v/>
      </c>
      <c r="AJ199" t="str">
        <v/>
      </c>
      <c r="AK199" t="str">
        <v>01/10/2026 09:24:10</v>
      </c>
      <c r="AL199" t="str">
        <v>09:24:10</v>
      </c>
      <c r="AM199" t="str">
        <v/>
      </c>
    </row>
    <row r="200">
      <c r="A200">
        <v>199</v>
      </c>
      <c r="B200" t="str">
        <v>MASS BSF</v>
      </c>
      <c r="C200" t="str">
        <v>F8R-810</v>
      </c>
      <c r="D200" t="str">
        <v>F8R-810</v>
      </c>
      <c r="E200" t="str">
        <v/>
      </c>
      <c r="F200" t="str">
        <v>867806078868827</v>
      </c>
      <c r="G200" t="str">
        <v>TBD</v>
      </c>
      <c r="H200" t="str">
        <v/>
      </c>
      <c r="I200" t="str">
        <v/>
      </c>
      <c r="J200" t="str">
        <v>01/10/2026</v>
      </c>
      <c r="K200" t="str">
        <v>09:24:04</v>
      </c>
      <c r="L200">
        <v>-12.151214</v>
      </c>
      <c r="M200">
        <v>-76.979515</v>
      </c>
      <c r="N200">
        <f>HYPERLINK("https://www.google.com/maps/search/?api=1&amp;query=-12.151214,-76.979515","Avenida Los Héroes, San Juan de Miraflores, Lima")</f>
      </c>
      <c r="O200" t="str">
        <v>Acelerado y giro brusco</v>
      </c>
      <c r="P200" t="str">
        <v/>
      </c>
      <c r="Q200">
        <v>2100.6</v>
      </c>
      <c r="R200" t="str">
        <v/>
      </c>
      <c r="S200">
        <v>13.5</v>
      </c>
      <c r="T200">
        <v>80.73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>
        <v>86</v>
      </c>
      <c r="AC200" t="str">
        <v>01/10/2026</v>
      </c>
      <c r="AD200" t="str">
        <v>09:24:03</v>
      </c>
      <c r="AE200">
        <f>IF("ONLINE"="NOGPS","GPS Antiguo","En línea")</f>
      </c>
      <c r="AF200">
        <f>IF(0=0,"Sin atender", IF(0=1,"Atendida","Atendida y Reportada"))</f>
      </c>
      <c r="AG200" t="str">
        <v/>
      </c>
      <c r="AH200" t="str">
        <v/>
      </c>
      <c r="AI200" t="str">
        <v/>
      </c>
      <c r="AJ200" t="str">
        <v/>
      </c>
      <c r="AK200" t="str">
        <v>01/10/2026 09:24:19</v>
      </c>
      <c r="AL200" t="str">
        <v>09:24:19</v>
      </c>
      <c r="AM200" t="str">
        <v/>
      </c>
    </row>
    <row r="201">
      <c r="A201">
        <v>200</v>
      </c>
      <c r="B201" t="str">
        <v>MASS BSF</v>
      </c>
      <c r="C201" t="str">
        <v>F8R-810</v>
      </c>
      <c r="D201" t="str">
        <v>F8R-810</v>
      </c>
      <c r="E201" t="str">
        <v/>
      </c>
      <c r="F201" t="str">
        <v>867806078868827</v>
      </c>
      <c r="G201" t="str">
        <v>TBD</v>
      </c>
      <c r="H201" t="str">
        <v/>
      </c>
      <c r="I201" t="str">
        <v/>
      </c>
      <c r="J201" t="str">
        <v>01/10/2026</v>
      </c>
      <c r="K201" t="str">
        <v>09:24:10</v>
      </c>
      <c r="L201">
        <v>-12.151225</v>
      </c>
      <c r="M201">
        <v>-76.979225</v>
      </c>
      <c r="N201">
        <f>HYPERLINK("https://www.google.com/maps/search/?api=1&amp;query=-12.151225,-76.979225","Avenida Los Héroes, San Juan de Miraflores, Lima")</f>
      </c>
      <c r="O201" t="str">
        <v>Acelerado y giro brusco</v>
      </c>
      <c r="P201" t="str">
        <v/>
      </c>
      <c r="Q201">
        <v>2100.7</v>
      </c>
      <c r="R201" t="str">
        <v/>
      </c>
      <c r="S201">
        <v>23.5</v>
      </c>
      <c r="T201">
        <v>80.73</v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>
        <v>86</v>
      </c>
      <c r="AC201" t="str">
        <v>01/10/2026</v>
      </c>
      <c r="AD201" t="str">
        <v>09:24:09</v>
      </c>
      <c r="AE201">
        <f>IF("ONLINE"="NOGPS","GPS Antiguo","En línea")</f>
      </c>
      <c r="AF201">
        <f>IF(0=0,"Sin atender", IF(0=1,"Atendida","Atendida y Reportada"))</f>
      </c>
      <c r="AG201" t="str">
        <v/>
      </c>
      <c r="AH201" t="str">
        <v/>
      </c>
      <c r="AI201" t="str">
        <v/>
      </c>
      <c r="AJ201" t="str">
        <v/>
      </c>
      <c r="AK201" t="str">
        <v>01/10/2026 09:24:26</v>
      </c>
      <c r="AL201" t="str">
        <v>09:24:26</v>
      </c>
      <c r="AM201" t="str">
        <v/>
      </c>
    </row>
    <row r="202">
      <c r="A202">
        <v>201</v>
      </c>
      <c r="B202" t="str">
        <v>MASS BSF</v>
      </c>
      <c r="C202" t="str">
        <v>F8R-810</v>
      </c>
      <c r="D202" t="str">
        <v>F8R-810</v>
      </c>
      <c r="E202" t="str">
        <v/>
      </c>
      <c r="F202" t="str">
        <v>867806078868827</v>
      </c>
      <c r="G202" t="str">
        <v>TBD</v>
      </c>
      <c r="H202" t="str">
        <v/>
      </c>
      <c r="I202" t="str">
        <v/>
      </c>
      <c r="J202" t="str">
        <v>01/10/2026</v>
      </c>
      <c r="K202" t="str">
        <v>09:24:31</v>
      </c>
      <c r="L202">
        <v>-12.151849</v>
      </c>
      <c r="M202">
        <v>-76.977646</v>
      </c>
      <c r="N202">
        <f>HYPERLINK("https://www.google.com/maps/search/?api=1&amp;query=-12.151849,-76.977646","Avenida Los Héroes, San Juan de Miraflores, Lima")</f>
      </c>
      <c r="O202" t="str">
        <v>Aceleración brusca</v>
      </c>
      <c r="P202" t="str">
        <v>CMT-910</v>
      </c>
      <c r="Q202">
        <v>2100.9</v>
      </c>
      <c r="R202" t="str">
        <v/>
      </c>
      <c r="S202">
        <v>35</v>
      </c>
      <c r="T202">
        <v>80.73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>
        <v>86</v>
      </c>
      <c r="AC202" t="str">
        <v>01/10/2026</v>
      </c>
      <c r="AD202" t="str">
        <v>09:24:30</v>
      </c>
      <c r="AE202">
        <f>IF("ONLINE"="NOGPS","GPS Antiguo","En línea")</f>
      </c>
      <c r="AF202">
        <f>IF(0=0,"Sin atender", IF(0=1,"Atendida","Atendida y Reportada"))</f>
      </c>
      <c r="AG202" t="str">
        <v/>
      </c>
      <c r="AH202" t="str">
        <v/>
      </c>
      <c r="AI202" t="str">
        <v/>
      </c>
      <c r="AJ202" t="str">
        <v/>
      </c>
      <c r="AK202" t="str">
        <v>01/10/2026 09:24:48</v>
      </c>
      <c r="AL202" t="str">
        <v>09:24:48</v>
      </c>
      <c r="AM202" t="str">
        <v/>
      </c>
    </row>
    <row r="203">
      <c r="A203">
        <v>202</v>
      </c>
      <c r="B203" t="str">
        <v>MASS BSF</v>
      </c>
      <c r="C203" t="str">
        <v>F8R-810</v>
      </c>
      <c r="D203" t="str">
        <v>F8R-810</v>
      </c>
      <c r="E203" t="str">
        <v/>
      </c>
      <c r="F203" t="str">
        <v>867806078868827</v>
      </c>
      <c r="G203" t="str">
        <v>TBD</v>
      </c>
      <c r="H203" t="str">
        <v/>
      </c>
      <c r="I203" t="str">
        <v/>
      </c>
      <c r="J203" t="str">
        <v>01/10/2026</v>
      </c>
      <c r="K203" t="str">
        <v>09:24:41</v>
      </c>
      <c r="L203">
        <v>-12.152197</v>
      </c>
      <c r="M203">
        <v>-76.97682</v>
      </c>
      <c r="N203">
        <f>HYPERLINK("https://www.google.com/maps/search/?api=1&amp;query=-12.152197,-76.97682","Avenida Los Héroes, San Juan de Miraflores, Lima")</f>
      </c>
      <c r="O203" t="str">
        <v>Aceleración brusca</v>
      </c>
      <c r="P203" t="str">
        <v>CMT-910</v>
      </c>
      <c r="Q203">
        <v>2101</v>
      </c>
      <c r="R203" t="str">
        <v/>
      </c>
      <c r="S203">
        <v>32.7</v>
      </c>
      <c r="T203">
        <v>80.73</v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>
        <v>86</v>
      </c>
      <c r="AC203" t="str">
        <v>01/10/2026</v>
      </c>
      <c r="AD203" t="str">
        <v>09:24:40</v>
      </c>
      <c r="AE203">
        <f>IF("ONLINE"="NOGPS","GPS Antiguo","En línea")</f>
      </c>
      <c r="AF203">
        <f>IF(0=0,"Sin atender", IF(0=1,"Atendida","Atendida y Reportada"))</f>
      </c>
      <c r="AG203" t="str">
        <v/>
      </c>
      <c r="AH203" t="str">
        <v/>
      </c>
      <c r="AI203" t="str">
        <v/>
      </c>
      <c r="AJ203" t="str">
        <v/>
      </c>
      <c r="AK203" t="str">
        <v>01/10/2026 09:25:00</v>
      </c>
      <c r="AL203" t="str">
        <v>09:25:00</v>
      </c>
      <c r="AM203" t="str">
        <v/>
      </c>
    </row>
    <row r="204">
      <c r="A204">
        <v>203</v>
      </c>
      <c r="B204" t="str">
        <v>MASS BSF</v>
      </c>
      <c r="C204" t="str">
        <v>F8R-810</v>
      </c>
      <c r="D204" t="str">
        <v>F8R-810</v>
      </c>
      <c r="E204" t="str">
        <v/>
      </c>
      <c r="F204" t="str">
        <v>867806078868827</v>
      </c>
      <c r="G204" t="str">
        <v>TBD</v>
      </c>
      <c r="H204" t="str">
        <v/>
      </c>
      <c r="I204" t="str">
        <v/>
      </c>
      <c r="J204" t="str">
        <v>01/10/2026</v>
      </c>
      <c r="K204" t="str">
        <v>09:24:51</v>
      </c>
      <c r="L204">
        <v>-12.152342</v>
      </c>
      <c r="M204">
        <v>-76.97634</v>
      </c>
      <c r="N204">
        <f>HYPERLINK("https://www.google.com/maps/search/?api=1&amp;query=-12.152342,-76.97634","Avenida Los Héroes, San Juan de Miraflores, Lima")</f>
      </c>
      <c r="O204" t="str">
        <v>Acelerado y giro brusco</v>
      </c>
      <c r="P204" t="str">
        <v/>
      </c>
      <c r="Q204">
        <v>2101</v>
      </c>
      <c r="R204" t="str">
        <v/>
      </c>
      <c r="S204">
        <v>14.2</v>
      </c>
      <c r="T204">
        <v>80.73</v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>
        <v>86</v>
      </c>
      <c r="AC204" t="str">
        <v>01/10/2026</v>
      </c>
      <c r="AD204" t="str">
        <v>09:24:50</v>
      </c>
      <c r="AE204">
        <f>IF("ONLINE"="NOGPS","GPS Antiguo","En línea")</f>
      </c>
      <c r="AF204">
        <f>IF(0=0,"Sin atender", IF(0=1,"Atendida","Atendida y Reportada"))</f>
      </c>
      <c r="AG204" t="str">
        <v/>
      </c>
      <c r="AH204" t="str">
        <v/>
      </c>
      <c r="AI204" t="str">
        <v/>
      </c>
      <c r="AJ204" t="str">
        <v/>
      </c>
      <c r="AK204" t="str">
        <v>01/10/2026 09:25:15</v>
      </c>
      <c r="AL204" t="str">
        <v>09:25:15</v>
      </c>
      <c r="AM204" t="str">
        <v/>
      </c>
    </row>
    <row r="205">
      <c r="A205">
        <v>204</v>
      </c>
      <c r="B205" t="str">
        <v>MASS BSF</v>
      </c>
      <c r="C205" t="str">
        <v>F8R-810</v>
      </c>
      <c r="D205" t="str">
        <v>F8R-810</v>
      </c>
      <c r="E205" t="str">
        <v/>
      </c>
      <c r="F205" t="str">
        <v>867806078868827</v>
      </c>
      <c r="G205" t="str">
        <v>TBD</v>
      </c>
      <c r="H205" t="str">
        <v/>
      </c>
      <c r="I205" t="str">
        <v/>
      </c>
      <c r="J205" t="str">
        <v>01/10/2026</v>
      </c>
      <c r="K205" t="str">
        <v>09:25:12</v>
      </c>
      <c r="L205">
        <v>-12.152803</v>
      </c>
      <c r="M205">
        <v>-76.97516</v>
      </c>
      <c r="N205">
        <f>HYPERLINK("https://www.google.com/maps/search/?api=1&amp;query=-12.152803,-76.97516","Avenida Los Héroes, San Juan de Miraflores, Lima")</f>
      </c>
      <c r="O205" t="str">
        <v>Acelerado y giro brusco</v>
      </c>
      <c r="P205" t="str">
        <v/>
      </c>
      <c r="Q205">
        <v>2101.1</v>
      </c>
      <c r="R205" t="str">
        <v/>
      </c>
      <c r="S205">
        <v>32</v>
      </c>
      <c r="T205">
        <v>80.73</v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>
        <v>86</v>
      </c>
      <c r="AC205" t="str">
        <v>01/10/2026</v>
      </c>
      <c r="AD205" t="str">
        <v>09:25:11</v>
      </c>
      <c r="AE205">
        <f>IF("ONLINE"="NOGPS","GPS Antiguo","En línea")</f>
      </c>
      <c r="AF205">
        <f>IF(0=0,"Sin atender", IF(0=1,"Atendida","Atendida y Reportada"))</f>
      </c>
      <c r="AG205" t="str">
        <v/>
      </c>
      <c r="AH205" t="str">
        <v/>
      </c>
      <c r="AI205" t="str">
        <v/>
      </c>
      <c r="AJ205" t="str">
        <v/>
      </c>
      <c r="AK205" t="str">
        <v>01/10/2026 09:25:31</v>
      </c>
      <c r="AL205" t="str">
        <v>09:25:31</v>
      </c>
      <c r="AM205" t="str">
        <v/>
      </c>
    </row>
    <row r="206">
      <c r="A206">
        <v>205</v>
      </c>
      <c r="B206" t="str">
        <v>MASS BSF</v>
      </c>
      <c r="C206" t="str">
        <v>F8R-810</v>
      </c>
      <c r="D206" t="str">
        <v>F8R-810</v>
      </c>
      <c r="E206" t="str">
        <v/>
      </c>
      <c r="F206" t="str">
        <v>867806078868827</v>
      </c>
      <c r="G206" t="str">
        <v>TBD</v>
      </c>
      <c r="H206" t="str">
        <v/>
      </c>
      <c r="I206" t="str">
        <v/>
      </c>
      <c r="J206" t="str">
        <v>01/10/2026</v>
      </c>
      <c r="K206" t="str">
        <v>09:25:42</v>
      </c>
      <c r="L206">
        <v>-12.153592</v>
      </c>
      <c r="M206">
        <v>-76.97328</v>
      </c>
      <c r="N206">
        <f>HYPERLINK("https://www.google.com/maps/search/?api=1&amp;query=-12.153592,-76.97328","Avenida Los Héroes, San Juan de Miraflores, Lima")</f>
      </c>
      <c r="O206" t="str">
        <v>Acelerado y giro brusco</v>
      </c>
      <c r="P206" t="str">
        <v/>
      </c>
      <c r="Q206">
        <v>2101.4</v>
      </c>
      <c r="R206" t="str">
        <v/>
      </c>
      <c r="S206">
        <v>31.1</v>
      </c>
      <c r="T206">
        <v>80.73</v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>
        <v>86</v>
      </c>
      <c r="AC206" t="str">
        <v>01/10/2026</v>
      </c>
      <c r="AD206" t="str">
        <v>09:25:42</v>
      </c>
      <c r="AE206">
        <f>IF("ONLINE"="NOGPS","GPS Antiguo","En línea")</f>
      </c>
      <c r="AF206">
        <f>IF(0=0,"Sin atender", IF(0=1,"Atendida","Atendida y Reportada"))</f>
      </c>
      <c r="AG206" t="str">
        <v/>
      </c>
      <c r="AH206" t="str">
        <v/>
      </c>
      <c r="AI206" t="str">
        <v/>
      </c>
      <c r="AJ206" t="str">
        <v/>
      </c>
      <c r="AK206" t="str">
        <v>01/10/2026 09:25:58</v>
      </c>
      <c r="AL206" t="str">
        <v>09:25:58</v>
      </c>
      <c r="AM206" t="str">
        <v/>
      </c>
    </row>
    <row r="207">
      <c r="A207">
        <v>206</v>
      </c>
      <c r="B207" t="str">
        <v>MASS BSF</v>
      </c>
      <c r="C207" t="str">
        <v>F8R-810</v>
      </c>
      <c r="D207" t="str">
        <v>F8R-810</v>
      </c>
      <c r="E207" t="str">
        <v/>
      </c>
      <c r="F207" t="str">
        <v>867806078868827</v>
      </c>
      <c r="G207" t="str">
        <v>TBD</v>
      </c>
      <c r="H207" t="str">
        <v/>
      </c>
      <c r="I207" t="str">
        <v/>
      </c>
      <c r="J207" t="str">
        <v>01/10/2026</v>
      </c>
      <c r="K207" t="str">
        <v>09:26:04</v>
      </c>
      <c r="L207">
        <v>-12.153856</v>
      </c>
      <c r="M207">
        <v>-76.9726</v>
      </c>
      <c r="N207">
        <f>HYPERLINK("https://www.google.com/maps/search/?api=1&amp;query=-12.153856,-76.9726","Avenida Los Héroes, San Juan de Miraflores, Lima")</f>
      </c>
      <c r="O207" t="str">
        <v>Acelerado y giro brusco</v>
      </c>
      <c r="P207" t="str">
        <v/>
      </c>
      <c r="Q207">
        <v>2101.4</v>
      </c>
      <c r="R207" t="str">
        <v/>
      </c>
      <c r="S207">
        <v>14.2</v>
      </c>
      <c r="T207">
        <v>80.73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>
        <v>86</v>
      </c>
      <c r="AC207" t="str">
        <v>01/10/2026</v>
      </c>
      <c r="AD207" t="str">
        <v>09:26:03</v>
      </c>
      <c r="AE207">
        <f>IF("ONLINE"="NOGPS","GPS Antiguo","En línea")</f>
      </c>
      <c r="AF207">
        <f>IF(0=0,"Sin atender", IF(0=1,"Atendida","Atendida y Reportada"))</f>
      </c>
      <c r="AG207" t="str">
        <v/>
      </c>
      <c r="AH207" t="str">
        <v/>
      </c>
      <c r="AI207" t="str">
        <v/>
      </c>
      <c r="AJ207" t="str">
        <v/>
      </c>
      <c r="AK207" t="str">
        <v>01/10/2026 09:26:16</v>
      </c>
      <c r="AL207" t="str">
        <v>09:26:16</v>
      </c>
      <c r="AM207" t="str">
        <v/>
      </c>
    </row>
    <row r="208">
      <c r="A208">
        <v>207</v>
      </c>
      <c r="B208" t="str">
        <v>MASS BSF</v>
      </c>
      <c r="C208" t="str">
        <v>F8R-810</v>
      </c>
      <c r="D208" t="str">
        <v>F8R-810</v>
      </c>
      <c r="E208" t="str">
        <v/>
      </c>
      <c r="F208" t="str">
        <v>867806078868827</v>
      </c>
      <c r="G208" t="str">
        <v>TBD</v>
      </c>
      <c r="H208" t="str">
        <v/>
      </c>
      <c r="I208" t="str">
        <v/>
      </c>
      <c r="J208" t="str">
        <v>01/10/2026</v>
      </c>
      <c r="K208" t="str">
        <v>09:26:08</v>
      </c>
      <c r="L208">
        <v>-12.153913</v>
      </c>
      <c r="M208">
        <v>-76.972466</v>
      </c>
      <c r="N208">
        <f>HYPERLINK("https://www.google.com/maps/search/?api=1&amp;query=-12.153913,-76.972466","Avenida Los Héroes, San Juan de Miraflores, Lima")</f>
      </c>
      <c r="O208" t="str">
        <v>Acelerado y giro brusco</v>
      </c>
      <c r="P208" t="str">
        <v/>
      </c>
      <c r="Q208">
        <v>2101.5</v>
      </c>
      <c r="R208" t="str">
        <v/>
      </c>
      <c r="S208">
        <v>15.1</v>
      </c>
      <c r="T208">
        <v>80.73</v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>
        <v>86</v>
      </c>
      <c r="AC208" t="str">
        <v>01/10/2026</v>
      </c>
      <c r="AD208" t="str">
        <v>09:26:07</v>
      </c>
      <c r="AE208">
        <f>IF("ONLINE"="NOGPS","GPS Antiguo","En línea")</f>
      </c>
      <c r="AF208">
        <f>IF(0=0,"Sin atender", IF(0=1,"Atendida","Atendida y Reportada"))</f>
      </c>
      <c r="AG208" t="str">
        <v/>
      </c>
      <c r="AH208" t="str">
        <v/>
      </c>
      <c r="AI208" t="str">
        <v/>
      </c>
      <c r="AJ208" t="str">
        <v/>
      </c>
      <c r="AK208" t="str">
        <v>01/10/2026 09:26:24</v>
      </c>
      <c r="AL208" t="str">
        <v>09:26:24</v>
      </c>
      <c r="AM208" t="str">
        <v/>
      </c>
    </row>
    <row r="209">
      <c r="A209">
        <v>208</v>
      </c>
      <c r="B209" t="str">
        <v>MASS BSF</v>
      </c>
      <c r="C209" t="str">
        <v>F8R-810</v>
      </c>
      <c r="D209" t="str">
        <v>F8R-810</v>
      </c>
      <c r="E209" t="str">
        <v/>
      </c>
      <c r="F209" t="str">
        <v>867806078868827</v>
      </c>
      <c r="G209" t="str">
        <v>TBD</v>
      </c>
      <c r="H209" t="str">
        <v/>
      </c>
      <c r="I209" t="str">
        <v/>
      </c>
      <c r="J209" t="str">
        <v>01/10/2026</v>
      </c>
      <c r="K209" t="str">
        <v>09:26:27</v>
      </c>
      <c r="L209">
        <v>-12.154165</v>
      </c>
      <c r="M209">
        <v>-76.97189</v>
      </c>
      <c r="N209">
        <f>HYPERLINK("https://www.google.com/maps/search/?api=1&amp;query=-12.154165,-76.97189","Avenida Los Héroes, San Juan de Miraflores, Lima")</f>
      </c>
      <c r="O209" t="str">
        <v>Acelerado y giro brusco</v>
      </c>
      <c r="P209" t="str">
        <v/>
      </c>
      <c r="Q209">
        <v>2101.5</v>
      </c>
      <c r="R209" t="str">
        <v/>
      </c>
      <c r="S209">
        <v>6.2</v>
      </c>
      <c r="T209">
        <v>80.73</v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>
        <v>85</v>
      </c>
      <c r="AC209" t="str">
        <v>01/10/2026</v>
      </c>
      <c r="AD209" t="str">
        <v>09:26:26</v>
      </c>
      <c r="AE209">
        <f>IF("ONLINE"="NOGPS","GPS Antiguo","En línea")</f>
      </c>
      <c r="AF209">
        <f>IF(0=0,"Sin atender", IF(0=1,"Atendida","Atendida y Reportada"))</f>
      </c>
      <c r="AG209" t="str">
        <v/>
      </c>
      <c r="AH209" t="str">
        <v/>
      </c>
      <c r="AI209" t="str">
        <v/>
      </c>
      <c r="AJ209" t="str">
        <v/>
      </c>
      <c r="AK209" t="str">
        <v>01/10/2026 09:26:41</v>
      </c>
      <c r="AL209" t="str">
        <v>09:26:41</v>
      </c>
      <c r="AM209" t="str">
        <v/>
      </c>
    </row>
    <row r="210">
      <c r="A210">
        <v>209</v>
      </c>
      <c r="B210" t="str">
        <v>MASS BSF</v>
      </c>
      <c r="C210" t="str">
        <v>F8R-810</v>
      </c>
      <c r="D210" t="str">
        <v>F8R-810</v>
      </c>
      <c r="E210" t="str">
        <v/>
      </c>
      <c r="F210" t="str">
        <v>867806078868827</v>
      </c>
      <c r="G210" t="str">
        <v>TBD</v>
      </c>
      <c r="H210" t="str">
        <v/>
      </c>
      <c r="I210" t="str">
        <v/>
      </c>
      <c r="J210" t="str">
        <v>01/10/2026</v>
      </c>
      <c r="K210" t="str">
        <v>09:26:32</v>
      </c>
      <c r="L210">
        <v>-12.154163</v>
      </c>
      <c r="M210">
        <v>-76.97183</v>
      </c>
      <c r="N210">
        <f>HYPERLINK("https://www.google.com/maps/search/?api=1&amp;query=-12.154163,-76.97183","Avenida San Juan, San Juan de Miraflores, Lima")</f>
      </c>
      <c r="O210" t="str">
        <v>Acelerado y giro brusco</v>
      </c>
      <c r="P210" t="str">
        <v/>
      </c>
      <c r="Q210">
        <v>2101.5</v>
      </c>
      <c r="R210" t="str">
        <v/>
      </c>
      <c r="S210">
        <v>0.3</v>
      </c>
      <c r="T210">
        <v>80.73</v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>
        <v>85</v>
      </c>
      <c r="AC210" t="str">
        <v>01/10/2026</v>
      </c>
      <c r="AD210" t="str">
        <v>09:26:31</v>
      </c>
      <c r="AE210">
        <f>IF("ONLINE"="NOGPS","GPS Antiguo","En línea")</f>
      </c>
      <c r="AF210">
        <f>IF(0=0,"Sin atender", IF(0=1,"Atendida","Atendida y Reportada"))</f>
      </c>
      <c r="AG210" t="str">
        <v/>
      </c>
      <c r="AH210" t="str">
        <v/>
      </c>
      <c r="AI210" t="str">
        <v/>
      </c>
      <c r="AJ210" t="str">
        <v/>
      </c>
      <c r="AK210" t="str">
        <v>01/10/2026 09:26:40</v>
      </c>
      <c r="AL210" t="str">
        <v>09:26:40</v>
      </c>
      <c r="AM210" t="str">
        <v/>
      </c>
    </row>
    <row r="211">
      <c r="A211">
        <v>210</v>
      </c>
      <c r="B211" t="str">
        <v>MASS BSF</v>
      </c>
      <c r="C211" t="str">
        <v>F8R-810</v>
      </c>
      <c r="D211" t="str">
        <v>F8R-810</v>
      </c>
      <c r="E211" t="str">
        <v/>
      </c>
      <c r="F211" t="str">
        <v>867806078868827</v>
      </c>
      <c r="G211" t="str">
        <v>TBD</v>
      </c>
      <c r="H211" t="str">
        <v/>
      </c>
      <c r="I211" t="str">
        <v/>
      </c>
      <c r="J211" t="str">
        <v>01/10/2026</v>
      </c>
      <c r="K211" t="str">
        <v>09:26:50</v>
      </c>
      <c r="L211">
        <v>-12.1541</v>
      </c>
      <c r="M211">
        <v>-76.971794</v>
      </c>
      <c r="N211">
        <f>HYPERLINK("https://www.google.com/maps/search/?api=1&amp;query=-12.1541,-76.971794","Avenida San Juan, San Juan de Miraflores, Lima")</f>
      </c>
      <c r="O211" t="str">
        <v>Acelerado y giro brusco</v>
      </c>
      <c r="P211" t="str">
        <v/>
      </c>
      <c r="Q211">
        <v>2101.5</v>
      </c>
      <c r="R211" t="str">
        <v/>
      </c>
      <c r="S211">
        <v>4.2</v>
      </c>
      <c r="T211">
        <v>80.73</v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>
        <v>85</v>
      </c>
      <c r="AC211" t="str">
        <v>01/10/2026</v>
      </c>
      <c r="AD211" t="str">
        <v>09:26:49</v>
      </c>
      <c r="AE211">
        <f>IF("ONLINE"="NOGPS","GPS Antiguo","En línea")</f>
      </c>
      <c r="AF211">
        <f>IF(0=0,"Sin atender", IF(0=1,"Atendida","Atendida y Reportada"))</f>
      </c>
      <c r="AG211" t="str">
        <v/>
      </c>
      <c r="AH211" t="str">
        <v/>
      </c>
      <c r="AI211" t="str">
        <v/>
      </c>
      <c r="AJ211" t="str">
        <v/>
      </c>
      <c r="AK211" t="str">
        <v>01/10/2026 09:26:59</v>
      </c>
      <c r="AL211" t="str">
        <v>09:26:59</v>
      </c>
      <c r="AM211" t="str">
        <v/>
      </c>
    </row>
    <row r="212">
      <c r="A212">
        <v>211</v>
      </c>
      <c r="B212" t="str">
        <v>MASS BSF</v>
      </c>
      <c r="C212" t="str">
        <v>F8R-810</v>
      </c>
      <c r="D212" t="str">
        <v>F8R-810</v>
      </c>
      <c r="E212" t="str">
        <v/>
      </c>
      <c r="F212" t="str">
        <v>867806078868827</v>
      </c>
      <c r="G212" t="str">
        <v>TBD</v>
      </c>
      <c r="H212" t="str">
        <v/>
      </c>
      <c r="I212" t="str">
        <v/>
      </c>
      <c r="J212" t="str">
        <v>01/10/2026</v>
      </c>
      <c r="K212" t="str">
        <v>09:27:13</v>
      </c>
      <c r="L212">
        <v>-12.15402</v>
      </c>
      <c r="M212">
        <v>-76.97178</v>
      </c>
      <c r="N212">
        <f>HYPERLINK("https://www.google.com/maps/search/?api=1&amp;query=-12.15402,-76.97178","Avenida San Juan, San Juan de Miraflores, Lima")</f>
      </c>
      <c r="O212" t="str">
        <v>Acelerado y giro brusco</v>
      </c>
      <c r="P212" t="str">
        <v/>
      </c>
      <c r="Q212">
        <v>2101.6</v>
      </c>
      <c r="R212" t="str">
        <v/>
      </c>
      <c r="S212">
        <v>0</v>
      </c>
      <c r="T212">
        <v>80.73</v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>
        <v>85</v>
      </c>
      <c r="AC212" t="str">
        <v>01/10/2026</v>
      </c>
      <c r="AD212" t="str">
        <v>09:27:12</v>
      </c>
      <c r="AE212">
        <f>IF("ONLINE"="NOGPS","GPS Antiguo","En línea")</f>
      </c>
      <c r="AF212">
        <f>IF(0=0,"Sin atender", IF(0=1,"Atendida","Atendida y Reportada"))</f>
      </c>
      <c r="AG212" t="str">
        <v/>
      </c>
      <c r="AH212" t="str">
        <v/>
      </c>
      <c r="AI212" t="str">
        <v/>
      </c>
      <c r="AJ212" t="str">
        <v/>
      </c>
      <c r="AK212" t="str">
        <v>01/10/2026 09:28:19</v>
      </c>
      <c r="AL212" t="str">
        <v>09:28:19</v>
      </c>
      <c r="AM212" t="str">
        <v/>
      </c>
    </row>
    <row r="213">
      <c r="A213">
        <v>212</v>
      </c>
      <c r="B213" t="str">
        <v>MASS BSF</v>
      </c>
      <c r="C213" t="str">
        <v>F8R-810</v>
      </c>
      <c r="D213" t="str">
        <v>F8R-810</v>
      </c>
      <c r="E213" t="str">
        <v/>
      </c>
      <c r="F213" t="str">
        <v>867806078868827</v>
      </c>
      <c r="G213" t="str">
        <v>TBD</v>
      </c>
      <c r="H213" t="str">
        <v/>
      </c>
      <c r="I213" t="str">
        <v/>
      </c>
      <c r="J213" t="str">
        <v>01/10/2026</v>
      </c>
      <c r="K213" t="str">
        <v>09:27:21</v>
      </c>
      <c r="L213">
        <v>-12.153955</v>
      </c>
      <c r="M213">
        <v>-76.971756</v>
      </c>
      <c r="N213">
        <f>HYPERLINK("https://www.google.com/maps/search/?api=1&amp;query=-12.153955,-76.971756","Avenida San Juan, San Juan de Miraflores, Lima")</f>
      </c>
      <c r="O213" t="str">
        <v>Acelerado y giro brusco</v>
      </c>
      <c r="P213" t="str">
        <v/>
      </c>
      <c r="Q213">
        <v>2101.6</v>
      </c>
      <c r="R213" t="str">
        <v/>
      </c>
      <c r="S213">
        <v>1.8</v>
      </c>
      <c r="T213">
        <v>80.73</v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>
        <v>85</v>
      </c>
      <c r="AC213" t="str">
        <v>01/10/2026</v>
      </c>
      <c r="AD213" t="str">
        <v>09:27:20</v>
      </c>
      <c r="AE213">
        <f>IF("ONLINE"="NOGPS","GPS Antiguo","En línea")</f>
      </c>
      <c r="AF213">
        <f>IF(0=0,"Sin atender", IF(0=1,"Atendida","Atendida y Reportada"))</f>
      </c>
      <c r="AG213" t="str">
        <v/>
      </c>
      <c r="AH213" t="str">
        <v/>
      </c>
      <c r="AI213" t="str">
        <v/>
      </c>
      <c r="AJ213" t="str">
        <v/>
      </c>
      <c r="AK213" t="str">
        <v>01/10/2026 09:28:14</v>
      </c>
      <c r="AL213" t="str">
        <v>09:28:14</v>
      </c>
      <c r="AM213" t="str">
        <v/>
      </c>
    </row>
    <row r="214">
      <c r="A214">
        <v>213</v>
      </c>
      <c r="B214" t="str">
        <v>MASS BSF</v>
      </c>
      <c r="C214" t="str">
        <v>F8R-810</v>
      </c>
      <c r="D214" t="str">
        <v>F8R-810</v>
      </c>
      <c r="E214" t="str">
        <v/>
      </c>
      <c r="F214" t="str">
        <v>867806078868827</v>
      </c>
      <c r="G214" t="str">
        <v>TBD</v>
      </c>
      <c r="H214" t="str">
        <v/>
      </c>
      <c r="I214" t="str">
        <v/>
      </c>
      <c r="J214" t="str">
        <v>01/10/2026</v>
      </c>
      <c r="K214" t="str">
        <v>09:27:36</v>
      </c>
      <c r="L214">
        <v>-12.153925</v>
      </c>
      <c r="M214">
        <v>-76.97174</v>
      </c>
      <c r="N214">
        <f>HYPERLINK("https://www.google.com/maps/search/?api=1&amp;query=-12.153925,-76.97174","Avenida San Juan, San Juan de Miraflores, Lima")</f>
      </c>
      <c r="O214" t="str">
        <v>Acelerado y giro brusco</v>
      </c>
      <c r="P214" t="str">
        <v/>
      </c>
      <c r="Q214">
        <v>2101.6</v>
      </c>
      <c r="R214" t="str">
        <v/>
      </c>
      <c r="S214">
        <v>0</v>
      </c>
      <c r="T214">
        <v>80.73</v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>
        <v>85</v>
      </c>
      <c r="AC214" t="str">
        <v>01/10/2026</v>
      </c>
      <c r="AD214" t="str">
        <v>09:27:35</v>
      </c>
      <c r="AE214">
        <f>IF("ONLINE"="NOGPS","GPS Antiguo","En línea")</f>
      </c>
      <c r="AF214">
        <f>IF(0=0,"Sin atender", IF(0=1,"Atendida","Atendida y Reportada"))</f>
      </c>
      <c r="AG214" t="str">
        <v/>
      </c>
      <c r="AH214" t="str">
        <v/>
      </c>
      <c r="AI214" t="str">
        <v/>
      </c>
      <c r="AJ214" t="str">
        <v/>
      </c>
      <c r="AK214" t="str">
        <v>01/10/2026 09:28:14</v>
      </c>
      <c r="AL214" t="str">
        <v>09:28:14</v>
      </c>
      <c r="AM214" t="str">
        <v/>
      </c>
    </row>
    <row r="215">
      <c r="A215">
        <v>214</v>
      </c>
      <c r="B215" t="str">
        <v>MASS BSF</v>
      </c>
      <c r="C215" t="str">
        <v>F8R-810</v>
      </c>
      <c r="D215" t="str">
        <v>F8R-810</v>
      </c>
      <c r="E215" t="str">
        <v/>
      </c>
      <c r="F215" t="str">
        <v>867806078868827</v>
      </c>
      <c r="G215" t="str">
        <v>TBD</v>
      </c>
      <c r="H215" t="str">
        <v/>
      </c>
      <c r="I215" t="str">
        <v/>
      </c>
      <c r="J215" t="str">
        <v>01/10/2026</v>
      </c>
      <c r="K215" t="str">
        <v>09:27:46</v>
      </c>
      <c r="L215">
        <v>-12.153925</v>
      </c>
      <c r="M215">
        <v>-76.97174</v>
      </c>
      <c r="N215">
        <f>HYPERLINK("https://www.google.com/maps/search/?api=1&amp;query=-12.153925,-76.97174","Avenida San Juan, San Juan de Miraflores, Lima")</f>
      </c>
      <c r="O215" t="str">
        <v>Acelerado y giro brusco</v>
      </c>
      <c r="P215" t="str">
        <v/>
      </c>
      <c r="Q215">
        <v>2101.6</v>
      </c>
      <c r="R215" t="str">
        <v/>
      </c>
      <c r="S215">
        <v>0</v>
      </c>
      <c r="T215">
        <v>80.73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>
        <v>85</v>
      </c>
      <c r="AC215" t="str">
        <v>01/10/2026</v>
      </c>
      <c r="AD215" t="str">
        <v>09:27:45</v>
      </c>
      <c r="AE215">
        <f>IF("ONLINE"="NOGPS","GPS Antiguo","En línea")</f>
      </c>
      <c r="AF215">
        <f>IF(0=0,"Sin atender", IF(0=1,"Atendida","Atendida y Reportada"))</f>
      </c>
      <c r="AG215" t="str">
        <v/>
      </c>
      <c r="AH215" t="str">
        <v/>
      </c>
      <c r="AI215" t="str">
        <v/>
      </c>
      <c r="AJ215" t="str">
        <v/>
      </c>
      <c r="AK215" t="str">
        <v>01/10/2026 09:28:17</v>
      </c>
      <c r="AL215" t="str">
        <v>09:28:17</v>
      </c>
      <c r="AM215" t="str">
        <v/>
      </c>
    </row>
    <row r="216">
      <c r="A216">
        <v>215</v>
      </c>
      <c r="B216" t="str">
        <v>MASS BSF</v>
      </c>
      <c r="C216" t="str">
        <v>F8R-810</v>
      </c>
      <c r="D216" t="str">
        <v>F8R-810</v>
      </c>
      <c r="E216" t="str">
        <v/>
      </c>
      <c r="F216" t="str">
        <v>867806078868827</v>
      </c>
      <c r="G216" t="str">
        <v>TBD</v>
      </c>
      <c r="H216" t="str">
        <v/>
      </c>
      <c r="I216" t="str">
        <v/>
      </c>
      <c r="J216" t="str">
        <v>01/10/2026</v>
      </c>
      <c r="K216" t="str">
        <v>09:28:02</v>
      </c>
      <c r="L216">
        <v>-12.153677</v>
      </c>
      <c r="M216">
        <v>-76.972</v>
      </c>
      <c r="N216">
        <f>HYPERLINK("https://www.google.com/maps/search/?api=1&amp;query=-12.153677,-76.972","Avenida Los Héroes, San Juan de Miraflores, Lima")</f>
      </c>
      <c r="O216" t="str">
        <v>Acelerado y giro brusco</v>
      </c>
      <c r="P216" t="str">
        <v/>
      </c>
      <c r="Q216">
        <v>2101.6</v>
      </c>
      <c r="R216" t="str">
        <v/>
      </c>
      <c r="S216">
        <v>19.2</v>
      </c>
      <c r="T216">
        <v>80.73</v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>
        <v>85</v>
      </c>
      <c r="AC216" t="str">
        <v>01/10/2026</v>
      </c>
      <c r="AD216" t="str">
        <v>09:28:01</v>
      </c>
      <c r="AE216">
        <f>IF("ONLINE"="NOGPS","GPS Antiguo","En línea")</f>
      </c>
      <c r="AF216">
        <f>IF(0=0,"Sin atender", IF(0=1,"Atendida","Atendida y Reportada"))</f>
      </c>
      <c r="AG216" t="str">
        <v/>
      </c>
      <c r="AH216" t="str">
        <v/>
      </c>
      <c r="AI216" t="str">
        <v/>
      </c>
      <c r="AJ216" t="str">
        <v/>
      </c>
      <c r="AK216" t="str">
        <v>01/10/2026 09:28:19</v>
      </c>
      <c r="AL216" t="str">
        <v>09:28:19</v>
      </c>
      <c r="AM216" t="str">
        <v/>
      </c>
    </row>
    <row r="217">
      <c r="A217">
        <v>216</v>
      </c>
      <c r="B217" t="str">
        <v>MASS BSF</v>
      </c>
      <c r="C217" t="str">
        <v>F8R-810</v>
      </c>
      <c r="D217" t="str">
        <v>F8R-810</v>
      </c>
      <c r="E217" t="str">
        <v/>
      </c>
      <c r="F217" t="str">
        <v>867806078868827</v>
      </c>
      <c r="G217" t="str">
        <v>TBD</v>
      </c>
      <c r="H217" t="str">
        <v/>
      </c>
      <c r="I217" t="str">
        <v/>
      </c>
      <c r="J217" t="str">
        <v>01/10/2026</v>
      </c>
      <c r="K217" t="str">
        <v>09:28:27</v>
      </c>
      <c r="L217">
        <v>-12.152975</v>
      </c>
      <c r="M217">
        <v>-76.97211</v>
      </c>
      <c r="N217">
        <f>HYPERLINK("https://www.google.com/maps/search/?api=1&amp;query=-12.152975,-76.97211","Avenida José Torres Paz, San Juan de Miraflores, Lima")</f>
      </c>
      <c r="O217" t="str">
        <v>Acelerado y giro brusco</v>
      </c>
      <c r="P217" t="str">
        <v/>
      </c>
      <c r="Q217">
        <v>2101.7</v>
      </c>
      <c r="R217" t="str">
        <v/>
      </c>
      <c r="S217">
        <v>15.5</v>
      </c>
      <c r="T217">
        <v>80.73</v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>
        <v>85</v>
      </c>
      <c r="AC217" t="str">
        <v>01/10/2026</v>
      </c>
      <c r="AD217" t="str">
        <v>09:28:26</v>
      </c>
      <c r="AE217">
        <f>IF("ONLINE"="NOGPS","GPS Antiguo","En línea")</f>
      </c>
      <c r="AF217">
        <f>IF(0=0,"Sin atender", IF(0=1,"Atendida","Atendida y Reportada"))</f>
      </c>
      <c r="AG217" t="str">
        <v/>
      </c>
      <c r="AH217" t="str">
        <v/>
      </c>
      <c r="AI217" t="str">
        <v/>
      </c>
      <c r="AJ217" t="str">
        <v/>
      </c>
      <c r="AK217" t="str">
        <v>01/10/2026 09:28:37</v>
      </c>
      <c r="AL217" t="str">
        <v>09:28:37</v>
      </c>
      <c r="AM217" t="str">
        <v/>
      </c>
    </row>
    <row r="218">
      <c r="A218">
        <v>217</v>
      </c>
      <c r="B218" t="str">
        <v>MASS BSF</v>
      </c>
      <c r="C218" t="str">
        <v>F8R-810</v>
      </c>
      <c r="D218" t="str">
        <v>F8R-810</v>
      </c>
      <c r="E218" t="str">
        <v/>
      </c>
      <c r="F218" t="str">
        <v>867806078868827</v>
      </c>
      <c r="G218" t="str">
        <v>TBD</v>
      </c>
      <c r="H218" t="str">
        <v/>
      </c>
      <c r="I218" t="str">
        <v/>
      </c>
      <c r="J218" t="str">
        <v>01/10/2026</v>
      </c>
      <c r="K218" t="str">
        <v>09:28:51</v>
      </c>
      <c r="L218">
        <v>-12.151978</v>
      </c>
      <c r="M218">
        <v>-76.97181</v>
      </c>
      <c r="N218">
        <f>HYPERLINK("https://www.google.com/maps/search/?api=1&amp;query=-12.151978,-76.97181","Avenida José Torres Paz, San Juan de Miraflores, Lima")</f>
      </c>
      <c r="O218" t="str">
        <v>Aceleración brusca</v>
      </c>
      <c r="P218" t="str">
        <v>CMT-910</v>
      </c>
      <c r="Q218">
        <v>2101.8</v>
      </c>
      <c r="R218" t="str">
        <v/>
      </c>
      <c r="S218">
        <v>16.6</v>
      </c>
      <c r="T218">
        <v>80.73</v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>
        <v>85</v>
      </c>
      <c r="AC218" t="str">
        <v>01/10/2026</v>
      </c>
      <c r="AD218" t="str">
        <v>09:28:50</v>
      </c>
      <c r="AE218">
        <f>IF("ONLINE"="NOGPS","GPS Antiguo","En línea")</f>
      </c>
      <c r="AF218">
        <f>IF(0=0,"Sin atender", IF(0=1,"Atendida","Atendida y Reportada"))</f>
      </c>
      <c r="AG218" t="str">
        <v/>
      </c>
      <c r="AH218" t="str">
        <v/>
      </c>
      <c r="AI218" t="str">
        <v/>
      </c>
      <c r="AJ218" t="str">
        <v/>
      </c>
      <c r="AK218" t="str">
        <v>01/10/2026 09:28:56</v>
      </c>
      <c r="AL218" t="str">
        <v>09:28:56</v>
      </c>
      <c r="AM218" t="str">
        <v/>
      </c>
    </row>
    <row r="219">
      <c r="A219">
        <v>218</v>
      </c>
      <c r="B219" t="str">
        <v>MASS BSF</v>
      </c>
      <c r="C219" t="str">
        <v>F8R-810</v>
      </c>
      <c r="D219" t="str">
        <v>F8R-810</v>
      </c>
      <c r="E219" t="str">
        <v/>
      </c>
      <c r="F219" t="str">
        <v>867806078868827</v>
      </c>
      <c r="G219" t="str">
        <v>TBD</v>
      </c>
      <c r="H219" t="str">
        <v/>
      </c>
      <c r="I219" t="str">
        <v/>
      </c>
      <c r="J219" t="str">
        <v>01/10/2026</v>
      </c>
      <c r="K219" t="str">
        <v>09:28:55</v>
      </c>
      <c r="L219">
        <v>-12.151812</v>
      </c>
      <c r="M219">
        <v>-76.97176</v>
      </c>
      <c r="N219">
        <f>HYPERLINK("https://www.google.com/maps/search/?api=1&amp;query=-12.151812,-76.97176","Avenida José Torres Paz, San Juan de Miraflores, Lima")</f>
      </c>
      <c r="O219" t="str">
        <v>Acelerado y giro brusco</v>
      </c>
      <c r="P219" t="str">
        <v/>
      </c>
      <c r="Q219">
        <v>2101.8</v>
      </c>
      <c r="R219" t="str">
        <v/>
      </c>
      <c r="S219">
        <v>16.8</v>
      </c>
      <c r="T219">
        <v>80.73</v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>
        <v>85</v>
      </c>
      <c r="AC219" t="str">
        <v>01/10/2026</v>
      </c>
      <c r="AD219" t="str">
        <v>09:28:54</v>
      </c>
      <c r="AE219">
        <f>IF("ONLINE"="NOGPS","GPS Antiguo","En línea")</f>
      </c>
      <c r="AF219">
        <f>IF(0=0,"Sin atender", IF(0=1,"Atendida","Atendida y Reportada"))</f>
      </c>
      <c r="AG219" t="str">
        <v/>
      </c>
      <c r="AH219" t="str">
        <v/>
      </c>
      <c r="AI219" t="str">
        <v/>
      </c>
      <c r="AJ219" t="str">
        <v/>
      </c>
      <c r="AK219" t="str">
        <v>01/10/2026 09:29:23</v>
      </c>
      <c r="AL219" t="str">
        <v>09:29:23</v>
      </c>
      <c r="AM219" t="str">
        <v/>
      </c>
    </row>
    <row r="220">
      <c r="A220">
        <v>219</v>
      </c>
      <c r="B220" t="str">
        <v>MASS BSF</v>
      </c>
      <c r="C220" t="str">
        <v>F8R-810</v>
      </c>
      <c r="D220" t="str">
        <v>F8R-810</v>
      </c>
      <c r="E220" t="str">
        <v/>
      </c>
      <c r="F220" t="str">
        <v>867806078868827</v>
      </c>
      <c r="G220" t="str">
        <v>TBD</v>
      </c>
      <c r="H220" t="str">
        <v/>
      </c>
      <c r="I220" t="str">
        <v/>
      </c>
      <c r="J220" t="str">
        <v>01/10/2026</v>
      </c>
      <c r="K220" t="str">
        <v>09:29:26</v>
      </c>
      <c r="L220">
        <v>-12.15057</v>
      </c>
      <c r="M220">
        <v>-76.97143</v>
      </c>
      <c r="N220">
        <f>HYPERLINK("https://www.google.com/maps/search/?api=1&amp;query=-12.15057,-76.97143","Avenida José Torres Paz, San Juan de Miraflores, Lima")</f>
      </c>
      <c r="O220" t="str">
        <v>Aceleración brusca</v>
      </c>
      <c r="P220" t="str">
        <v>CMT-910</v>
      </c>
      <c r="Q220">
        <v>2102</v>
      </c>
      <c r="R220" t="str">
        <v/>
      </c>
      <c r="S220">
        <v>15.7</v>
      </c>
      <c r="T220">
        <v>80.73</v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>
        <v>85</v>
      </c>
      <c r="AC220" t="str">
        <v>01/10/2026</v>
      </c>
      <c r="AD220" t="str">
        <v>09:29:25</v>
      </c>
      <c r="AE220">
        <f>IF("ONLINE"="NOGPS","GPS Antiguo","En línea")</f>
      </c>
      <c r="AF220">
        <f>IF(0=0,"Sin atender", IF(0=1,"Atendida","Atendida y Reportada"))</f>
      </c>
      <c r="AG220" t="str">
        <v/>
      </c>
      <c r="AH220" t="str">
        <v/>
      </c>
      <c r="AI220" t="str">
        <v/>
      </c>
      <c r="AJ220" t="str">
        <v/>
      </c>
      <c r="AK220" t="str">
        <v>01/10/2026 09:29:39</v>
      </c>
      <c r="AL220" t="str">
        <v>09:29:39</v>
      </c>
      <c r="AM220" t="str">
        <v/>
      </c>
    </row>
    <row r="221">
      <c r="A221">
        <v>220</v>
      </c>
      <c r="B221" t="str">
        <v>MASS BSF</v>
      </c>
      <c r="C221" t="str">
        <v>F8R-810</v>
      </c>
      <c r="D221" t="str">
        <v>F8R-810</v>
      </c>
      <c r="E221" t="str">
        <v/>
      </c>
      <c r="F221" t="str">
        <v>867806078868827</v>
      </c>
      <c r="G221" t="str">
        <v>TBD</v>
      </c>
      <c r="H221" t="str">
        <v/>
      </c>
      <c r="I221" t="str">
        <v xml:space="preserve"> </v>
      </c>
      <c r="J221" t="str">
        <v>01/10/2026</v>
      </c>
      <c r="K221" t="str">
        <v>09:29:26</v>
      </c>
      <c r="L221">
        <v>-12.15057</v>
      </c>
      <c r="M221">
        <v>-76.97143</v>
      </c>
      <c r="N221">
        <f>HYPERLINK("https://www.google.com/maps/search/?api=1&amp;query=-12.15057,-76.97143","Avenida José Torres Paz, San Juan de Miraflores, Lima")</f>
      </c>
      <c r="O221" t="str">
        <v>Llegó a la zona</v>
      </c>
      <c r="P221" t="str">
        <v/>
      </c>
      <c r="Q221">
        <v>2101.6</v>
      </c>
      <c r="R221" t="str">
        <v xml:space="preserve">1422-TORRES 3 SJM MS </v>
      </c>
      <c r="S221">
        <v>15.7</v>
      </c>
      <c r="T221">
        <v>80.65</v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>
        <v>85</v>
      </c>
      <c r="AC221" t="str">
        <v>01/10/2026</v>
      </c>
      <c r="AD221" t="str">
        <v>09:29:25</v>
      </c>
      <c r="AE221">
        <f>IF("ONLINE"="NOGPS","GPS Antiguo","En línea")</f>
      </c>
      <c r="AF221">
        <f>IF(0=0,"Sin atender", IF(0=1,"Atendida","Atendida y Reportada"))</f>
      </c>
      <c r="AG221" t="str">
        <v/>
      </c>
      <c r="AH221" t="str">
        <v/>
      </c>
      <c r="AI221" t="str">
        <v/>
      </c>
      <c r="AJ221" t="str">
        <v/>
      </c>
      <c r="AK221" t="str">
        <v>01/10/2026 09:29:40</v>
      </c>
      <c r="AL221" t="str">
        <v>09:29:40</v>
      </c>
      <c r="AM221" t="str">
        <v/>
      </c>
    </row>
    <row r="222">
      <c r="A222">
        <v>221</v>
      </c>
      <c r="B222" t="str">
        <v>MASS BSF</v>
      </c>
      <c r="C222" t="str">
        <v>F8R-810</v>
      </c>
      <c r="D222" t="str">
        <v>F8R-810</v>
      </c>
      <c r="E222" t="str">
        <v/>
      </c>
      <c r="F222" t="str">
        <v>867806078868827</v>
      </c>
      <c r="G222" t="str">
        <v>TBD</v>
      </c>
      <c r="H222" t="str">
        <v/>
      </c>
      <c r="I222" t="str">
        <v/>
      </c>
      <c r="J222" t="str">
        <v>01/10/2026</v>
      </c>
      <c r="K222" t="str">
        <v>09:29:41</v>
      </c>
      <c r="L222">
        <v>-12.150242</v>
      </c>
      <c r="M222">
        <v>-76.9713</v>
      </c>
      <c r="N222">
        <f>HYPERLINK("https://www.google.com/maps/search/?api=1&amp;query=-12.150242,-76.9713","Avenida José Torres Paz, San Juan de Miraflores, Lima")</f>
      </c>
      <c r="O222" t="str">
        <v>Acelerado y giro brusco</v>
      </c>
      <c r="P222" t="str">
        <v/>
      </c>
      <c r="Q222">
        <v>2102</v>
      </c>
      <c r="R222" t="str">
        <v/>
      </c>
      <c r="S222">
        <v>0</v>
      </c>
      <c r="T222">
        <v>80.73</v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>
        <v>86</v>
      </c>
      <c r="AC222" t="str">
        <v>01/10/2026</v>
      </c>
      <c r="AD222" t="str">
        <v>09:29:40</v>
      </c>
      <c r="AE222">
        <f>IF("ONLINE"="NOGPS","GPS Antiguo","En línea")</f>
      </c>
      <c r="AF222">
        <f>IF(0=0,"Sin atender", IF(0=1,"Atendida","Atendida y Reportada"))</f>
      </c>
      <c r="AG222" t="str">
        <v/>
      </c>
      <c r="AH222" t="str">
        <v/>
      </c>
      <c r="AI222" t="str">
        <v/>
      </c>
      <c r="AJ222" t="str">
        <v/>
      </c>
      <c r="AK222" t="str">
        <v>01/10/2026 09:30:01</v>
      </c>
      <c r="AL222" t="str">
        <v>09:30:01</v>
      </c>
      <c r="AM222" t="str">
        <v/>
      </c>
    </row>
    <row r="223">
      <c r="A223">
        <v>222</v>
      </c>
      <c r="B223" t="str">
        <v>MASS BSF</v>
      </c>
      <c r="C223" t="str">
        <v>F8R-810</v>
      </c>
      <c r="D223" t="str">
        <v>F8R-810</v>
      </c>
      <c r="E223" t="str">
        <v/>
      </c>
      <c r="F223" t="str">
        <v>867806078868827</v>
      </c>
      <c r="G223" t="str">
        <v>TBD</v>
      </c>
      <c r="H223" t="str">
        <v/>
      </c>
      <c r="I223" t="str">
        <v/>
      </c>
      <c r="J223" t="str">
        <v>01/10/2026</v>
      </c>
      <c r="K223" t="str">
        <v>09:30:32</v>
      </c>
      <c r="L223">
        <v>-12.150242</v>
      </c>
      <c r="M223">
        <v>-76.9713</v>
      </c>
      <c r="N223">
        <f>HYPERLINK("https://www.google.com/maps/search/?api=1&amp;query=-12.150242,-76.9713","Avenida José Torres Paz, San Juan de Miraflores, Lima")</f>
      </c>
      <c r="O223" t="str">
        <v>Vehículo apagado</v>
      </c>
      <c r="P223" t="str">
        <v>Vehículo Apagado</v>
      </c>
      <c r="Q223">
        <v>2102</v>
      </c>
      <c r="R223" t="str">
        <v/>
      </c>
      <c r="S223">
        <v>0</v>
      </c>
      <c r="T223">
        <v>81.52</v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>
        <v>86</v>
      </c>
      <c r="AC223" t="str">
        <v>01/10/2026</v>
      </c>
      <c r="AD223" t="str">
        <v>09:30:31</v>
      </c>
      <c r="AE223">
        <f>IF("ONLINE"="NOGPS","GPS Antiguo","En línea")</f>
      </c>
      <c r="AF223">
        <f>IF(0=0,"Sin atender", IF(0=1,"Atendida","Atendida y Reportada"))</f>
      </c>
      <c r="AG223" t="str">
        <v/>
      </c>
      <c r="AH223" t="str">
        <v/>
      </c>
      <c r="AI223" t="str">
        <v/>
      </c>
      <c r="AJ223" t="str">
        <v/>
      </c>
      <c r="AK223" t="str">
        <v>01/10/2026 09:30:57</v>
      </c>
      <c r="AL223" t="str">
        <v>09:30:57</v>
      </c>
      <c r="AM223" t="str">
        <v/>
      </c>
    </row>
    <row r="224">
      <c r="A224">
        <v>223</v>
      </c>
      <c r="B224" t="str">
        <v>MASS BSF</v>
      </c>
      <c r="C224" t="str">
        <v>F8R-810</v>
      </c>
      <c r="D224" t="str">
        <v>F8R-810</v>
      </c>
      <c r="E224" t="str">
        <v/>
      </c>
      <c r="F224" t="str">
        <v>867806078868827</v>
      </c>
      <c r="G224" t="str">
        <v>TBD</v>
      </c>
      <c r="H224" t="str">
        <v/>
      </c>
      <c r="I224" t="str">
        <v/>
      </c>
      <c r="J224" t="str">
        <v>01/10/2026</v>
      </c>
      <c r="K224" t="str">
        <v>10:57:46</v>
      </c>
      <c r="L224">
        <v>-12.150242</v>
      </c>
      <c r="M224">
        <v>-76.9713</v>
      </c>
      <c r="N224">
        <f>HYPERLINK("https://www.google.com/maps/search/?api=1&amp;query=-12.150242,-76.9713","Avenida José Torres Paz, San Juan de Miraflores, Lima")</f>
      </c>
      <c r="O224" t="str">
        <v>Se movio</v>
      </c>
      <c r="P224" t="str">
        <v/>
      </c>
      <c r="Q224">
        <v>2102</v>
      </c>
      <c r="R224" t="str">
        <v/>
      </c>
      <c r="S224">
        <v>0</v>
      </c>
      <c r="T224">
        <v>81.52</v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>
        <v>83</v>
      </c>
      <c r="AC224" t="str">
        <v>01/10/2026</v>
      </c>
      <c r="AD224" t="str">
        <v>10:57:44</v>
      </c>
      <c r="AE224">
        <f>IF("ONLINE"="NOGPS","GPS Antiguo","En línea")</f>
      </c>
      <c r="AF224">
        <f>IF(0=0,"Sin atender", IF(0=1,"Atendida","Atendida y Reportada"))</f>
      </c>
      <c r="AG224" t="str">
        <v/>
      </c>
      <c r="AH224" t="str">
        <v/>
      </c>
      <c r="AI224" t="str">
        <v/>
      </c>
      <c r="AJ224" t="str">
        <v/>
      </c>
      <c r="AK224" t="str">
        <v>01/10/2026 10:57:51</v>
      </c>
      <c r="AL224" t="str">
        <v>10:57:51</v>
      </c>
      <c r="AM224" t="str">
        <v/>
      </c>
    </row>
    <row r="225">
      <c r="A225">
        <v>224</v>
      </c>
      <c r="B225" t="str">
        <v>MASS BSF</v>
      </c>
      <c r="C225" t="str">
        <v>F8R-810</v>
      </c>
      <c r="D225" t="str">
        <v>F8R-810</v>
      </c>
      <c r="E225" t="str">
        <v/>
      </c>
      <c r="F225" t="str">
        <v>867806078868827</v>
      </c>
      <c r="G225" t="str">
        <v>TBD</v>
      </c>
      <c r="H225" t="str">
        <v/>
      </c>
      <c r="I225" t="str">
        <v/>
      </c>
      <c r="J225" t="str">
        <v>01/10/2026</v>
      </c>
      <c r="K225" t="str">
        <v>10:57:50</v>
      </c>
      <c r="L225">
        <v>-12.150242</v>
      </c>
      <c r="M225">
        <v>-76.9713</v>
      </c>
      <c r="N225">
        <f>HYPERLINK("https://www.google.com/maps/search/?api=1&amp;query=-12.150242,-76.9713","Avenida José Torres Paz, San Juan de Miraflores, Lima")</f>
      </c>
      <c r="O225" t="str">
        <v>Vehículo encendido</v>
      </c>
      <c r="P225" t="str">
        <v/>
      </c>
      <c r="Q225">
        <v>2102</v>
      </c>
      <c r="R225" t="str">
        <v/>
      </c>
      <c r="S225">
        <v>0</v>
      </c>
      <c r="T225">
        <v>81.52</v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>
        <v>83</v>
      </c>
      <c r="AC225" t="str">
        <v>01/10/2026</v>
      </c>
      <c r="AD225" t="str">
        <v>10:57:48</v>
      </c>
      <c r="AE225">
        <f>IF("ONLINE"="NOGPS","GPS Antiguo","En línea")</f>
      </c>
      <c r="AF225">
        <f>IF(0=0,"Sin atender", IF(0=1,"Atendida","Atendida y Reportada"))</f>
      </c>
      <c r="AG225" t="str">
        <v/>
      </c>
      <c r="AH225" t="str">
        <v/>
      </c>
      <c r="AI225" t="str">
        <v/>
      </c>
      <c r="AJ225" t="str">
        <v/>
      </c>
      <c r="AK225" t="str">
        <v>01/10/2026 10:58:15</v>
      </c>
      <c r="AL225" t="str">
        <v>10:58:15</v>
      </c>
      <c r="AM225" t="str">
        <v/>
      </c>
    </row>
    <row r="226">
      <c r="A226">
        <v>225</v>
      </c>
      <c r="B226" t="str">
        <v>MASS BSF</v>
      </c>
      <c r="C226" t="str">
        <v>F8R-810</v>
      </c>
      <c r="D226" t="str">
        <v>F8R-810</v>
      </c>
      <c r="E226" t="str">
        <v/>
      </c>
      <c r="F226" t="str">
        <v>867806078868827</v>
      </c>
      <c r="G226" t="str">
        <v>TBD</v>
      </c>
      <c r="H226" t="str">
        <v/>
      </c>
      <c r="I226" t="str">
        <v/>
      </c>
      <c r="J226" t="str">
        <v>01/10/2026</v>
      </c>
      <c r="K226" t="str">
        <v>10:59:13</v>
      </c>
      <c r="L226">
        <v>-12.150213</v>
      </c>
      <c r="M226">
        <v>-76.97132</v>
      </c>
      <c r="N226">
        <f>HYPERLINK("https://www.google.com/maps/search/?api=1&amp;query=-12.150213,-76.97132","Faustino Silva, San Juan de Miraflores, Lima")</f>
      </c>
      <c r="O226" t="str">
        <v>Acelerado y giro brusco</v>
      </c>
      <c r="P226" t="str">
        <v/>
      </c>
      <c r="Q226">
        <v>2102</v>
      </c>
      <c r="R226" t="str">
        <v/>
      </c>
      <c r="S226">
        <v>6.4</v>
      </c>
      <c r="T226">
        <v>81.52</v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>
        <v>85</v>
      </c>
      <c r="AC226" t="str">
        <v>01/10/2026</v>
      </c>
      <c r="AD226" t="str">
        <v>10:59:12</v>
      </c>
      <c r="AE226">
        <f>IF("ONLINE"="NOGPS","GPS Antiguo","En línea")</f>
      </c>
      <c r="AF226">
        <f>IF(0=0,"Sin atender", IF(0=1,"Atendida","Atendida y Reportada"))</f>
      </c>
      <c r="AG226" t="str">
        <v/>
      </c>
      <c r="AH226" t="str">
        <v/>
      </c>
      <c r="AI226" t="str">
        <v/>
      </c>
      <c r="AJ226" t="str">
        <v/>
      </c>
      <c r="AK226" t="str">
        <v>01/10/2026 10:59:34</v>
      </c>
      <c r="AL226" t="str">
        <v>10:59:34</v>
      </c>
      <c r="AM226" t="str">
        <v/>
      </c>
    </row>
    <row r="227">
      <c r="A227">
        <v>226</v>
      </c>
      <c r="B227" t="str">
        <v>MASS BSF</v>
      </c>
      <c r="C227" t="str">
        <v>F8R-810</v>
      </c>
      <c r="D227" t="str">
        <v>F8R-810</v>
      </c>
      <c r="E227" t="str">
        <v/>
      </c>
      <c r="F227" t="str">
        <v>867806078868827</v>
      </c>
      <c r="G227" t="str">
        <v>TBD</v>
      </c>
      <c r="H227" t="str">
        <v/>
      </c>
      <c r="I227" t="str">
        <v xml:space="preserve"> </v>
      </c>
      <c r="J227" t="str">
        <v>01/10/2026</v>
      </c>
      <c r="K227" t="str">
        <v>10:59:33</v>
      </c>
      <c r="L227">
        <v>-12.149767</v>
      </c>
      <c r="M227">
        <v>-76.97119</v>
      </c>
      <c r="N227">
        <f>HYPERLINK("https://www.google.com/maps/search/?api=1&amp;query=-12.149767,-76.97119","Avenida José Torres Paz, San Juan de Miraflores, Lima")</f>
      </c>
      <c r="O227" t="str">
        <v>Salió de zona</v>
      </c>
      <c r="P227" t="str">
        <v/>
      </c>
      <c r="Q227">
        <v>2102</v>
      </c>
      <c r="R227" t="str">
        <v xml:space="preserve">1422-TORRES 3 SJM MS </v>
      </c>
      <c r="S227">
        <v>3.3</v>
      </c>
      <c r="T227">
        <v>81.37</v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>
        <v>85</v>
      </c>
      <c r="AC227" t="str">
        <v>01/10/2026</v>
      </c>
      <c r="AD227" t="str">
        <v>10:59:31</v>
      </c>
      <c r="AE227">
        <f>IF("ONLINE"="NOGPS","GPS Antiguo","En línea")</f>
      </c>
      <c r="AF227">
        <f>IF(0=0,"Sin atender", IF(0=1,"Atendida","Atendida y Reportada"))</f>
      </c>
      <c r="AG227" t="str">
        <v/>
      </c>
      <c r="AH227" t="str">
        <v/>
      </c>
      <c r="AI227" t="str">
        <v/>
      </c>
      <c r="AJ227" t="str">
        <v/>
      </c>
      <c r="AK227" t="str">
        <v>01/10/2026 10:59:46</v>
      </c>
      <c r="AL227" t="str">
        <v>10:59:46</v>
      </c>
      <c r="AM227" t="str">
        <v/>
      </c>
    </row>
    <row r="228">
      <c r="A228">
        <v>227</v>
      </c>
      <c r="B228" t="str">
        <v>MASS BSF</v>
      </c>
      <c r="C228" t="str">
        <v>F8R-810</v>
      </c>
      <c r="D228" t="str">
        <v>F8R-810</v>
      </c>
      <c r="E228" t="str">
        <v/>
      </c>
      <c r="F228" t="str">
        <v>867806078868827</v>
      </c>
      <c r="G228" t="str">
        <v>TBD</v>
      </c>
      <c r="H228" t="str">
        <v/>
      </c>
      <c r="I228" t="str">
        <v/>
      </c>
      <c r="J228" t="str">
        <v>01/10/2026</v>
      </c>
      <c r="K228" t="str">
        <v>10:59:33</v>
      </c>
      <c r="L228">
        <v>-12.149767</v>
      </c>
      <c r="M228">
        <v>-76.97119</v>
      </c>
      <c r="N228">
        <f>HYPERLINK("https://www.google.com/maps/search/?api=1&amp;query=-12.149767,-76.97119","Avenida José Torres Paz, San Juan de Miraflores, Lima")</f>
      </c>
      <c r="O228" t="str">
        <v>Acelerado y giro brusco</v>
      </c>
      <c r="P228" t="str">
        <v/>
      </c>
      <c r="Q228">
        <v>2102.1</v>
      </c>
      <c r="R228" t="str">
        <v/>
      </c>
      <c r="S228">
        <v>3.3</v>
      </c>
      <c r="T228">
        <v>81.52</v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>
        <v>85</v>
      </c>
      <c r="AC228" t="str">
        <v>01/10/2026</v>
      </c>
      <c r="AD228" t="str">
        <v>10:59:31</v>
      </c>
      <c r="AE228">
        <f>IF("ONLINE"="NOGPS","GPS Antiguo","En línea")</f>
      </c>
      <c r="AF228">
        <f>IF(0=0,"Sin atender", IF(0=1,"Atendida","Atendida y Reportada"))</f>
      </c>
      <c r="AG228" t="str">
        <v/>
      </c>
      <c r="AH228" t="str">
        <v/>
      </c>
      <c r="AI228" t="str">
        <v/>
      </c>
      <c r="AJ228" t="str">
        <v/>
      </c>
      <c r="AK228" t="str">
        <v>01/10/2026 10:59:48</v>
      </c>
      <c r="AL228" t="str">
        <v>10:59:48</v>
      </c>
      <c r="AM228" t="str">
        <v/>
      </c>
    </row>
    <row r="229">
      <c r="A229">
        <v>228</v>
      </c>
      <c r="B229" t="str">
        <v>MASS BSF</v>
      </c>
      <c r="C229" t="str">
        <v>F8R-810</v>
      </c>
      <c r="D229" t="str">
        <v>F8R-810</v>
      </c>
      <c r="E229" t="str">
        <v/>
      </c>
      <c r="F229" t="str">
        <v>867806078868827</v>
      </c>
      <c r="G229" t="str">
        <v>TBD</v>
      </c>
      <c r="H229" t="str">
        <v/>
      </c>
      <c r="I229" t="str">
        <v/>
      </c>
      <c r="J229" t="str">
        <v>01/10/2026</v>
      </c>
      <c r="K229" t="str">
        <v>10:59:40</v>
      </c>
      <c r="L229">
        <v>-12.149752</v>
      </c>
      <c r="M229">
        <v>-76.971176</v>
      </c>
      <c r="N229">
        <f>HYPERLINK("https://www.google.com/maps/search/?api=1&amp;query=-12.149752,-76.971176","Avenida Nepomuceno Vargas, San Juan de Miraflores, Lima")</f>
      </c>
      <c r="O229" t="str">
        <v>Aceleración brusca</v>
      </c>
      <c r="P229" t="str">
        <v>CMT-910</v>
      </c>
      <c r="Q229">
        <v>2102.1</v>
      </c>
      <c r="R229" t="str">
        <v/>
      </c>
      <c r="S229">
        <v>0</v>
      </c>
      <c r="T229">
        <v>81.52</v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>
        <v>85</v>
      </c>
      <c r="AC229" t="str">
        <v>01/10/2026</v>
      </c>
      <c r="AD229" t="str">
        <v>10:59:39</v>
      </c>
      <c r="AE229">
        <f>IF("ONLINE"="NOGPS","GPS Antiguo","En línea")</f>
      </c>
      <c r="AF229">
        <f>IF(0=0,"Sin atender", IF(0=1,"Atendida","Atendida y Reportada"))</f>
      </c>
      <c r="AG229" t="str">
        <v/>
      </c>
      <c r="AH229" t="str">
        <v/>
      </c>
      <c r="AI229" t="str">
        <v/>
      </c>
      <c r="AJ229" t="str">
        <v/>
      </c>
      <c r="AK229" t="str">
        <v>01/10/2026 10:59:57</v>
      </c>
      <c r="AL229" t="str">
        <v>10:59:57</v>
      </c>
      <c r="AM229" t="str">
        <v/>
      </c>
    </row>
    <row r="230">
      <c r="A230">
        <v>229</v>
      </c>
      <c r="B230" t="str">
        <v>MASS BSF</v>
      </c>
      <c r="C230" t="str">
        <v>F8R-810</v>
      </c>
      <c r="D230" t="str">
        <v>F8R-810</v>
      </c>
      <c r="E230" t="str">
        <v/>
      </c>
      <c r="F230" t="str">
        <v>867806078868827</v>
      </c>
      <c r="G230" t="str">
        <v>TBD</v>
      </c>
      <c r="H230" t="str">
        <v/>
      </c>
      <c r="I230" t="str">
        <v/>
      </c>
      <c r="J230" t="str">
        <v>01/10/2026</v>
      </c>
      <c r="K230" t="str">
        <v>10:59:59</v>
      </c>
      <c r="L230">
        <v>-12.149675</v>
      </c>
      <c r="M230">
        <v>-76.9713</v>
      </c>
      <c r="N230">
        <f>HYPERLINK("https://www.google.com/maps/search/?api=1&amp;query=-12.149675,-76.9713","Avenida Nepomuceno Vargas, San Juan de Miraflores, Lima")</f>
      </c>
      <c r="O230" t="str">
        <v>Acelerado y giro brusco</v>
      </c>
      <c r="P230" t="str">
        <v/>
      </c>
      <c r="Q230">
        <v>2102.1</v>
      </c>
      <c r="R230" t="str">
        <v/>
      </c>
      <c r="S230">
        <v>5.7</v>
      </c>
      <c r="T230">
        <v>81.52</v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>
        <v>85</v>
      </c>
      <c r="AC230" t="str">
        <v>01/10/2026</v>
      </c>
      <c r="AD230" t="str">
        <v>10:59:57</v>
      </c>
      <c r="AE230">
        <f>IF("ONLINE"="NOGPS","GPS Antiguo","En línea")</f>
      </c>
      <c r="AF230">
        <f>IF(0=0,"Sin atender", IF(0=1,"Atendida","Atendida y Reportada"))</f>
      </c>
      <c r="AG230" t="str">
        <v/>
      </c>
      <c r="AH230" t="str">
        <v/>
      </c>
      <c r="AI230" t="str">
        <v/>
      </c>
      <c r="AJ230" t="str">
        <v/>
      </c>
      <c r="AK230" t="str">
        <v>01/10/2026 11:00:08</v>
      </c>
      <c r="AL230" t="str">
        <v>11:00:08</v>
      </c>
      <c r="AM230" t="str">
        <v/>
      </c>
    </row>
    <row r="231">
      <c r="A231">
        <v>230</v>
      </c>
      <c r="B231" t="str">
        <v>MASS BSF</v>
      </c>
      <c r="C231" t="str">
        <v>F8R-810</v>
      </c>
      <c r="D231" t="str">
        <v>F8R-810</v>
      </c>
      <c r="E231" t="str">
        <v/>
      </c>
      <c r="F231" t="str">
        <v>867806078868827</v>
      </c>
      <c r="G231" t="str">
        <v>TBD</v>
      </c>
      <c r="H231" t="str">
        <v/>
      </c>
      <c r="I231" t="str">
        <v/>
      </c>
      <c r="J231" t="str">
        <v>01/10/2026</v>
      </c>
      <c r="K231" t="str">
        <v>11:00:01</v>
      </c>
      <c r="L231">
        <v>-12.14967</v>
      </c>
      <c r="M231">
        <v>-76.97133</v>
      </c>
      <c r="N231">
        <f>HYPERLINK("https://www.google.com/maps/search/?api=1&amp;query=-12.14967,-76.97133","Avenida Nepomuceno Vargas, San Juan de Miraflores, Lima")</f>
      </c>
      <c r="O231" t="str">
        <v>Bache</v>
      </c>
      <c r="P231" t="str">
        <v/>
      </c>
      <c r="Q231">
        <v>2102.1</v>
      </c>
      <c r="R231" t="str">
        <v/>
      </c>
      <c r="S231">
        <v>6.2</v>
      </c>
      <c r="T231">
        <v>81.52</v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>
        <v>85</v>
      </c>
      <c r="AC231" t="str">
        <v>01/10/2026</v>
      </c>
      <c r="AD231" t="str">
        <v>10:59:59</v>
      </c>
      <c r="AE231">
        <f>IF("ONLINE"="NOGPS","GPS Antiguo","En línea")</f>
      </c>
      <c r="AF231">
        <f>IF(0=0,"Sin atender", IF(0=1,"Atendida","Atendida y Reportada"))</f>
      </c>
      <c r="AG231" t="str">
        <v/>
      </c>
      <c r="AH231" t="str">
        <v/>
      </c>
      <c r="AI231" t="str">
        <v/>
      </c>
      <c r="AJ231" t="str">
        <v/>
      </c>
      <c r="AK231" t="str">
        <v>01/10/2026 11:00:21</v>
      </c>
      <c r="AL231" t="str">
        <v>11:00:21</v>
      </c>
      <c r="AM231" t="str">
        <v/>
      </c>
    </row>
    <row r="232">
      <c r="A232">
        <v>231</v>
      </c>
      <c r="B232" t="str">
        <v>MASS BSF</v>
      </c>
      <c r="C232" t="str">
        <v>F8R-810</v>
      </c>
      <c r="D232" t="str">
        <v>F8R-810</v>
      </c>
      <c r="E232" t="str">
        <v/>
      </c>
      <c r="F232" t="str">
        <v>867806078868827</v>
      </c>
      <c r="G232" t="str">
        <v>TBD</v>
      </c>
      <c r="H232" t="str">
        <v/>
      </c>
      <c r="I232" t="str">
        <v/>
      </c>
      <c r="J232" t="str">
        <v>01/10/2026</v>
      </c>
      <c r="K232" t="str">
        <v>11:00:28</v>
      </c>
      <c r="L232">
        <v>-12.149458</v>
      </c>
      <c r="M232">
        <v>-76.97217</v>
      </c>
      <c r="N232">
        <f>HYPERLINK("https://www.google.com/maps/search/?api=1&amp;query=-12.149458,-76.97217","Avenida Nepomuceno Vargas, San Juan de Miraflores, Lima")</f>
      </c>
      <c r="O232" t="str">
        <v>Aceleración brusca</v>
      </c>
      <c r="P232" t="str">
        <v>CMT-910</v>
      </c>
      <c r="Q232">
        <v>2102.2</v>
      </c>
      <c r="R232" t="str">
        <v/>
      </c>
      <c r="S232">
        <v>13.8</v>
      </c>
      <c r="T232">
        <v>81.52</v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>
        <v>85</v>
      </c>
      <c r="AC232" t="str">
        <v>01/10/2026</v>
      </c>
      <c r="AD232" t="str">
        <v>11:00:27</v>
      </c>
      <c r="AE232">
        <f>IF("ONLINE"="NOGPS","GPS Antiguo","En línea")</f>
      </c>
      <c r="AF232">
        <f>IF(0=0,"Sin atender", IF(0=1,"Atendida","Atendida y Reportada"))</f>
      </c>
      <c r="AG232" t="str">
        <v/>
      </c>
      <c r="AH232" t="str">
        <v/>
      </c>
      <c r="AI232" t="str">
        <v/>
      </c>
      <c r="AJ232" t="str">
        <v/>
      </c>
      <c r="AK232" t="str">
        <v>01/10/2026 11:00:35</v>
      </c>
      <c r="AL232" t="str">
        <v>11:00:35</v>
      </c>
      <c r="AM232" t="str">
        <v/>
      </c>
    </row>
    <row r="233">
      <c r="A233">
        <v>232</v>
      </c>
      <c r="B233" t="str">
        <v>MASS BSF</v>
      </c>
      <c r="C233" t="str">
        <v>F8R-810</v>
      </c>
      <c r="D233" t="str">
        <v>F8R-810</v>
      </c>
      <c r="E233" t="str">
        <v/>
      </c>
      <c r="F233" t="str">
        <v>867806078868827</v>
      </c>
      <c r="G233" t="str">
        <v>TBD</v>
      </c>
      <c r="H233" t="str">
        <v/>
      </c>
      <c r="I233" t="str">
        <v/>
      </c>
      <c r="J233" t="str">
        <v>01/10/2026</v>
      </c>
      <c r="K233" t="str">
        <v>11:00:35</v>
      </c>
      <c r="L233">
        <v>-12.14943</v>
      </c>
      <c r="M233">
        <v>-76.97228</v>
      </c>
      <c r="N233">
        <f>HYPERLINK("https://www.google.com/maps/search/?api=1&amp;query=-12.14943,-76.97228","Avenida Nepomuceno Vargas, San Juan de Miraflores, Lima")</f>
      </c>
      <c r="O233" t="str">
        <v>Acelerado y giro brusco</v>
      </c>
      <c r="P233" t="str">
        <v/>
      </c>
      <c r="Q233">
        <v>2102.2</v>
      </c>
      <c r="R233" t="str">
        <v/>
      </c>
      <c r="S233">
        <v>4.6</v>
      </c>
      <c r="T233">
        <v>81.52</v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>
        <v>85</v>
      </c>
      <c r="AC233" t="str">
        <v>01/10/2026</v>
      </c>
      <c r="AD233" t="str">
        <v>11:00:33</v>
      </c>
      <c r="AE233">
        <f>IF("ONLINE"="NOGPS","GPS Antiguo","En línea")</f>
      </c>
      <c r="AF233">
        <f>IF(0=0,"Sin atender", IF(0=1,"Atendida","Atendida y Reportada"))</f>
      </c>
      <c r="AG233" t="str">
        <v/>
      </c>
      <c r="AH233" t="str">
        <v/>
      </c>
      <c r="AI233" t="str">
        <v/>
      </c>
      <c r="AJ233" t="str">
        <v/>
      </c>
      <c r="AK233" t="str">
        <v>01/10/2026 11:00:48</v>
      </c>
      <c r="AL233" t="str">
        <v>11:00:48</v>
      </c>
      <c r="AM233" t="str">
        <v/>
      </c>
    </row>
    <row r="234">
      <c r="A234">
        <v>233</v>
      </c>
      <c r="B234" t="str">
        <v>MASS BSF</v>
      </c>
      <c r="C234" t="str">
        <v>F8R-810</v>
      </c>
      <c r="D234" t="str">
        <v>F8R-810</v>
      </c>
      <c r="E234" t="str">
        <v/>
      </c>
      <c r="F234" t="str">
        <v>867806078868827</v>
      </c>
      <c r="G234" t="str">
        <v>TBD</v>
      </c>
      <c r="H234" t="str">
        <v/>
      </c>
      <c r="I234" t="str">
        <v/>
      </c>
      <c r="J234" t="str">
        <v>01/10/2026</v>
      </c>
      <c r="K234" t="str">
        <v>11:00:51</v>
      </c>
      <c r="L234">
        <v>-12.149232</v>
      </c>
      <c r="M234">
        <v>-76.97299</v>
      </c>
      <c r="N234">
        <f>HYPERLINK("https://www.google.com/maps/search/?api=1&amp;query=-12.149232,-76.97299","Avenida Nepomuceno Vargas, San Juan de Miraflores, Lima")</f>
      </c>
      <c r="O234" t="str">
        <v>Aceleración brusca</v>
      </c>
      <c r="P234" t="str">
        <v>CMT-910</v>
      </c>
      <c r="Q234">
        <v>2102.3</v>
      </c>
      <c r="R234" t="str">
        <v/>
      </c>
      <c r="S234">
        <v>16.8</v>
      </c>
      <c r="T234">
        <v>81.52</v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>
        <v>85</v>
      </c>
      <c r="AC234" t="str">
        <v>01/10/2026</v>
      </c>
      <c r="AD234" t="str">
        <v>11:00:50</v>
      </c>
      <c r="AE234">
        <f>IF("ONLINE"="NOGPS","GPS Antiguo","En línea")</f>
      </c>
      <c r="AF234">
        <f>IF(0=0,"Sin atender", IF(0=1,"Atendida","Atendida y Reportada"))</f>
      </c>
      <c r="AG234" t="str">
        <v/>
      </c>
      <c r="AH234" t="str">
        <v/>
      </c>
      <c r="AI234" t="str">
        <v/>
      </c>
      <c r="AJ234" t="str">
        <v/>
      </c>
      <c r="AK234" t="str">
        <v>01/10/2026 11:01:20</v>
      </c>
      <c r="AL234" t="str">
        <v>11:01:20</v>
      </c>
      <c r="AM234" t="str">
        <v/>
      </c>
    </row>
    <row r="235">
      <c r="A235">
        <v>234</v>
      </c>
      <c r="B235" t="str">
        <v>MASS BSF</v>
      </c>
      <c r="C235" t="str">
        <v>F8R-810</v>
      </c>
      <c r="D235" t="str">
        <v>F8R-810</v>
      </c>
      <c r="E235" t="str">
        <v/>
      </c>
      <c r="F235" t="str">
        <v>867806078868827</v>
      </c>
      <c r="G235" t="str">
        <v>TBD</v>
      </c>
      <c r="H235" t="str">
        <v/>
      </c>
      <c r="I235" t="str">
        <v/>
      </c>
      <c r="J235" t="str">
        <v>01/10/2026</v>
      </c>
      <c r="K235" t="str">
        <v>11:00:55</v>
      </c>
      <c r="L235">
        <v>-12.149207</v>
      </c>
      <c r="M235">
        <v>-76.973076</v>
      </c>
      <c r="N235">
        <f>HYPERLINK("https://www.google.com/maps/search/?api=1&amp;query=-12.149207,-76.973076","Avenida Nepomuceno Vargas, San Juan de Miraflores, Lima")</f>
      </c>
      <c r="O235" t="str">
        <v>Bache</v>
      </c>
      <c r="P235" t="str">
        <v/>
      </c>
      <c r="Q235">
        <v>2102.3</v>
      </c>
      <c r="R235" t="str">
        <v/>
      </c>
      <c r="S235">
        <v>6.8</v>
      </c>
      <c r="T235">
        <v>81.52</v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>
        <v>85</v>
      </c>
      <c r="AC235" t="str">
        <v>01/10/2026</v>
      </c>
      <c r="AD235" t="str">
        <v>11:00:54</v>
      </c>
      <c r="AE235">
        <f>IF("ONLINE"="NOGPS","GPS Antiguo","En línea")</f>
      </c>
      <c r="AF235">
        <f>IF(0=0,"Sin atender", IF(0=1,"Atendida","Atendida y Reportada"))</f>
      </c>
      <c r="AG235" t="str">
        <v/>
      </c>
      <c r="AH235" t="str">
        <v/>
      </c>
      <c r="AI235" t="str">
        <v/>
      </c>
      <c r="AJ235" t="str">
        <v/>
      </c>
      <c r="AK235" t="str">
        <v>01/10/2026 11:01:15</v>
      </c>
      <c r="AL235" t="str">
        <v>11:01:15</v>
      </c>
      <c r="AM235" t="str">
        <v/>
      </c>
    </row>
    <row r="236">
      <c r="A236">
        <v>235</v>
      </c>
      <c r="B236" t="str">
        <v>MASS BSF</v>
      </c>
      <c r="C236" t="str">
        <v>F8R-810</v>
      </c>
      <c r="D236" t="str">
        <v>F8R-810</v>
      </c>
      <c r="E236" t="str">
        <v/>
      </c>
      <c r="F236" t="str">
        <v>867806078868827</v>
      </c>
      <c r="G236" t="str">
        <v>TBD</v>
      </c>
      <c r="H236" t="str">
        <v/>
      </c>
      <c r="I236" t="str">
        <v/>
      </c>
      <c r="J236" t="str">
        <v>01/10/2026</v>
      </c>
      <c r="K236" t="str">
        <v>11:01:14</v>
      </c>
      <c r="L236">
        <v>-12.149005</v>
      </c>
      <c r="M236">
        <v>-76.97382</v>
      </c>
      <c r="N236">
        <f>HYPERLINK("https://www.google.com/maps/search/?api=1&amp;query=-12.149005,-76.97382","Avenida Nepomuceno Vargas, San Juan de Miraflores, Lima")</f>
      </c>
      <c r="O236" t="str">
        <v>Acelerado y giro brusco</v>
      </c>
      <c r="P236" t="str">
        <v/>
      </c>
      <c r="Q236">
        <v>2102.4</v>
      </c>
      <c r="R236" t="str">
        <v/>
      </c>
      <c r="S236">
        <v>15</v>
      </c>
      <c r="T236">
        <v>81.52</v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>
        <v>85</v>
      </c>
      <c r="AC236" t="str">
        <v>01/10/2026</v>
      </c>
      <c r="AD236" t="str">
        <v>11:01:12</v>
      </c>
      <c r="AE236">
        <f>IF("ONLINE"="NOGPS","GPS Antiguo","En línea")</f>
      </c>
      <c r="AF236">
        <f>IF(0=0,"Sin atender", IF(0=1,"Atendida","Atendida y Reportada"))</f>
      </c>
      <c r="AG236" t="str">
        <v/>
      </c>
      <c r="AH236" t="str">
        <v/>
      </c>
      <c r="AI236" t="str">
        <v/>
      </c>
      <c r="AJ236" t="str">
        <v/>
      </c>
      <c r="AK236" t="str">
        <v>01/10/2026 11:01:32</v>
      </c>
      <c r="AL236" t="str">
        <v>11:01:32</v>
      </c>
      <c r="AM236" t="str">
        <v/>
      </c>
    </row>
    <row r="237">
      <c r="A237">
        <v>236</v>
      </c>
      <c r="B237" t="str">
        <v>MASS BSF</v>
      </c>
      <c r="C237" t="str">
        <v>F8R-810</v>
      </c>
      <c r="D237" t="str">
        <v>F8R-810</v>
      </c>
      <c r="E237" t="str">
        <v/>
      </c>
      <c r="F237" t="str">
        <v>867806078868827</v>
      </c>
      <c r="G237" t="str">
        <v>TBD</v>
      </c>
      <c r="H237" t="str">
        <v/>
      </c>
      <c r="I237" t="str">
        <v/>
      </c>
      <c r="J237" t="str">
        <v>01/10/2026</v>
      </c>
      <c r="K237" t="str">
        <v>11:01:16</v>
      </c>
      <c r="L237">
        <v>-12.148987</v>
      </c>
      <c r="M237">
        <v>-76.973885</v>
      </c>
      <c r="N237">
        <f>HYPERLINK("https://www.google.com/maps/search/?api=1&amp;query=-12.148987,-76.973885","Avenida Nepomuceno Vargas, San Juan de Miraflores, Lima")</f>
      </c>
      <c r="O237" t="str">
        <v>Bache</v>
      </c>
      <c r="P237" t="str">
        <v/>
      </c>
      <c r="Q237">
        <v>2102.4</v>
      </c>
      <c r="R237" t="str">
        <v/>
      </c>
      <c r="S237">
        <v>5.5</v>
      </c>
      <c r="T237">
        <v>81.52</v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>
        <v>85</v>
      </c>
      <c r="AC237" t="str">
        <v>01/10/2026</v>
      </c>
      <c r="AD237" t="str">
        <v>11:01:15</v>
      </c>
      <c r="AE237">
        <f>IF("ONLINE"="NOGPS","GPS Antiguo","En línea")</f>
      </c>
      <c r="AF237">
        <f>IF(0=0,"Sin atender", IF(0=1,"Atendida","Atendida y Reportada"))</f>
      </c>
      <c r="AG237" t="str">
        <v/>
      </c>
      <c r="AH237" t="str">
        <v/>
      </c>
      <c r="AI237" t="str">
        <v/>
      </c>
      <c r="AJ237" t="str">
        <v/>
      </c>
      <c r="AK237" t="str">
        <v>01/10/2026 11:01:38</v>
      </c>
      <c r="AL237" t="str">
        <v>11:01:38</v>
      </c>
      <c r="AM237" t="str">
        <v/>
      </c>
    </row>
    <row r="238">
      <c r="A238">
        <v>237</v>
      </c>
      <c r="B238" t="str">
        <v>MASS BSF</v>
      </c>
      <c r="C238" t="str">
        <v>F8R-810</v>
      </c>
      <c r="D238" t="str">
        <v>F8R-810</v>
      </c>
      <c r="E238" t="str">
        <v/>
      </c>
      <c r="F238" t="str">
        <v>867806078868827</v>
      </c>
      <c r="G238" t="str">
        <v>TBD</v>
      </c>
      <c r="H238" t="str">
        <v/>
      </c>
      <c r="I238" t="str">
        <v/>
      </c>
      <c r="J238" t="str">
        <v>01/10/2026</v>
      </c>
      <c r="K238" t="str">
        <v>11:01:17</v>
      </c>
      <c r="L238">
        <v>-12.148987</v>
      </c>
      <c r="M238">
        <v>-76.973885</v>
      </c>
      <c r="N238">
        <f>HYPERLINK("https://www.google.com/maps/search/?api=1&amp;query=-12.148987,-76.973885","Avenida Nepomuceno Vargas, San Juan de Miraflores, Lima")</f>
      </c>
      <c r="O238" t="str">
        <v>Acelerado y giro brusco</v>
      </c>
      <c r="P238" t="str">
        <v/>
      </c>
      <c r="Q238">
        <v>2102.4</v>
      </c>
      <c r="R238" t="str">
        <v/>
      </c>
      <c r="S238">
        <v>5.5</v>
      </c>
      <c r="T238">
        <v>81.52</v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>
        <v>85</v>
      </c>
      <c r="AC238" t="str">
        <v>01/10/2026</v>
      </c>
      <c r="AD238" t="str">
        <v>11:01:15</v>
      </c>
      <c r="AE238">
        <f>IF("ONLINE"="NOGPS","GPS Antiguo","En línea")</f>
      </c>
      <c r="AF238">
        <f>IF(0=0,"Sin atender", IF(0=1,"Atendida","Atendida y Reportada"))</f>
      </c>
      <c r="AG238" t="str">
        <v/>
      </c>
      <c r="AH238" t="str">
        <v/>
      </c>
      <c r="AI238" t="str">
        <v/>
      </c>
      <c r="AJ238" t="str">
        <v/>
      </c>
      <c r="AK238" t="str">
        <v>01/10/2026 11:01:28</v>
      </c>
      <c r="AL238" t="str">
        <v>11:01:28</v>
      </c>
      <c r="AM238" t="str">
        <v/>
      </c>
    </row>
    <row r="239">
      <c r="A239">
        <v>238</v>
      </c>
      <c r="B239" t="str">
        <v>MASS BSF</v>
      </c>
      <c r="C239" t="str">
        <v>F8R-810</v>
      </c>
      <c r="D239" t="str">
        <v>F8R-810</v>
      </c>
      <c r="E239" t="str">
        <v/>
      </c>
      <c r="F239" t="str">
        <v>867806078868827</v>
      </c>
      <c r="G239" t="str">
        <v>TBD</v>
      </c>
      <c r="H239" t="str">
        <v/>
      </c>
      <c r="I239" t="str">
        <v/>
      </c>
      <c r="J239" t="str">
        <v>01/10/2026</v>
      </c>
      <c r="K239" t="str">
        <v>11:01:23</v>
      </c>
      <c r="L239">
        <v>-12.148956</v>
      </c>
      <c r="M239">
        <v>-76.973976</v>
      </c>
      <c r="N239">
        <f>HYPERLINK("https://www.google.com/maps/search/?api=1&amp;query=-12.148956,-76.973976","Jirón Gabriel Torres, San Juan de Miraflores, Lima")</f>
      </c>
      <c r="O239" t="str">
        <v>Acelerado y giro brusco</v>
      </c>
      <c r="P239" t="str">
        <v/>
      </c>
      <c r="Q239">
        <v>2102.4</v>
      </c>
      <c r="R239" t="str">
        <v/>
      </c>
      <c r="S239">
        <v>4.8</v>
      </c>
      <c r="T239">
        <v>81.52</v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>
        <v>85</v>
      </c>
      <c r="AC239" t="str">
        <v>01/10/2026</v>
      </c>
      <c r="AD239" t="str">
        <v>11:01:21</v>
      </c>
      <c r="AE239">
        <f>IF("ONLINE"="NOGPS","GPS Antiguo","En línea")</f>
      </c>
      <c r="AF239">
        <f>IF(0=0,"Sin atender", IF(0=1,"Atendida","Atendida y Reportada"))</f>
      </c>
      <c r="AG239" t="str">
        <v/>
      </c>
      <c r="AH239" t="str">
        <v/>
      </c>
      <c r="AI239" t="str">
        <v/>
      </c>
      <c r="AJ239" t="str">
        <v/>
      </c>
      <c r="AK239" t="str">
        <v>01/10/2026 11:01:26</v>
      </c>
      <c r="AL239" t="str">
        <v>11:01:26</v>
      </c>
      <c r="AM239" t="str">
        <v/>
      </c>
    </row>
    <row r="240">
      <c r="A240">
        <v>239</v>
      </c>
      <c r="B240" t="str">
        <v>MASS BSF</v>
      </c>
      <c r="C240" t="str">
        <v>F8R-810</v>
      </c>
      <c r="D240" t="str">
        <v>F8R-810</v>
      </c>
      <c r="E240" t="str">
        <v/>
      </c>
      <c r="F240" t="str">
        <v>867806078868827</v>
      </c>
      <c r="G240" t="str">
        <v>TBD</v>
      </c>
      <c r="H240" t="str">
        <v/>
      </c>
      <c r="I240" t="str">
        <v/>
      </c>
      <c r="J240" t="str">
        <v>01/10/2026</v>
      </c>
      <c r="K240" t="str">
        <v>11:01:31</v>
      </c>
      <c r="L240">
        <v>-12.149015</v>
      </c>
      <c r="M240">
        <v>-76.97404</v>
      </c>
      <c r="N240">
        <f>HYPERLINK("https://www.google.com/maps/search/?api=1&amp;query=-12.149015,-76.97404","Jirón Gabriel Torres, San Juan de Miraflores, Lima")</f>
      </c>
      <c r="O240" t="str">
        <v>Acelerado y giro brusco</v>
      </c>
      <c r="P240" t="str">
        <v/>
      </c>
      <c r="Q240">
        <v>2102.4</v>
      </c>
      <c r="R240" t="str">
        <v/>
      </c>
      <c r="S240">
        <v>8.3</v>
      </c>
      <c r="T240">
        <v>81.52</v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>
        <v>85</v>
      </c>
      <c r="AC240" t="str">
        <v>01/10/2026</v>
      </c>
      <c r="AD240" t="str">
        <v>11:01:29</v>
      </c>
      <c r="AE240">
        <f>IF("ONLINE"="NOGPS","GPS Antiguo","En línea")</f>
      </c>
      <c r="AF240">
        <f>IF(0=0,"Sin atender", IF(0=1,"Atendida","Atendida y Reportada"))</f>
      </c>
      <c r="AG240" t="str">
        <v/>
      </c>
      <c r="AH240" t="str">
        <v/>
      </c>
      <c r="AI240" t="str">
        <v/>
      </c>
      <c r="AJ240" t="str">
        <v/>
      </c>
      <c r="AK240" t="str">
        <v>01/10/2026 11:01:50</v>
      </c>
      <c r="AL240" t="str">
        <v>11:01:50</v>
      </c>
      <c r="AM240" t="str">
        <v/>
      </c>
    </row>
    <row r="241">
      <c r="A241">
        <v>240</v>
      </c>
      <c r="B241" t="str">
        <v>MASS BSF</v>
      </c>
      <c r="C241" t="str">
        <v>F8R-810</v>
      </c>
      <c r="D241" t="str">
        <v>F8R-810</v>
      </c>
      <c r="E241" t="str">
        <v/>
      </c>
      <c r="F241" t="str">
        <v>867806078868827</v>
      </c>
      <c r="G241" t="str">
        <v>TBD</v>
      </c>
      <c r="H241" t="str">
        <v/>
      </c>
      <c r="I241" t="str">
        <v/>
      </c>
      <c r="J241" t="str">
        <v>01/10/2026</v>
      </c>
      <c r="K241" t="str">
        <v>11:01:36</v>
      </c>
      <c r="L241">
        <v>-12.149087</v>
      </c>
      <c r="M241">
        <v>-76.974045</v>
      </c>
      <c r="N241">
        <f>HYPERLINK("https://www.google.com/maps/search/?api=1&amp;query=-12.149087,-76.974045","Jirón Gabriel Torres, San Juan de Miraflores, Lima")</f>
      </c>
      <c r="O241" t="str">
        <v>Acelerado y giro brusco</v>
      </c>
      <c r="P241" t="str">
        <v/>
      </c>
      <c r="Q241">
        <v>2102.4</v>
      </c>
      <c r="R241" t="str">
        <v/>
      </c>
      <c r="S241">
        <v>4.4</v>
      </c>
      <c r="T241">
        <v>81.52</v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>
        <v>85</v>
      </c>
      <c r="AC241" t="str">
        <v>01/10/2026</v>
      </c>
      <c r="AD241" t="str">
        <v>11:01:34</v>
      </c>
      <c r="AE241">
        <f>IF("ONLINE"="NOGPS","GPS Antiguo","En línea")</f>
      </c>
      <c r="AF241">
        <f>IF(0=0,"Sin atender", IF(0=1,"Atendida","Atendida y Reportada"))</f>
      </c>
      <c r="AG241" t="str">
        <v/>
      </c>
      <c r="AH241" t="str">
        <v/>
      </c>
      <c r="AI241" t="str">
        <v/>
      </c>
      <c r="AJ241" t="str">
        <v/>
      </c>
      <c r="AK241" t="str">
        <v>01/10/2026 11:01:45</v>
      </c>
      <c r="AL241" t="str">
        <v>11:01:45</v>
      </c>
      <c r="AM241" t="str">
        <v/>
      </c>
    </row>
    <row r="242">
      <c r="A242">
        <v>241</v>
      </c>
      <c r="B242" t="str">
        <v>MASS BSF</v>
      </c>
      <c r="C242" t="str">
        <v>F8R-810</v>
      </c>
      <c r="D242" t="str">
        <v>F8R-810</v>
      </c>
      <c r="E242" t="str">
        <v/>
      </c>
      <c r="F242" t="str">
        <v>867806078868827</v>
      </c>
      <c r="G242" t="str">
        <v>TBD</v>
      </c>
      <c r="H242" t="str">
        <v/>
      </c>
      <c r="I242" t="str">
        <v/>
      </c>
      <c r="J242" t="str">
        <v>01/10/2026</v>
      </c>
      <c r="K242" t="str">
        <v>11:02:10</v>
      </c>
      <c r="L242">
        <v>-12.150955</v>
      </c>
      <c r="M242">
        <v>-76.97456</v>
      </c>
      <c r="N242">
        <f>HYPERLINK("https://www.google.com/maps/search/?api=1&amp;query=-12.150955,-76.97456","Jirón Gabriel Torres, San Juan de Miraflores, Lima")</f>
      </c>
      <c r="O242" t="str">
        <v>Bache</v>
      </c>
      <c r="P242" t="str">
        <v/>
      </c>
      <c r="Q242">
        <v>2102.6</v>
      </c>
      <c r="R242" t="str">
        <v/>
      </c>
      <c r="S242">
        <v>6.8</v>
      </c>
      <c r="T242">
        <v>81.52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>
        <v>85</v>
      </c>
      <c r="AC242" t="str">
        <v>01/10/2026</v>
      </c>
      <c r="AD242" t="str">
        <v>11:02:09</v>
      </c>
      <c r="AE242">
        <f>IF("ONLINE"="NOGPS","GPS Antiguo","En línea")</f>
      </c>
      <c r="AF242">
        <f>IF(0=0,"Sin atender", IF(0=1,"Atendida","Atendida y Reportada"))</f>
      </c>
      <c r="AG242" t="str">
        <v/>
      </c>
      <c r="AH242" t="str">
        <v/>
      </c>
      <c r="AI242" t="str">
        <v/>
      </c>
      <c r="AJ242" t="str">
        <v/>
      </c>
      <c r="AK242" t="str">
        <v>01/10/2026 11:02:24</v>
      </c>
      <c r="AL242" t="str">
        <v>11:02:24</v>
      </c>
      <c r="AM242" t="str">
        <v/>
      </c>
    </row>
    <row r="243">
      <c r="A243">
        <v>242</v>
      </c>
      <c r="B243" t="str">
        <v>MASS BSF</v>
      </c>
      <c r="C243" t="str">
        <v>F8R-810</v>
      </c>
      <c r="D243" t="str">
        <v>F8R-810</v>
      </c>
      <c r="E243" t="str">
        <v/>
      </c>
      <c r="F243" t="str">
        <v>867806078868827</v>
      </c>
      <c r="G243" t="str">
        <v>TBD</v>
      </c>
      <c r="H243" t="str">
        <v/>
      </c>
      <c r="I243" t="str">
        <v/>
      </c>
      <c r="J243" t="str">
        <v>01/10/2026</v>
      </c>
      <c r="K243" t="str">
        <v>11:02:35</v>
      </c>
      <c r="L243">
        <v>-12.151952</v>
      </c>
      <c r="M243">
        <v>-76.97485</v>
      </c>
      <c r="N243">
        <f>HYPERLINK("https://www.google.com/maps/search/?api=1&amp;query=-12.151952,-76.97485","Jirón Gabriel Torres, San Juan de Miraflores, Lima")</f>
      </c>
      <c r="O243" t="str">
        <v>Bache</v>
      </c>
      <c r="P243" t="str">
        <v/>
      </c>
      <c r="Q243">
        <v>2102.7</v>
      </c>
      <c r="R243" t="str">
        <v/>
      </c>
      <c r="S243">
        <v>7.9</v>
      </c>
      <c r="T243">
        <v>81.52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>
        <v>85</v>
      </c>
      <c r="AC243" t="str">
        <v>01/10/2026</v>
      </c>
      <c r="AD243" t="str">
        <v>11:02:34</v>
      </c>
      <c r="AE243">
        <f>IF("ONLINE"="NOGPS","GPS Antiguo","En línea")</f>
      </c>
      <c r="AF243">
        <f>IF(0=0,"Sin atender", IF(0=1,"Atendida","Atendida y Reportada"))</f>
      </c>
      <c r="AG243" t="str">
        <v/>
      </c>
      <c r="AH243" t="str">
        <v/>
      </c>
      <c r="AI243" t="str">
        <v/>
      </c>
      <c r="AJ243" t="str">
        <v/>
      </c>
      <c r="AK243" t="str">
        <v>01/10/2026 11:02:50</v>
      </c>
      <c r="AL243" t="str">
        <v>11:02:50</v>
      </c>
      <c r="AM243" t="str">
        <v/>
      </c>
    </row>
    <row r="244">
      <c r="A244">
        <v>243</v>
      </c>
      <c r="B244" t="str">
        <v>MASS BSF</v>
      </c>
      <c r="C244" t="str">
        <v>F8R-810</v>
      </c>
      <c r="D244" t="str">
        <v>F8R-810</v>
      </c>
      <c r="E244" t="str">
        <v/>
      </c>
      <c r="F244" t="str">
        <v>867806078868827</v>
      </c>
      <c r="G244" t="str">
        <v>TBD</v>
      </c>
      <c r="H244" t="str">
        <v/>
      </c>
      <c r="I244" t="str">
        <v/>
      </c>
      <c r="J244" t="str">
        <v>01/10/2026</v>
      </c>
      <c r="K244" t="str">
        <v>11:02:40</v>
      </c>
      <c r="L244">
        <v>-12.152052</v>
      </c>
      <c r="M244">
        <v>-76.97487</v>
      </c>
      <c r="N244">
        <f>HYPERLINK("https://www.google.com/maps/search/?api=1&amp;query=-12.152052,-76.97487","Jirón Gabriel Torres, San Juan de Miraflores, Lima")</f>
      </c>
      <c r="O244" t="str">
        <v>Acelerado y giro brusco</v>
      </c>
      <c r="P244" t="str">
        <v/>
      </c>
      <c r="Q244">
        <v>2102.7</v>
      </c>
      <c r="R244" t="str">
        <v/>
      </c>
      <c r="S244">
        <v>15.1</v>
      </c>
      <c r="T244">
        <v>81.52</v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>
        <v>85</v>
      </c>
      <c r="AC244" t="str">
        <v>01/10/2026</v>
      </c>
      <c r="AD244" t="str">
        <v>11:02:38</v>
      </c>
      <c r="AE244">
        <f>IF("ONLINE"="NOGPS","GPS Antiguo","En línea")</f>
      </c>
      <c r="AF244">
        <f>IF(0=0,"Sin atender", IF(0=1,"Atendida","Atendida y Reportada"))</f>
      </c>
      <c r="AG244" t="str">
        <v/>
      </c>
      <c r="AH244" t="str">
        <v/>
      </c>
      <c r="AI244" t="str">
        <v/>
      </c>
      <c r="AJ244" t="str">
        <v/>
      </c>
      <c r="AK244" t="str">
        <v>01/10/2026 11:02:55</v>
      </c>
      <c r="AL244" t="str">
        <v>11:02:55</v>
      </c>
      <c r="AM244" t="str">
        <v/>
      </c>
    </row>
    <row r="245">
      <c r="A245">
        <v>244</v>
      </c>
      <c r="B245" t="str">
        <v>MASS BSF</v>
      </c>
      <c r="C245" t="str">
        <v>F8R-810</v>
      </c>
      <c r="D245" t="str">
        <v>F8R-810</v>
      </c>
      <c r="E245" t="str">
        <v/>
      </c>
      <c r="F245" t="str">
        <v>867806078868827</v>
      </c>
      <c r="G245" t="str">
        <v>TBD</v>
      </c>
      <c r="H245" t="str">
        <v/>
      </c>
      <c r="I245" t="str">
        <v/>
      </c>
      <c r="J245" t="str">
        <v>01/10/2026</v>
      </c>
      <c r="K245" t="str">
        <v>11:02:46</v>
      </c>
      <c r="L245">
        <v>-12.152262</v>
      </c>
      <c r="M245">
        <v>-76.97493</v>
      </c>
      <c r="N245">
        <f>HYPERLINK("https://www.google.com/maps/search/?api=1&amp;query=-12.152262,-76.97493","Jirón Gabriel Torres, San Juan de Miraflores, Lima")</f>
      </c>
      <c r="O245" t="str">
        <v>Aceleración brusca</v>
      </c>
      <c r="P245" t="str">
        <v>CMT-910</v>
      </c>
      <c r="Q245">
        <v>2102.8</v>
      </c>
      <c r="R245" t="str">
        <v/>
      </c>
      <c r="S245">
        <v>13.1</v>
      </c>
      <c r="T245">
        <v>81.52</v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>
        <v>85</v>
      </c>
      <c r="AC245" t="str">
        <v>01/10/2026</v>
      </c>
      <c r="AD245" t="str">
        <v>11:02:44</v>
      </c>
      <c r="AE245">
        <f>IF("ONLINE"="NOGPS","GPS Antiguo","En línea")</f>
      </c>
      <c r="AF245">
        <f>IF(0=0,"Sin atender", IF(0=1,"Atendida","Atendida y Reportada"))</f>
      </c>
      <c r="AG245" t="str">
        <v/>
      </c>
      <c r="AH245" t="str">
        <v/>
      </c>
      <c r="AI245" t="str">
        <v/>
      </c>
      <c r="AJ245" t="str">
        <v/>
      </c>
      <c r="AK245" t="str">
        <v>01/10/2026 11:03:05</v>
      </c>
      <c r="AL245" t="str">
        <v>11:03:05</v>
      </c>
      <c r="AM245" t="str">
        <v/>
      </c>
    </row>
    <row r="246">
      <c r="A246">
        <v>245</v>
      </c>
      <c r="B246" t="str">
        <v>MASS BSF</v>
      </c>
      <c r="C246" t="str">
        <v>F8R-810</v>
      </c>
      <c r="D246" t="str">
        <v>F8R-810</v>
      </c>
      <c r="E246" t="str">
        <v/>
      </c>
      <c r="F246" t="str">
        <v>867806078868827</v>
      </c>
      <c r="G246" t="str">
        <v>TBD</v>
      </c>
      <c r="H246" t="str">
        <v/>
      </c>
      <c r="I246" t="str">
        <v/>
      </c>
      <c r="J246" t="str">
        <v>01/10/2026</v>
      </c>
      <c r="K246" t="str">
        <v>11:02:56</v>
      </c>
      <c r="L246">
        <v>-12.152458</v>
      </c>
      <c r="M246">
        <v>-76.97501</v>
      </c>
      <c r="N246">
        <f>HYPERLINK("https://www.google.com/maps/search/?api=1&amp;query=-12.152458,-76.97501","Jirón Gabriel Torres, San Juan de Miraflores, Lima")</f>
      </c>
      <c r="O246" t="str">
        <v>Acelerado y giro brusco</v>
      </c>
      <c r="P246" t="str">
        <v/>
      </c>
      <c r="Q246">
        <v>2102.8</v>
      </c>
      <c r="R246" t="str">
        <v/>
      </c>
      <c r="S246">
        <v>5.1</v>
      </c>
      <c r="T246">
        <v>81.52</v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>
        <v>85</v>
      </c>
      <c r="AC246" t="str">
        <v>01/10/2026</v>
      </c>
      <c r="AD246" t="str">
        <v>11:02:54</v>
      </c>
      <c r="AE246">
        <f>IF("ONLINE"="NOGPS","GPS Antiguo","En línea")</f>
      </c>
      <c r="AF246">
        <f>IF(0=0,"Sin atender", IF(0=1,"Atendida","Atendida y Reportada"))</f>
      </c>
      <c r="AG246" t="str">
        <v/>
      </c>
      <c r="AH246" t="str">
        <v/>
      </c>
      <c r="AI246" t="str">
        <v/>
      </c>
      <c r="AJ246" t="str">
        <v/>
      </c>
      <c r="AK246" t="str">
        <v>01/10/2026 11:03:05</v>
      </c>
      <c r="AL246" t="str">
        <v>11:03:05</v>
      </c>
      <c r="AM246" t="str">
        <v/>
      </c>
    </row>
    <row r="247">
      <c r="A247">
        <v>246</v>
      </c>
      <c r="B247" t="str">
        <v>MASS BSF</v>
      </c>
      <c r="C247" t="str">
        <v>F8R-810</v>
      </c>
      <c r="D247" t="str">
        <v>F8R-810</v>
      </c>
      <c r="E247" t="str">
        <v/>
      </c>
      <c r="F247" t="str">
        <v>867806078868827</v>
      </c>
      <c r="G247" t="str">
        <v>TBD</v>
      </c>
      <c r="H247" t="str">
        <v/>
      </c>
      <c r="I247" t="str">
        <v/>
      </c>
      <c r="J247" t="str">
        <v>01/10/2026</v>
      </c>
      <c r="K247" t="str">
        <v>11:03:21</v>
      </c>
      <c r="L247">
        <v>-12.1523</v>
      </c>
      <c r="M247">
        <v>-76.97549</v>
      </c>
      <c r="N247">
        <f>HYPERLINK("https://www.google.com/maps/search/?api=1&amp;query=-12.1523,-76.97549","Avenida Los Héroes, San Juan de Miraflores, Lima")</f>
      </c>
      <c r="O247" t="str">
        <v>Acelerado y giro brusco</v>
      </c>
      <c r="P247" t="str">
        <v/>
      </c>
      <c r="Q247">
        <v>2102.8</v>
      </c>
      <c r="R247" t="str">
        <v/>
      </c>
      <c r="S247">
        <v>9</v>
      </c>
      <c r="T247">
        <v>81.52</v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>
        <v>92</v>
      </c>
      <c r="AC247" t="str">
        <v>01/10/2026</v>
      </c>
      <c r="AD247" t="str">
        <v>11:03:20</v>
      </c>
      <c r="AE247">
        <f>IF("ONLINE"="NOGPS","GPS Antiguo","En línea")</f>
      </c>
      <c r="AF247">
        <f>IF(0=0,"Sin atender", IF(0=1,"Atendida","Atendida y Reportada"))</f>
      </c>
      <c r="AG247" t="str">
        <v/>
      </c>
      <c r="AH247" t="str">
        <v/>
      </c>
      <c r="AI247" t="str">
        <v/>
      </c>
      <c r="AJ247" t="str">
        <v/>
      </c>
      <c r="AK247" t="str">
        <v>01/10/2026 11:03:27</v>
      </c>
      <c r="AL247" t="str">
        <v>11:03:27</v>
      </c>
      <c r="AM247" t="str">
        <v/>
      </c>
    </row>
    <row r="248">
      <c r="A248">
        <v>247</v>
      </c>
      <c r="B248" t="str">
        <v>MASS BSF</v>
      </c>
      <c r="C248" t="str">
        <v>F8R-810</v>
      </c>
      <c r="D248" t="str">
        <v>F8R-810</v>
      </c>
      <c r="E248" t="str">
        <v/>
      </c>
      <c r="F248" t="str">
        <v>867806078868827</v>
      </c>
      <c r="G248" t="str">
        <v>TBD</v>
      </c>
      <c r="H248" t="str">
        <v/>
      </c>
      <c r="I248" t="str">
        <v/>
      </c>
      <c r="J248" t="str">
        <v>01/10/2026</v>
      </c>
      <c r="K248" t="str">
        <v>11:03:40</v>
      </c>
      <c r="L248">
        <v>-12.152233</v>
      </c>
      <c r="M248">
        <v>-76.97564</v>
      </c>
      <c r="N248">
        <f>HYPERLINK("https://www.google.com/maps/search/?api=1&amp;query=-12.152233,-76.97564","Avenida Los Héroes, San Juan de Miraflores, Lima")</f>
      </c>
      <c r="O248" t="str">
        <v>Aceleración brusca</v>
      </c>
      <c r="P248" t="str">
        <v>CMT-910</v>
      </c>
      <c r="Q248">
        <v>2102.8</v>
      </c>
      <c r="R248" t="str">
        <v/>
      </c>
      <c r="S248">
        <v>3.7</v>
      </c>
      <c r="T248">
        <v>81.52</v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>
        <v>92</v>
      </c>
      <c r="AC248" t="str">
        <v>01/10/2026</v>
      </c>
      <c r="AD248" t="str">
        <v>11:03:38</v>
      </c>
      <c r="AE248">
        <f>IF("ONLINE"="NOGPS","GPS Antiguo","En línea")</f>
      </c>
      <c r="AF248">
        <f>IF(0=0,"Sin atender", IF(0=1,"Atendida","Atendida y Reportada"))</f>
      </c>
      <c r="AG248" t="str">
        <v/>
      </c>
      <c r="AH248" t="str">
        <v/>
      </c>
      <c r="AI248" t="str">
        <v/>
      </c>
      <c r="AJ248" t="str">
        <v/>
      </c>
      <c r="AK248" t="str">
        <v>01/10/2026 11:03:58</v>
      </c>
      <c r="AL248" t="str">
        <v>11:03:58</v>
      </c>
      <c r="AM248" t="str">
        <v/>
      </c>
    </row>
    <row r="249">
      <c r="A249">
        <v>248</v>
      </c>
      <c r="B249" t="str">
        <v>MASS BSF</v>
      </c>
      <c r="C249" t="str">
        <v>F8R-810</v>
      </c>
      <c r="D249" t="str">
        <v>F8R-810</v>
      </c>
      <c r="E249" t="str">
        <v/>
      </c>
      <c r="F249" t="str">
        <v>867806078868827</v>
      </c>
      <c r="G249" t="str">
        <v>TBD</v>
      </c>
      <c r="H249" t="str">
        <v/>
      </c>
      <c r="I249" t="str">
        <v/>
      </c>
      <c r="J249" t="str">
        <v>01/10/2026</v>
      </c>
      <c r="K249" t="str">
        <v>11:03:47</v>
      </c>
      <c r="L249">
        <v>-12.152163</v>
      </c>
      <c r="M249">
        <v>-76.9758</v>
      </c>
      <c r="N249">
        <f>HYPERLINK("https://www.google.com/maps/search/?api=1&amp;query=-12.152163,-76.9758","Avenida Los Héroes, San Juan de Miraflores, Lima")</f>
      </c>
      <c r="O249" t="str">
        <v>Acelerado y giro brusco</v>
      </c>
      <c r="P249" t="str">
        <v/>
      </c>
      <c r="Q249">
        <v>2102.9</v>
      </c>
      <c r="R249" t="str">
        <v/>
      </c>
      <c r="S249">
        <v>16.8</v>
      </c>
      <c r="T249">
        <v>81.52</v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>
        <v>92</v>
      </c>
      <c r="AC249" t="str">
        <v>01/10/2026</v>
      </c>
      <c r="AD249" t="str">
        <v>11:03:46</v>
      </c>
      <c r="AE249">
        <f>IF("ONLINE"="NOGPS","GPS Antiguo","En línea")</f>
      </c>
      <c r="AF249">
        <f>IF(0=0,"Sin atender", IF(0=1,"Atendida","Atendida y Reportada"))</f>
      </c>
      <c r="AG249" t="str">
        <v/>
      </c>
      <c r="AH249" t="str">
        <v/>
      </c>
      <c r="AI249" t="str">
        <v/>
      </c>
      <c r="AJ249" t="str">
        <v/>
      </c>
      <c r="AK249" t="str">
        <v>01/10/2026 11:03:59</v>
      </c>
      <c r="AL249" t="str">
        <v>11:03:59</v>
      </c>
      <c r="AM249" t="str">
        <v/>
      </c>
    </row>
    <row r="250">
      <c r="A250">
        <v>249</v>
      </c>
      <c r="B250" t="str">
        <v>MASS BSF</v>
      </c>
      <c r="C250" t="str">
        <v>F8R-810</v>
      </c>
      <c r="D250" t="str">
        <v>F8R-810</v>
      </c>
      <c r="E250" t="str">
        <v/>
      </c>
      <c r="F250" t="str">
        <v>867806078868827</v>
      </c>
      <c r="G250" t="str">
        <v>TBD</v>
      </c>
      <c r="H250" t="str">
        <v/>
      </c>
      <c r="I250" t="str">
        <v/>
      </c>
      <c r="J250" t="str">
        <v>01/10/2026</v>
      </c>
      <c r="K250" t="str">
        <v>11:04:00</v>
      </c>
      <c r="L250">
        <v>-12.152005</v>
      </c>
      <c r="M250">
        <v>-76.976204</v>
      </c>
      <c r="N250">
        <f>HYPERLINK("https://www.google.com/maps/search/?api=1&amp;query=-12.152005,-76.976204","Avenida Los Héroes, San Juan de Miraflores, Lima")</f>
      </c>
      <c r="O250" t="str">
        <v>Acelerado y giro brusco</v>
      </c>
      <c r="P250" t="str">
        <v/>
      </c>
      <c r="Q250">
        <v>2102.9</v>
      </c>
      <c r="R250" t="str">
        <v/>
      </c>
      <c r="S250">
        <v>20</v>
      </c>
      <c r="T250">
        <v>81.52</v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>
        <v>92</v>
      </c>
      <c r="AC250" t="str">
        <v>01/10/2026</v>
      </c>
      <c r="AD250" t="str">
        <v>11:03:59</v>
      </c>
      <c r="AE250">
        <f>IF("ONLINE"="NOGPS","GPS Antiguo","En línea")</f>
      </c>
      <c r="AF250">
        <f>IF(0=0,"Sin atender", IF(0=1,"Atendida","Atendida y Reportada"))</f>
      </c>
      <c r="AG250" t="str">
        <v/>
      </c>
      <c r="AH250" t="str">
        <v/>
      </c>
      <c r="AI250" t="str">
        <v/>
      </c>
      <c r="AJ250" t="str">
        <v/>
      </c>
      <c r="AK250" t="str">
        <v>01/10/2026 11:04:16</v>
      </c>
      <c r="AL250" t="str">
        <v>11:04:16</v>
      </c>
      <c r="AM250" t="str">
        <v/>
      </c>
    </row>
    <row r="251">
      <c r="A251">
        <v>250</v>
      </c>
      <c r="B251" t="str">
        <v>MASS BSF</v>
      </c>
      <c r="C251" t="str">
        <v>F8R-810</v>
      </c>
      <c r="D251" t="str">
        <v>F8R-810</v>
      </c>
      <c r="E251" t="str">
        <v/>
      </c>
      <c r="F251" t="str">
        <v>867806078868827</v>
      </c>
      <c r="G251" t="str">
        <v>TBD</v>
      </c>
      <c r="H251" t="str">
        <v/>
      </c>
      <c r="I251" t="str">
        <v/>
      </c>
      <c r="J251" t="str">
        <v>01/10/2026</v>
      </c>
      <c r="K251" t="str">
        <v>11:04:57</v>
      </c>
      <c r="L251">
        <v>-12.151</v>
      </c>
      <c r="M251">
        <v>-76.97888</v>
      </c>
      <c r="N251">
        <f>HYPERLINK("https://www.google.com/maps/search/?api=1&amp;query=-12.151,-76.97888","Avenida Los Héroes, San Juan de Miraflores, Lima")</f>
      </c>
      <c r="O251" t="str">
        <v>Aceleración brusca</v>
      </c>
      <c r="P251" t="str">
        <v>CMT-910</v>
      </c>
      <c r="Q251">
        <v>2103.2</v>
      </c>
      <c r="R251" t="str">
        <v/>
      </c>
      <c r="S251">
        <v>23.7</v>
      </c>
      <c r="T251">
        <v>81.52</v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>
        <v>86</v>
      </c>
      <c r="AC251" t="str">
        <v>01/10/2026</v>
      </c>
      <c r="AD251" t="str">
        <v>11:04:55</v>
      </c>
      <c r="AE251">
        <f>IF("ONLINE"="NOGPS","GPS Antiguo","En línea")</f>
      </c>
      <c r="AF251">
        <f>IF(0=0,"Sin atender", IF(0=1,"Atendida","Atendida y Reportada"))</f>
      </c>
      <c r="AG251" t="str">
        <v/>
      </c>
      <c r="AH251" t="str">
        <v/>
      </c>
      <c r="AI251" t="str">
        <v/>
      </c>
      <c r="AJ251" t="str">
        <v/>
      </c>
      <c r="AK251" t="str">
        <v>01/10/2026 11:05:09</v>
      </c>
      <c r="AL251" t="str">
        <v>11:05:09</v>
      </c>
      <c r="AM251" t="str">
        <v/>
      </c>
    </row>
    <row r="252">
      <c r="A252">
        <v>251</v>
      </c>
      <c r="B252" t="str">
        <v>MASS BSF</v>
      </c>
      <c r="C252" t="str">
        <v>F8R-810</v>
      </c>
      <c r="D252" t="str">
        <v>F8R-810</v>
      </c>
      <c r="E252" t="str">
        <v/>
      </c>
      <c r="F252" t="str">
        <v>867806078868827</v>
      </c>
      <c r="G252" t="str">
        <v>TBD</v>
      </c>
      <c r="H252" t="str">
        <v/>
      </c>
      <c r="I252" t="str">
        <v/>
      </c>
      <c r="J252" t="str">
        <v>01/10/2026</v>
      </c>
      <c r="K252" t="str">
        <v>11:05:05</v>
      </c>
      <c r="L252">
        <v>-12.15078</v>
      </c>
      <c r="M252">
        <v>-76.979355</v>
      </c>
      <c r="N252">
        <f>HYPERLINK("https://www.google.com/maps/search/?api=1&amp;query=-12.15078,-76.979355","Avenida Los Héroes, San Juan de Miraflores, Lima")</f>
      </c>
      <c r="O252" t="str">
        <v>Acelerado y giro brusco</v>
      </c>
      <c r="P252" t="str">
        <v/>
      </c>
      <c r="Q252">
        <v>2103.3</v>
      </c>
      <c r="R252" t="str">
        <v/>
      </c>
      <c r="S252">
        <v>25.9</v>
      </c>
      <c r="T252">
        <v>81.52</v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>
        <v>85</v>
      </c>
      <c r="AC252" t="str">
        <v>01/10/2026</v>
      </c>
      <c r="AD252" t="str">
        <v>11:05:03</v>
      </c>
      <c r="AE252">
        <f>IF("ONLINE"="NOGPS","GPS Antiguo","En línea")</f>
      </c>
      <c r="AF252">
        <f>IF(0=0,"Sin atender", IF(0=1,"Atendida","Atendida y Reportada"))</f>
      </c>
      <c r="AG252" t="str">
        <v/>
      </c>
      <c r="AH252" t="str">
        <v/>
      </c>
      <c r="AI252" t="str">
        <v/>
      </c>
      <c r="AJ252" t="str">
        <v/>
      </c>
      <c r="AK252" t="str">
        <v>01/10/2026 11:05:23</v>
      </c>
      <c r="AL252" t="str">
        <v>11:05:23</v>
      </c>
      <c r="AM252" t="str">
        <v/>
      </c>
    </row>
    <row r="253">
      <c r="A253">
        <v>252</v>
      </c>
      <c r="B253" t="str">
        <v>MASS BSF</v>
      </c>
      <c r="C253" t="str">
        <v>F8R-810</v>
      </c>
      <c r="D253" t="str">
        <v>F8R-810</v>
      </c>
      <c r="E253" t="str">
        <v/>
      </c>
      <c r="F253" t="str">
        <v>867806078868827</v>
      </c>
      <c r="G253" t="str">
        <v>TBD</v>
      </c>
      <c r="H253" t="str">
        <v/>
      </c>
      <c r="I253" t="str">
        <v/>
      </c>
      <c r="J253" t="str">
        <v>01/10/2026</v>
      </c>
      <c r="K253" t="str">
        <v>11:06:11</v>
      </c>
      <c r="L253">
        <v>-12.150467</v>
      </c>
      <c r="M253">
        <v>-76.98062</v>
      </c>
      <c r="N253">
        <f>HYPERLINK("https://www.google.com/maps/search/?api=1&amp;query=-12.150467,-76.98062","Avenida Los Héroes, San Juan de Miraflores, Lima")</f>
      </c>
      <c r="O253" t="str">
        <v>Acelerado y giro brusco</v>
      </c>
      <c r="P253" t="str">
        <v/>
      </c>
      <c r="Q253">
        <v>2103.4</v>
      </c>
      <c r="R253" t="str">
        <v/>
      </c>
      <c r="S253">
        <v>5.3</v>
      </c>
      <c r="T253">
        <v>81.52</v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>
        <v>86</v>
      </c>
      <c r="AC253" t="str">
        <v>01/10/2026</v>
      </c>
      <c r="AD253" t="str">
        <v>11:06:10</v>
      </c>
      <c r="AE253">
        <f>IF("ONLINE"="NOGPS","GPS Antiguo","En línea")</f>
      </c>
      <c r="AF253">
        <f>IF(0=0,"Sin atender", IF(0=1,"Atendida","Atendida y Reportada"))</f>
      </c>
      <c r="AG253" t="str">
        <v/>
      </c>
      <c r="AH253" t="str">
        <v/>
      </c>
      <c r="AI253" t="str">
        <v/>
      </c>
      <c r="AJ253" t="str">
        <v/>
      </c>
      <c r="AK253" t="str">
        <v>01/10/2026 11:06:28</v>
      </c>
      <c r="AL253" t="str">
        <v>11:06:28</v>
      </c>
      <c r="AM253" t="str">
        <v/>
      </c>
    </row>
    <row r="254">
      <c r="A254">
        <v>253</v>
      </c>
      <c r="B254" t="str">
        <v>MASS BSF</v>
      </c>
      <c r="C254" t="str">
        <v>F8R-810</v>
      </c>
      <c r="D254" t="str">
        <v>F8R-810</v>
      </c>
      <c r="E254" t="str">
        <v/>
      </c>
      <c r="F254" t="str">
        <v>867806078868827</v>
      </c>
      <c r="G254" t="str">
        <v>TBD</v>
      </c>
      <c r="H254" t="str">
        <v/>
      </c>
      <c r="I254" t="str">
        <v/>
      </c>
      <c r="J254" t="str">
        <v>01/10/2026</v>
      </c>
      <c r="K254" t="str">
        <v>11:06:15</v>
      </c>
      <c r="L254">
        <v>-12.150434</v>
      </c>
      <c r="M254">
        <v>-76.98072</v>
      </c>
      <c r="N254">
        <f>HYPERLINK("https://www.google.com/maps/search/?api=1&amp;query=-12.150434,-76.98072","Avenida Los Héroes, San Juan de Miraflores, Lima")</f>
      </c>
      <c r="O254" t="str">
        <v>Bache</v>
      </c>
      <c r="P254" t="str">
        <v/>
      </c>
      <c r="Q254">
        <v>2103.4</v>
      </c>
      <c r="R254" t="str">
        <v/>
      </c>
      <c r="S254">
        <v>14</v>
      </c>
      <c r="T254">
        <v>81.52</v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>
        <v>86</v>
      </c>
      <c r="AC254" t="str">
        <v>01/10/2026</v>
      </c>
      <c r="AD254" t="str">
        <v>11:06:14</v>
      </c>
      <c r="AE254">
        <f>IF("ONLINE"="NOGPS","GPS Antiguo","En línea")</f>
      </c>
      <c r="AF254">
        <f>IF(0=0,"Sin atender", IF(0=1,"Atendida","Atendida y Reportada"))</f>
      </c>
      <c r="AG254" t="str">
        <v/>
      </c>
      <c r="AH254" t="str">
        <v/>
      </c>
      <c r="AI254" t="str">
        <v/>
      </c>
      <c r="AJ254" t="str">
        <v/>
      </c>
      <c r="AK254" t="str">
        <v>01/10/2026 11:06:31</v>
      </c>
      <c r="AL254" t="str">
        <v>11:06:31</v>
      </c>
      <c r="AM254" t="str">
        <v/>
      </c>
    </row>
    <row r="255">
      <c r="A255">
        <v>254</v>
      </c>
      <c r="B255" t="str">
        <v>MASS BSF</v>
      </c>
      <c r="C255" t="str">
        <v>F8R-810</v>
      </c>
      <c r="D255" t="str">
        <v>F8R-810</v>
      </c>
      <c r="E255" t="str">
        <v/>
      </c>
      <c r="F255" t="str">
        <v>867806078868827</v>
      </c>
      <c r="G255" t="str">
        <v>TBD</v>
      </c>
      <c r="H255" t="str">
        <v/>
      </c>
      <c r="I255" t="str">
        <v/>
      </c>
      <c r="J255" t="str">
        <v>01/10/2026</v>
      </c>
      <c r="K255" t="str">
        <v>11:06:29</v>
      </c>
      <c r="L255">
        <v>-12.150204</v>
      </c>
      <c r="M255">
        <v>-76.981544</v>
      </c>
      <c r="N255">
        <f>HYPERLINK("https://www.google.com/maps/search/?api=1&amp;query=-12.150204,-76.981544","Avenida Los Héroes, San Juan de Miraflores, Lima")</f>
      </c>
      <c r="O255" t="str">
        <v>Acelerado y giro brusco</v>
      </c>
      <c r="P255" t="str">
        <v/>
      </c>
      <c r="Q255">
        <v>2103.5</v>
      </c>
      <c r="R255" t="str">
        <v/>
      </c>
      <c r="S255">
        <v>28.8</v>
      </c>
      <c r="T255">
        <v>81.52</v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>
        <v>86</v>
      </c>
      <c r="AC255" t="str">
        <v>01/10/2026</v>
      </c>
      <c r="AD255" t="str">
        <v>11:06:28</v>
      </c>
      <c r="AE255">
        <f>IF("ONLINE"="NOGPS","GPS Antiguo","En línea")</f>
      </c>
      <c r="AF255">
        <f>IF(0=0,"Sin atender", IF(0=1,"Atendida","Atendida y Reportada"))</f>
      </c>
      <c r="AG255" t="str">
        <v/>
      </c>
      <c r="AH255" t="str">
        <v/>
      </c>
      <c r="AI255" t="str">
        <v/>
      </c>
      <c r="AJ255" t="str">
        <v/>
      </c>
      <c r="AK255" t="str">
        <v>01/10/2026 11:06:45</v>
      </c>
      <c r="AL255" t="str">
        <v>11:06:45</v>
      </c>
      <c r="AM255" t="str">
        <v/>
      </c>
    </row>
    <row r="256">
      <c r="A256">
        <v>255</v>
      </c>
      <c r="B256" t="str">
        <v>MASS BSF</v>
      </c>
      <c r="C256" t="str">
        <v>F8R-810</v>
      </c>
      <c r="D256" t="str">
        <v>F8R-810</v>
      </c>
      <c r="E256" t="str">
        <v/>
      </c>
      <c r="F256" t="str">
        <v>867806078868827</v>
      </c>
      <c r="G256" t="str">
        <v>TBD</v>
      </c>
      <c r="H256" t="str">
        <v/>
      </c>
      <c r="I256" t="str">
        <v/>
      </c>
      <c r="J256" t="str">
        <v>01/10/2026</v>
      </c>
      <c r="K256" t="str">
        <v>11:07:20</v>
      </c>
      <c r="L256">
        <v>-12.148623</v>
      </c>
      <c r="M256">
        <v>-76.983795</v>
      </c>
      <c r="N256">
        <f>HYPERLINK("https://www.google.com/maps/search/?api=1&amp;query=-12.148623,-76.983795","Jirón Morro Solar, Santiago de Surco, Lima")</f>
      </c>
      <c r="O256" t="str">
        <v>Aceleración brusca</v>
      </c>
      <c r="P256" t="str">
        <v>CMT-910</v>
      </c>
      <c r="Q256">
        <v>2103.8</v>
      </c>
      <c r="R256" t="str">
        <v/>
      </c>
      <c r="S256">
        <v>28.3</v>
      </c>
      <c r="T256">
        <v>81.52</v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>
        <v>93</v>
      </c>
      <c r="AC256" t="str">
        <v>01/10/2026</v>
      </c>
      <c r="AD256" t="str">
        <v>11:07:18</v>
      </c>
      <c r="AE256">
        <f>IF("ONLINE"="NOGPS","GPS Antiguo","En línea")</f>
      </c>
      <c r="AF256">
        <f>IF(0=0,"Sin atender", IF(0=1,"Atendida","Atendida y Reportada"))</f>
      </c>
      <c r="AG256" t="str">
        <v/>
      </c>
      <c r="AH256" t="str">
        <v/>
      </c>
      <c r="AI256" t="str">
        <v/>
      </c>
      <c r="AJ256" t="str">
        <v/>
      </c>
      <c r="AK256" t="str">
        <v>01/10/2026 11:07:38</v>
      </c>
      <c r="AL256" t="str">
        <v>11:07:38</v>
      </c>
      <c r="AM256" t="str">
        <v/>
      </c>
    </row>
    <row r="257">
      <c r="A257">
        <v>256</v>
      </c>
      <c r="B257" t="str">
        <v>MASS BSF</v>
      </c>
      <c r="C257" t="str">
        <v>F8R-810</v>
      </c>
      <c r="D257" t="str">
        <v>F8R-810</v>
      </c>
      <c r="E257" t="str">
        <v/>
      </c>
      <c r="F257" t="str">
        <v>867806078868827</v>
      </c>
      <c r="G257" t="str">
        <v>TBD</v>
      </c>
      <c r="H257" t="str">
        <v/>
      </c>
      <c r="I257" t="str">
        <v/>
      </c>
      <c r="J257" t="str">
        <v>01/10/2026</v>
      </c>
      <c r="K257" t="str">
        <v>11:07:33</v>
      </c>
      <c r="L257">
        <v>-12.148876</v>
      </c>
      <c r="M257">
        <v>-76.98318</v>
      </c>
      <c r="N257">
        <f>HYPERLINK("https://www.google.com/maps/search/?api=1&amp;query=-12.148876,-76.98318","Avenida Panamericana Sur, Santiago de Surco, Lima")</f>
      </c>
      <c r="O257" t="str">
        <v>Acelerado y giro brusco</v>
      </c>
      <c r="P257" t="str">
        <v/>
      </c>
      <c r="Q257">
        <v>2103.9</v>
      </c>
      <c r="R257" t="str">
        <v/>
      </c>
      <c r="S257">
        <v>16.8</v>
      </c>
      <c r="T257">
        <v>81.52</v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>
        <v>93</v>
      </c>
      <c r="AC257" t="str">
        <v>01/10/2026</v>
      </c>
      <c r="AD257" t="str">
        <v>11:07:31</v>
      </c>
      <c r="AE257">
        <f>IF("ONLINE"="NOGPS","GPS Antiguo","En línea")</f>
      </c>
      <c r="AF257">
        <f>IF(0=0,"Sin atender", IF(0=1,"Atendida","Atendida y Reportada"))</f>
      </c>
      <c r="AG257" t="str">
        <v/>
      </c>
      <c r="AH257" t="str">
        <v/>
      </c>
      <c r="AI257" t="str">
        <v/>
      </c>
      <c r="AJ257" t="str">
        <v/>
      </c>
      <c r="AK257" t="str">
        <v>01/10/2026 11:07:52</v>
      </c>
      <c r="AL257" t="str">
        <v>11:07:52</v>
      </c>
      <c r="AM257" t="str">
        <v/>
      </c>
    </row>
    <row r="258">
      <c r="A258">
        <v>257</v>
      </c>
      <c r="B258" t="str">
        <v>MASS BSF</v>
      </c>
      <c r="C258" t="str">
        <v>F8R-810</v>
      </c>
      <c r="D258" t="str">
        <v>F8R-810</v>
      </c>
      <c r="E258" t="str">
        <v/>
      </c>
      <c r="F258" t="str">
        <v>867806078868827</v>
      </c>
      <c r="G258" t="str">
        <v>TBD</v>
      </c>
      <c r="H258" t="str">
        <v/>
      </c>
      <c r="I258" t="str">
        <v/>
      </c>
      <c r="J258" t="str">
        <v>01/10/2026</v>
      </c>
      <c r="K258" t="str">
        <v>11:07:46</v>
      </c>
      <c r="L258">
        <v>-12.149729</v>
      </c>
      <c r="M258">
        <v>-76.98335</v>
      </c>
      <c r="N258">
        <f>HYPERLINK("https://www.google.com/maps/search/?api=1&amp;query=-12.149729,-76.98335","Avenida Panamericana Sur, Santiago de Surco, Lima")</f>
      </c>
      <c r="O258" t="str">
        <v>Acelerado y giro brusco</v>
      </c>
      <c r="P258" t="str">
        <v/>
      </c>
      <c r="Q258">
        <v>2104</v>
      </c>
      <c r="R258" t="str">
        <v/>
      </c>
      <c r="S258">
        <v>36.4</v>
      </c>
      <c r="T258">
        <v>81.52</v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>
        <v>92</v>
      </c>
      <c r="AC258" t="str">
        <v>01/10/2026</v>
      </c>
      <c r="AD258" t="str">
        <v>11:07:44</v>
      </c>
      <c r="AE258">
        <f>IF("ONLINE"="NOGPS","GPS Antiguo","En línea")</f>
      </c>
      <c r="AF258">
        <f>IF(0=0,"Sin atender", IF(0=1,"Atendida","Atendida y Reportada"))</f>
      </c>
      <c r="AG258" t="str">
        <v/>
      </c>
      <c r="AH258" t="str">
        <v/>
      </c>
      <c r="AI258" t="str">
        <v/>
      </c>
      <c r="AJ258" t="str">
        <v/>
      </c>
      <c r="AK258" t="str">
        <v>01/10/2026 11:07:58</v>
      </c>
      <c r="AL258" t="str">
        <v>11:07:58</v>
      </c>
      <c r="AM258" t="str">
        <v/>
      </c>
    </row>
    <row r="259">
      <c r="A259">
        <v>258</v>
      </c>
      <c r="B259" t="str">
        <v>MASS BSF</v>
      </c>
      <c r="C259" t="str">
        <v>F8R-810</v>
      </c>
      <c r="D259" t="str">
        <v>F8R-810</v>
      </c>
      <c r="E259" t="str">
        <v/>
      </c>
      <c r="F259" t="str">
        <v>867806078868827</v>
      </c>
      <c r="G259" t="str">
        <v>TBD</v>
      </c>
      <c r="H259" t="str">
        <v/>
      </c>
      <c r="I259" t="str">
        <v/>
      </c>
      <c r="J259" t="str">
        <v>01/10/2026</v>
      </c>
      <c r="K259" t="str">
        <v>11:08:36</v>
      </c>
      <c r="L259">
        <v>-12.151968</v>
      </c>
      <c r="M259">
        <v>-76.98383</v>
      </c>
      <c r="N259">
        <f>HYPERLINK("https://www.google.com/maps/search/?api=1&amp;query=-12.151968,-76.98383","Avenida Panamericana Sur, Santiago de Surco, Lima")</f>
      </c>
      <c r="O259" t="str">
        <v>Aceleración brusca</v>
      </c>
      <c r="P259" t="str">
        <v>CMT-910</v>
      </c>
      <c r="Q259">
        <v>2104.3</v>
      </c>
      <c r="R259" t="str">
        <v/>
      </c>
      <c r="S259">
        <v>27.5</v>
      </c>
      <c r="T259">
        <v>81.52</v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>
        <v>92</v>
      </c>
      <c r="AC259" t="str">
        <v>01/10/2026</v>
      </c>
      <c r="AD259" t="str">
        <v>11:08:35</v>
      </c>
      <c r="AE259">
        <f>IF("ONLINE"="NOGPS","GPS Antiguo","En línea")</f>
      </c>
      <c r="AF259">
        <f>IF(0=0,"Sin atender", IF(0=1,"Atendida","Atendida y Reportada"))</f>
      </c>
      <c r="AG259" t="str">
        <v/>
      </c>
      <c r="AH259" t="str">
        <v/>
      </c>
      <c r="AI259" t="str">
        <v/>
      </c>
      <c r="AJ259" t="str">
        <v/>
      </c>
      <c r="AK259" t="str">
        <v>01/10/2026 11:08:53</v>
      </c>
      <c r="AL259" t="str">
        <v>11:08:53</v>
      </c>
      <c r="AM259" t="str">
        <v/>
      </c>
    </row>
    <row r="260">
      <c r="A260">
        <v>259</v>
      </c>
      <c r="B260" t="str">
        <v>MASS BSF</v>
      </c>
      <c r="C260" t="str">
        <v>F8R-810</v>
      </c>
      <c r="D260" t="str">
        <v>F8R-810</v>
      </c>
      <c r="E260" t="str">
        <v/>
      </c>
      <c r="F260" t="str">
        <v>867806078868827</v>
      </c>
      <c r="G260" t="str">
        <v>TBD</v>
      </c>
      <c r="H260" t="str">
        <v/>
      </c>
      <c r="I260" t="str">
        <v/>
      </c>
      <c r="J260" t="str">
        <v>01/10/2026</v>
      </c>
      <c r="K260" t="str">
        <v>11:08:55</v>
      </c>
      <c r="L260">
        <v>-12.152819</v>
      </c>
      <c r="M260">
        <v>-76.98394</v>
      </c>
      <c r="N260">
        <f>HYPERLINK("https://www.google.com/maps/search/?api=1&amp;query=-12.152819,-76.98394","Avenida Panamericana Sur, Santiago de Surco, Lima")</f>
      </c>
      <c r="O260" t="str">
        <v>Acelerado y giro brusco</v>
      </c>
      <c r="P260" t="str">
        <v/>
      </c>
      <c r="Q260">
        <v>2104.4</v>
      </c>
      <c r="R260" t="str">
        <v/>
      </c>
      <c r="S260">
        <v>15</v>
      </c>
      <c r="T260">
        <v>81.52</v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>
        <v>88</v>
      </c>
      <c r="AC260" t="str">
        <v>01/10/2026</v>
      </c>
      <c r="AD260" t="str">
        <v>11:08:54</v>
      </c>
      <c r="AE260">
        <f>IF("ONLINE"="NOGPS","GPS Antiguo","En línea")</f>
      </c>
      <c r="AF260">
        <f>IF(0=0,"Sin atender", IF(0=1,"Atendida","Atendida y Reportada"))</f>
      </c>
      <c r="AG260" t="str">
        <v/>
      </c>
      <c r="AH260" t="str">
        <v/>
      </c>
      <c r="AI260" t="str">
        <v/>
      </c>
      <c r="AJ260" t="str">
        <v/>
      </c>
      <c r="AK260" t="str">
        <v>01/10/2026 11:09:15</v>
      </c>
      <c r="AL260" t="str">
        <v>11:09:15</v>
      </c>
      <c r="AM260" t="str">
        <v/>
      </c>
    </row>
    <row r="261">
      <c r="A261">
        <v>260</v>
      </c>
      <c r="B261" t="str">
        <v>MASS BSF</v>
      </c>
      <c r="C261" t="str">
        <v>F8R-810</v>
      </c>
      <c r="D261" t="str">
        <v>F8R-810</v>
      </c>
      <c r="E261" t="str">
        <v/>
      </c>
      <c r="F261" t="str">
        <v>867806078868827</v>
      </c>
      <c r="G261" t="str">
        <v>TBD</v>
      </c>
      <c r="H261" t="str">
        <v/>
      </c>
      <c r="I261" t="str">
        <v/>
      </c>
      <c r="J261" t="str">
        <v>01/10/2026</v>
      </c>
      <c r="K261" t="str">
        <v>11:10:15</v>
      </c>
      <c r="L261">
        <v>-12.159946</v>
      </c>
      <c r="M261">
        <v>-76.98245</v>
      </c>
      <c r="N261">
        <f>HYPERLINK("https://www.google.com/maps/search/?api=1&amp;query=-12.159946,-76.98245","Avenida Panamericana Sur, San Juan de Miraflores, Lima")</f>
      </c>
      <c r="O261" t="str">
        <v>Aceleración brusca</v>
      </c>
      <c r="P261" t="str">
        <v>CMT-910</v>
      </c>
      <c r="Q261">
        <v>2105.2</v>
      </c>
      <c r="R261" t="str">
        <v/>
      </c>
      <c r="S261">
        <v>41.4</v>
      </c>
      <c r="T261">
        <v>81.52</v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>
        <v>88</v>
      </c>
      <c r="AC261" t="str">
        <v>01/10/2026</v>
      </c>
      <c r="AD261" t="str">
        <v>11:10:14</v>
      </c>
      <c r="AE261">
        <f>IF("ONLINE"="NOGPS","GPS Antiguo","En línea")</f>
      </c>
      <c r="AF261">
        <f>IF(0=0,"Sin atender", IF(0=1,"Atendida","Atendida y Reportada"))</f>
      </c>
      <c r="AG261" t="str">
        <v/>
      </c>
      <c r="AH261" t="str">
        <v/>
      </c>
      <c r="AI261" t="str">
        <v/>
      </c>
      <c r="AJ261" t="str">
        <v/>
      </c>
      <c r="AK261" t="str">
        <v>01/10/2026 11:10:40</v>
      </c>
      <c r="AL261" t="str">
        <v>11:10:40</v>
      </c>
      <c r="AM261" t="str">
        <v/>
      </c>
    </row>
    <row r="262">
      <c r="A262">
        <v>261</v>
      </c>
      <c r="B262" t="str">
        <v>MASS BSF</v>
      </c>
      <c r="C262" t="str">
        <v>F8R-810</v>
      </c>
      <c r="D262" t="str">
        <v>F8R-810</v>
      </c>
      <c r="E262" t="str">
        <v/>
      </c>
      <c r="F262" t="str">
        <v>867806078868827</v>
      </c>
      <c r="G262" t="str">
        <v>TBD</v>
      </c>
      <c r="H262" t="str">
        <v/>
      </c>
      <c r="I262" t="str">
        <v/>
      </c>
      <c r="J262" t="str">
        <v>01/10/2026</v>
      </c>
      <c r="K262" t="str">
        <v>11:11:00</v>
      </c>
      <c r="L262">
        <v>-12.165377</v>
      </c>
      <c r="M262">
        <v>-76.98085</v>
      </c>
      <c r="N262">
        <f>HYPERLINK("https://www.google.com/maps/search/?api=1&amp;query=-12.165377,-76.98085","Avenida Panamericana Sur, San Juan de Miraflores, Lima")</f>
      </c>
      <c r="O262" t="str">
        <v>Acelerado y giro brusco</v>
      </c>
      <c r="P262" t="str">
        <v/>
      </c>
      <c r="Q262">
        <v>2105.8</v>
      </c>
      <c r="R262" t="str">
        <v/>
      </c>
      <c r="S262">
        <v>48.1</v>
      </c>
      <c r="T262">
        <v>81.52</v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>
        <v>85</v>
      </c>
      <c r="AC262" t="str">
        <v>01/10/2026</v>
      </c>
      <c r="AD262" t="str">
        <v>11:10:59</v>
      </c>
      <c r="AE262">
        <f>IF("ONLINE"="NOGPS","GPS Antiguo","En línea")</f>
      </c>
      <c r="AF262">
        <f>IF(0=0,"Sin atender", IF(0=1,"Atendida","Atendida y Reportada"))</f>
      </c>
      <c r="AG262" t="str">
        <v/>
      </c>
      <c r="AH262" t="str">
        <v/>
      </c>
      <c r="AI262" t="str">
        <v/>
      </c>
      <c r="AJ262" t="str">
        <v/>
      </c>
      <c r="AK262" t="str">
        <v>01/10/2026 11:11:17</v>
      </c>
      <c r="AL262" t="str">
        <v>11:11:17</v>
      </c>
      <c r="AM262" t="str">
        <v/>
      </c>
    </row>
    <row r="263">
      <c r="A263">
        <v>262</v>
      </c>
      <c r="B263" t="str">
        <v>MASS BSF</v>
      </c>
      <c r="C263" t="str">
        <v>F8R-810</v>
      </c>
      <c r="D263" t="str">
        <v>F8R-810</v>
      </c>
      <c r="E263" t="str">
        <v/>
      </c>
      <c r="F263" t="str">
        <v>867806078868827</v>
      </c>
      <c r="G263" t="str">
        <v>TBD</v>
      </c>
      <c r="H263" t="str">
        <v/>
      </c>
      <c r="I263" t="str">
        <v/>
      </c>
      <c r="J263" t="str">
        <v>01/10/2026</v>
      </c>
      <c r="K263" t="str">
        <v>11:11:52</v>
      </c>
      <c r="L263">
        <v>-12.170927</v>
      </c>
      <c r="M263">
        <v>-76.97922</v>
      </c>
      <c r="N263">
        <f>HYPERLINK("https://www.google.com/maps/search/?api=1&amp;query=-12.170927,-76.97922","Avenida Panamericana Sur, San Juan de Miraflores, Lima")</f>
      </c>
      <c r="O263" t="str">
        <v>Acelerado y giro brusco</v>
      </c>
      <c r="P263" t="str">
        <v/>
      </c>
      <c r="Q263">
        <v>2106.4</v>
      </c>
      <c r="R263" t="str">
        <v/>
      </c>
      <c r="S263">
        <v>41.8</v>
      </c>
      <c r="T263">
        <v>81.52</v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>
        <v>85</v>
      </c>
      <c r="AC263" t="str">
        <v>01/10/2026</v>
      </c>
      <c r="AD263" t="str">
        <v>11:11:51</v>
      </c>
      <c r="AE263">
        <f>IF("ONLINE"="NOGPS","GPS Antiguo","En línea")</f>
      </c>
      <c r="AF263">
        <f>IF(0=0,"Sin atender", IF(0=1,"Atendida","Atendida y Reportada"))</f>
      </c>
      <c r="AG263" t="str">
        <v/>
      </c>
      <c r="AH263" t="str">
        <v/>
      </c>
      <c r="AI263" t="str">
        <v/>
      </c>
      <c r="AJ263" t="str">
        <v/>
      </c>
      <c r="AK263" t="str">
        <v>01/10/2026 11:12:15</v>
      </c>
      <c r="AL263" t="str">
        <v>11:12:15</v>
      </c>
      <c r="AM263" t="str">
        <v/>
      </c>
    </row>
    <row r="264">
      <c r="A264">
        <v>263</v>
      </c>
      <c r="B264" t="str">
        <v>MASS BSF</v>
      </c>
      <c r="C264" t="str">
        <v>F8R-810</v>
      </c>
      <c r="D264" t="str">
        <v>F8R-810</v>
      </c>
      <c r="E264" t="str">
        <v/>
      </c>
      <c r="F264" t="str">
        <v>867806078868827</v>
      </c>
      <c r="G264" t="str">
        <v>TBD</v>
      </c>
      <c r="H264" t="str">
        <v/>
      </c>
      <c r="I264" t="str">
        <v/>
      </c>
      <c r="J264" t="str">
        <v>01/10/2026</v>
      </c>
      <c r="K264" t="str">
        <v>11:12:46</v>
      </c>
      <c r="L264">
        <v>-12.174163</v>
      </c>
      <c r="M264">
        <v>-76.9782</v>
      </c>
      <c r="N264">
        <f>HYPERLINK("https://www.google.com/maps/search/?api=1&amp;query=-12.174163,-76.9782","Avenida Panamericana Sur, San Juan de Miraflores, Lima")</f>
      </c>
      <c r="O264" t="str">
        <v>Aceleración brusca</v>
      </c>
      <c r="P264" t="str">
        <v>CMT-910</v>
      </c>
      <c r="Q264">
        <v>2106.8</v>
      </c>
      <c r="R264" t="str">
        <v/>
      </c>
      <c r="S264">
        <v>41.8</v>
      </c>
      <c r="T264">
        <v>81.52</v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>
        <v>85</v>
      </c>
      <c r="AC264" t="str">
        <v>01/10/2026</v>
      </c>
      <c r="AD264" t="str">
        <v>11:12:44</v>
      </c>
      <c r="AE264">
        <f>IF("ONLINE"="NOGPS","GPS Antiguo","En línea")</f>
      </c>
      <c r="AF264">
        <f>IF(0=0,"Sin atender", IF(0=1,"Atendida","Atendida y Reportada"))</f>
      </c>
      <c r="AG264" t="str">
        <v/>
      </c>
      <c r="AH264" t="str">
        <v/>
      </c>
      <c r="AI264" t="str">
        <v/>
      </c>
      <c r="AJ264" t="str">
        <v/>
      </c>
      <c r="AK264" t="str">
        <v>01/10/2026 11:13:20</v>
      </c>
      <c r="AL264" t="str">
        <v>11:13:20</v>
      </c>
      <c r="AM264" t="str">
        <v/>
      </c>
    </row>
    <row r="265">
      <c r="A265">
        <v>264</v>
      </c>
      <c r="B265" t="str">
        <v>MASS BSF</v>
      </c>
      <c r="C265" t="str">
        <v>F8R-810</v>
      </c>
      <c r="D265" t="str">
        <v>F8R-810</v>
      </c>
      <c r="E265" t="str">
        <v/>
      </c>
      <c r="F265" t="str">
        <v>867806078868827</v>
      </c>
      <c r="G265" t="str">
        <v>TBD</v>
      </c>
      <c r="H265" t="str">
        <v/>
      </c>
      <c r="I265" t="str">
        <v/>
      </c>
      <c r="J265" t="str">
        <v>01/10/2026</v>
      </c>
      <c r="K265" t="str">
        <v>11:12:49</v>
      </c>
      <c r="L265">
        <v>-12.174597</v>
      </c>
      <c r="M265">
        <v>-76.97808</v>
      </c>
      <c r="N265">
        <f>HYPERLINK("https://www.google.com/maps/search/?api=1&amp;query=-12.174597,-76.97808","Avenida Panamericana Sur, San Juan de Miraflores, Lima")</f>
      </c>
      <c r="O265" t="str">
        <v>Acelerado y giro brusco</v>
      </c>
      <c r="P265" t="str">
        <v/>
      </c>
      <c r="Q265">
        <v>2106.8</v>
      </c>
      <c r="R265" t="str">
        <v/>
      </c>
      <c r="S265">
        <v>48.8</v>
      </c>
      <c r="T265">
        <v>81.52</v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>
        <v>85</v>
      </c>
      <c r="AC265" t="str">
        <v>01/10/2026</v>
      </c>
      <c r="AD265" t="str">
        <v>11:12:48</v>
      </c>
      <c r="AE265">
        <f>IF("ONLINE"="NOGPS","GPS Antiguo","En línea")</f>
      </c>
      <c r="AF265">
        <f>IF(0=0,"Sin atender", IF(0=1,"Atendida","Atendida y Reportada"))</f>
      </c>
      <c r="AG265" t="str">
        <v/>
      </c>
      <c r="AH265" t="str">
        <v/>
      </c>
      <c r="AI265" t="str">
        <v/>
      </c>
      <c r="AJ265" t="str">
        <v/>
      </c>
      <c r="AK265" t="str">
        <v>01/10/2026 11:13:21</v>
      </c>
      <c r="AL265" t="str">
        <v>11:13:21</v>
      </c>
      <c r="AM265" t="str">
        <v/>
      </c>
    </row>
    <row r="266">
      <c r="A266">
        <v>265</v>
      </c>
      <c r="B266" t="str">
        <v>MASS BSF</v>
      </c>
      <c r="C266" t="str">
        <v>F8R-810</v>
      </c>
      <c r="D266" t="str">
        <v>F8R-810</v>
      </c>
      <c r="E266" t="str">
        <v/>
      </c>
      <c r="F266" t="str">
        <v>867806078868827</v>
      </c>
      <c r="G266" t="str">
        <v>TBD</v>
      </c>
      <c r="H266" t="str">
        <v/>
      </c>
      <c r="I266" t="str">
        <v/>
      </c>
      <c r="J266" t="str">
        <v>01/10/2026</v>
      </c>
      <c r="K266" t="str">
        <v>11:12:55</v>
      </c>
      <c r="L266">
        <v>-12.175201</v>
      </c>
      <c r="M266">
        <v>-76.97789</v>
      </c>
      <c r="N266">
        <f>HYPERLINK("https://www.google.com/maps/search/?api=1&amp;query=-12.175201,-76.97789","Avenida Panamericana Sur, San Juan de Miraflores, Lima")</f>
      </c>
      <c r="O266" t="str">
        <v>Aceleración brusca</v>
      </c>
      <c r="P266" t="str">
        <v>CMT-910</v>
      </c>
      <c r="Q266">
        <v>2106.9</v>
      </c>
      <c r="R266" t="str">
        <v/>
      </c>
      <c r="S266">
        <v>52.9</v>
      </c>
      <c r="T266">
        <v>81.52</v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>
        <v>85</v>
      </c>
      <c r="AC266" t="str">
        <v>01/10/2026</v>
      </c>
      <c r="AD266" t="str">
        <v>11:12:53</v>
      </c>
      <c r="AE266">
        <f>IF("ONLINE"="NOGPS","GPS Antiguo","En línea")</f>
      </c>
      <c r="AF266">
        <f>IF(0=0,"Sin atender", IF(0=1,"Atendida","Atendida y Reportada"))</f>
      </c>
      <c r="AG266" t="str">
        <v/>
      </c>
      <c r="AH266" t="str">
        <v/>
      </c>
      <c r="AI266" t="str">
        <v/>
      </c>
      <c r="AJ266" t="str">
        <v/>
      </c>
      <c r="AK266" t="str">
        <v>01/10/2026 11:13:06</v>
      </c>
      <c r="AL266" t="str">
        <v>11:13:06</v>
      </c>
      <c r="AM266" t="str">
        <v/>
      </c>
    </row>
    <row r="267">
      <c r="A267">
        <v>266</v>
      </c>
      <c r="B267" t="str">
        <v>MASS BSF</v>
      </c>
      <c r="C267" t="str">
        <v>F8R-810</v>
      </c>
      <c r="D267" t="str">
        <v>F8R-810</v>
      </c>
      <c r="E267" t="str">
        <v/>
      </c>
      <c r="F267" t="str">
        <v>867806078868827</v>
      </c>
      <c r="G267" t="str">
        <v>TBD</v>
      </c>
      <c r="H267" t="str">
        <v/>
      </c>
      <c r="I267" t="str">
        <v/>
      </c>
      <c r="J267" t="str">
        <v>01/10/2026</v>
      </c>
      <c r="K267" t="str">
        <v>11:13:54</v>
      </c>
      <c r="L267">
        <v>-12.183495</v>
      </c>
      <c r="M267">
        <v>-76.97522</v>
      </c>
      <c r="N267">
        <f>HYPERLINK("https://www.google.com/maps/search/?api=1&amp;query=-12.183495,-76.97522","Avenida Panamericana Sur, San Juan de Miraflores, Lima")</f>
      </c>
      <c r="O267" t="str">
        <v>Aceleración brusca</v>
      </c>
      <c r="P267" t="str">
        <v>CMT-910</v>
      </c>
      <c r="Q267">
        <v>2107.9</v>
      </c>
      <c r="R267" t="str">
        <v/>
      </c>
      <c r="S267">
        <v>59</v>
      </c>
      <c r="T267">
        <v>81.52</v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>
        <v>85</v>
      </c>
      <c r="AC267" t="str">
        <v>01/10/2026</v>
      </c>
      <c r="AD267" t="str">
        <v>11:13:53</v>
      </c>
      <c r="AE267">
        <f>IF("ONLINE"="NOGPS","GPS Antiguo","En línea")</f>
      </c>
      <c r="AF267">
        <f>IF(0=0,"Sin atender", IF(0=1,"Atendida","Atendida y Reportada"))</f>
      </c>
      <c r="AG267" t="str">
        <v/>
      </c>
      <c r="AH267" t="str">
        <v/>
      </c>
      <c r="AI267" t="str">
        <v/>
      </c>
      <c r="AJ267" t="str">
        <v/>
      </c>
      <c r="AK267" t="str">
        <v>01/10/2026 11:14:08</v>
      </c>
      <c r="AL267" t="str">
        <v>11:14:08</v>
      </c>
      <c r="AM267" t="str">
        <v/>
      </c>
    </row>
    <row r="268">
      <c r="A268">
        <v>267</v>
      </c>
      <c r="B268" t="str">
        <v>MASS BSF</v>
      </c>
      <c r="C268" t="str">
        <v>F8R-810</v>
      </c>
      <c r="D268" t="str">
        <v>F8R-810</v>
      </c>
      <c r="E268" t="str">
        <v/>
      </c>
      <c r="F268" t="str">
        <v>867806078868827</v>
      </c>
      <c r="G268" t="str">
        <v>TBD</v>
      </c>
      <c r="H268" t="str">
        <v/>
      </c>
      <c r="I268" t="str">
        <v/>
      </c>
      <c r="J268" t="str">
        <v>01/10/2026</v>
      </c>
      <c r="K268" t="str">
        <v>11:14:44</v>
      </c>
      <c r="L268">
        <v>-12.189915</v>
      </c>
      <c r="M268">
        <v>-76.97318</v>
      </c>
      <c r="N268">
        <f>HYPERLINK("https://www.google.com/maps/search/?api=1&amp;query=-12.189915,-76.97318","Carretera Panamericana Sur, San Juan de Miraflores, Lima")</f>
      </c>
      <c r="O268" t="str">
        <v>Aceleración brusca</v>
      </c>
      <c r="P268" t="str">
        <v>CMT-910</v>
      </c>
      <c r="Q268">
        <v>2108.6</v>
      </c>
      <c r="R268" t="str">
        <v/>
      </c>
      <c r="S268">
        <v>56.1</v>
      </c>
      <c r="T268">
        <v>81.52</v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>
        <v>85</v>
      </c>
      <c r="AC268" t="str">
        <v>01/10/2026</v>
      </c>
      <c r="AD268" t="str">
        <v>11:14:43</v>
      </c>
      <c r="AE268">
        <f>IF("ONLINE"="NOGPS","GPS Antiguo","En línea")</f>
      </c>
      <c r="AF268">
        <f>IF(0=0,"Sin atender", IF(0=1,"Atendida","Atendida y Reportada"))</f>
      </c>
      <c r="AG268" t="str">
        <v/>
      </c>
      <c r="AH268" t="str">
        <v/>
      </c>
      <c r="AI268" t="str">
        <v/>
      </c>
      <c r="AJ268" t="str">
        <v/>
      </c>
      <c r="AK268" t="str">
        <v>01/10/2026 11:15:01</v>
      </c>
      <c r="AL268" t="str">
        <v>11:15:01</v>
      </c>
      <c r="AM268" t="str">
        <v/>
      </c>
    </row>
    <row r="269">
      <c r="A269">
        <v>268</v>
      </c>
      <c r="B269" t="str">
        <v>MASS BSF</v>
      </c>
      <c r="C269" t="str">
        <v>F8R-810</v>
      </c>
      <c r="D269" t="str">
        <v>F8R-810</v>
      </c>
      <c r="E269" t="str">
        <v/>
      </c>
      <c r="F269" t="str">
        <v>867806078868827</v>
      </c>
      <c r="G269" t="str">
        <v>TBD</v>
      </c>
      <c r="H269" t="str">
        <v/>
      </c>
      <c r="I269" t="str">
        <v/>
      </c>
      <c r="J269" t="str">
        <v>01/10/2026</v>
      </c>
      <c r="K269" t="str">
        <v>11:15:25</v>
      </c>
      <c r="L269">
        <v>-12.195703</v>
      </c>
      <c r="M269">
        <v>-76.973</v>
      </c>
      <c r="N269">
        <f>HYPERLINK("https://www.google.com/maps/search/?api=1&amp;query=-12.195703,-76.973","Carretera Panamericana Sur, Villa El Salvador, Lima")</f>
      </c>
      <c r="O269" t="str">
        <v>Aceleración brusca</v>
      </c>
      <c r="P269" t="str">
        <v>CMT-910</v>
      </c>
      <c r="Q269">
        <v>2109.3</v>
      </c>
      <c r="R269" t="str">
        <v/>
      </c>
      <c r="S269">
        <v>54</v>
      </c>
      <c r="T269">
        <v>81.52</v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>
        <v>85</v>
      </c>
      <c r="AC269" t="str">
        <v>01/10/2026</v>
      </c>
      <c r="AD269" t="str">
        <v>11:15:24</v>
      </c>
      <c r="AE269">
        <f>IF("ONLINE"="NOGPS","GPS Antiguo","En línea")</f>
      </c>
      <c r="AF269">
        <f>IF(0=0,"Sin atender", IF(0=1,"Atendida","Atendida y Reportada"))</f>
      </c>
      <c r="AG269" t="str">
        <v/>
      </c>
      <c r="AH269" t="str">
        <v/>
      </c>
      <c r="AI269" t="str">
        <v/>
      </c>
      <c r="AJ269" t="str">
        <v/>
      </c>
      <c r="AK269" t="str">
        <v>01/10/2026 11:15:52</v>
      </c>
      <c r="AL269" t="str">
        <v>11:15:52</v>
      </c>
      <c r="AM269" t="str">
        <v/>
      </c>
    </row>
    <row r="270">
      <c r="A270">
        <v>269</v>
      </c>
      <c r="B270" t="str">
        <v>MASS BSF</v>
      </c>
      <c r="C270" t="str">
        <v>F8R-810</v>
      </c>
      <c r="D270" t="str">
        <v>F8R-810</v>
      </c>
      <c r="E270" t="str">
        <v/>
      </c>
      <c r="F270" t="str">
        <v>867806078868827</v>
      </c>
      <c r="G270" t="str">
        <v>TBD</v>
      </c>
      <c r="H270" t="str">
        <v/>
      </c>
      <c r="I270" t="str">
        <v/>
      </c>
      <c r="J270" t="str">
        <v>01/10/2026</v>
      </c>
      <c r="K270" t="str">
        <v>11:18:04</v>
      </c>
      <c r="L270">
        <v>-12.218966</v>
      </c>
      <c r="M270">
        <v>-76.97702</v>
      </c>
      <c r="N270">
        <f>HYPERLINK("https://www.google.com/maps/search/?api=1&amp;query=-12.218966,-76.97702","Carretera Panamericana Sur, Villa El Salvador, Lima")</f>
      </c>
      <c r="O270" t="str">
        <v>Acelerado y giro brusco</v>
      </c>
      <c r="P270" t="str">
        <v/>
      </c>
      <c r="Q270">
        <v>2111.9</v>
      </c>
      <c r="R270" t="str">
        <v/>
      </c>
      <c r="S270">
        <v>59.4</v>
      </c>
      <c r="T270">
        <v>81.52</v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>
        <v>85</v>
      </c>
      <c r="AC270" t="str">
        <v>01/10/2026</v>
      </c>
      <c r="AD270" t="str">
        <v>11:18:03</v>
      </c>
      <c r="AE270">
        <f>IF("ONLINE"="NOGPS","GPS Antiguo","En línea")</f>
      </c>
      <c r="AF270">
        <f>IF(0=0,"Sin atender", IF(0=1,"Atendida","Atendida y Reportada"))</f>
      </c>
      <c r="AG270" t="str">
        <v/>
      </c>
      <c r="AH270" t="str">
        <v/>
      </c>
      <c r="AI270" t="str">
        <v/>
      </c>
      <c r="AJ270" t="str">
        <v/>
      </c>
      <c r="AK270" t="str">
        <v>01/10/2026 11:18:19</v>
      </c>
      <c r="AL270" t="str">
        <v>11:18:19</v>
      </c>
      <c r="AM270" t="str">
        <v/>
      </c>
    </row>
    <row r="271">
      <c r="A271">
        <v>270</v>
      </c>
      <c r="B271" t="str">
        <v>MASS BSF</v>
      </c>
      <c r="C271" t="str">
        <v>F8R-810</v>
      </c>
      <c r="D271" t="str">
        <v>F8R-810</v>
      </c>
      <c r="E271" t="str">
        <v/>
      </c>
      <c r="F271" t="str">
        <v>867806078868827</v>
      </c>
      <c r="G271" t="str">
        <v>TBD</v>
      </c>
      <c r="H271" t="str">
        <v/>
      </c>
      <c r="I271" t="str">
        <v/>
      </c>
      <c r="J271" t="str">
        <v>01/10/2026</v>
      </c>
      <c r="K271" t="str">
        <v>11:19:15</v>
      </c>
      <c r="L271">
        <v>-12.226151</v>
      </c>
      <c r="M271">
        <v>-76.97109</v>
      </c>
      <c r="N271">
        <f>HYPERLINK("https://www.google.com/maps/search/?api=1&amp;query=-12.226151,-76.97109","Carretera Panamericana Sur, Villa El Salvador, Lima")</f>
      </c>
      <c r="O271" t="str">
        <v>Acelerado y giro brusco</v>
      </c>
      <c r="P271" t="str">
        <v/>
      </c>
      <c r="Q271">
        <v>2112.9</v>
      </c>
      <c r="R271" t="str">
        <v/>
      </c>
      <c r="S271">
        <v>30.9</v>
      </c>
      <c r="T271">
        <v>81.52</v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>
        <v>85</v>
      </c>
      <c r="AC271" t="str">
        <v>01/10/2026</v>
      </c>
      <c r="AD271" t="str">
        <v>11:19:13</v>
      </c>
      <c r="AE271">
        <f>IF("ONLINE"="NOGPS","GPS Antiguo","En línea")</f>
      </c>
      <c r="AF271">
        <f>IF(0=0,"Sin atender", IF(0=1,"Atendida","Atendida y Reportada"))</f>
      </c>
      <c r="AG271" t="str">
        <v/>
      </c>
      <c r="AH271" t="str">
        <v/>
      </c>
      <c r="AI271" t="str">
        <v/>
      </c>
      <c r="AJ271" t="str">
        <v/>
      </c>
      <c r="AK271" t="str">
        <v>01/10/2026 11:19:24</v>
      </c>
      <c r="AL271" t="str">
        <v>11:19:24</v>
      </c>
      <c r="AM271" t="str">
        <v/>
      </c>
    </row>
    <row r="272">
      <c r="A272">
        <v>271</v>
      </c>
      <c r="B272" t="str">
        <v>MASS BSF</v>
      </c>
      <c r="C272" t="str">
        <v>F8R-810</v>
      </c>
      <c r="D272" t="str">
        <v>F8R-810</v>
      </c>
      <c r="E272" t="str">
        <v/>
      </c>
      <c r="F272" t="str">
        <v>867806078868827</v>
      </c>
      <c r="G272" t="str">
        <v>TBD</v>
      </c>
      <c r="H272" t="str">
        <v/>
      </c>
      <c r="I272" t="str">
        <v/>
      </c>
      <c r="J272" t="str">
        <v>01/10/2026</v>
      </c>
      <c r="K272" t="str">
        <v>11:19:27</v>
      </c>
      <c r="L272">
        <v>-12.226705</v>
      </c>
      <c r="M272">
        <v>-76.970535</v>
      </c>
      <c r="N272">
        <f>HYPERLINK("https://www.google.com/maps/search/?api=1&amp;query=-12.226705,-76.970535","Carretera Panamericana Sur, Villa El Salvador, Lima")</f>
      </c>
      <c r="O272" t="str">
        <v>Aceleración brusca</v>
      </c>
      <c r="P272" t="str">
        <v>CMT-910</v>
      </c>
      <c r="Q272">
        <v>2113</v>
      </c>
      <c r="R272" t="str">
        <v/>
      </c>
      <c r="S272">
        <v>22</v>
      </c>
      <c r="T272">
        <v>81.52</v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>
        <v>85</v>
      </c>
      <c r="AC272" t="str">
        <v>01/10/2026</v>
      </c>
      <c r="AD272" t="str">
        <v>11:19:25</v>
      </c>
      <c r="AE272">
        <f>IF("ONLINE"="NOGPS","GPS Antiguo","En línea")</f>
      </c>
      <c r="AF272">
        <f>IF(0=0,"Sin atender", IF(0=1,"Atendida","Atendida y Reportada"))</f>
      </c>
      <c r="AG272" t="str">
        <v/>
      </c>
      <c r="AH272" t="str">
        <v/>
      </c>
      <c r="AI272" t="str">
        <v/>
      </c>
      <c r="AJ272" t="str">
        <v/>
      </c>
      <c r="AK272" t="str">
        <v>01/10/2026 11:19:41</v>
      </c>
      <c r="AL272" t="str">
        <v>11:19:41</v>
      </c>
      <c r="AM272" t="str">
        <v/>
      </c>
    </row>
    <row r="273">
      <c r="A273">
        <v>272</v>
      </c>
      <c r="B273" t="str">
        <v>MASS BSF</v>
      </c>
      <c r="C273" t="str">
        <v>F8R-810</v>
      </c>
      <c r="D273" t="str">
        <v>F8R-810</v>
      </c>
      <c r="E273" t="str">
        <v/>
      </c>
      <c r="F273" t="str">
        <v>867806078868827</v>
      </c>
      <c r="G273" t="str">
        <v>TBD</v>
      </c>
      <c r="H273" t="str">
        <v/>
      </c>
      <c r="I273" t="str">
        <v/>
      </c>
      <c r="J273" t="str">
        <v>01/10/2026</v>
      </c>
      <c r="K273" t="str">
        <v>11:19:31</v>
      </c>
      <c r="L273">
        <v>-12.226905</v>
      </c>
      <c r="M273">
        <v>-76.97034</v>
      </c>
      <c r="N273">
        <f>HYPERLINK("https://www.google.com/maps/search/?api=1&amp;query=-12.226905,-76.97034","Carretera Panamericana Sur, Villa El Salvador, Lima")</f>
      </c>
      <c r="O273" t="str">
        <v>Acelerado y giro brusco</v>
      </c>
      <c r="P273" t="str">
        <v/>
      </c>
      <c r="Q273">
        <v>2113</v>
      </c>
      <c r="R273" t="str">
        <v/>
      </c>
      <c r="S273">
        <v>25.3</v>
      </c>
      <c r="T273">
        <v>81.52</v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>
        <v>85</v>
      </c>
      <c r="AC273" t="str">
        <v>01/10/2026</v>
      </c>
      <c r="AD273" t="str">
        <v>11:19:30</v>
      </c>
      <c r="AE273">
        <f>IF("ONLINE"="NOGPS","GPS Antiguo","En línea")</f>
      </c>
      <c r="AF273">
        <f>IF(0=0,"Sin atender", IF(0=1,"Atendida","Atendida y Reportada"))</f>
      </c>
      <c r="AG273" t="str">
        <v/>
      </c>
      <c r="AH273" t="str">
        <v/>
      </c>
      <c r="AI273" t="str">
        <v/>
      </c>
      <c r="AJ273" t="str">
        <v/>
      </c>
      <c r="AK273" t="str">
        <v>01/10/2026 11:19:48</v>
      </c>
      <c r="AL273" t="str">
        <v>11:19:48</v>
      </c>
      <c r="AM273" t="str">
        <v/>
      </c>
    </row>
    <row r="274">
      <c r="A274">
        <v>273</v>
      </c>
      <c r="B274" t="str">
        <v>MASS BSF</v>
      </c>
      <c r="C274" t="str">
        <v>F8R-810</v>
      </c>
      <c r="D274" t="str">
        <v>F8R-810</v>
      </c>
      <c r="E274" t="str">
        <v/>
      </c>
      <c r="F274" t="str">
        <v>867806078868827</v>
      </c>
      <c r="G274" t="str">
        <v>TBD</v>
      </c>
      <c r="H274" t="str">
        <v/>
      </c>
      <c r="I274" t="str">
        <v/>
      </c>
      <c r="J274" t="str">
        <v>01/10/2026</v>
      </c>
      <c r="K274" t="str">
        <v>11:19:57</v>
      </c>
      <c r="L274">
        <v>-12.228474</v>
      </c>
      <c r="M274">
        <v>-76.9688</v>
      </c>
      <c r="N274">
        <f>HYPERLINK("https://www.google.com/maps/search/?api=1&amp;query=-12.228474,-76.9688","Carretera Panamericana Sur, Villa El Salvador, Lima")</f>
      </c>
      <c r="O274" t="str">
        <v>Aceleración brusca</v>
      </c>
      <c r="P274" t="str">
        <v>CMT-910</v>
      </c>
      <c r="Q274">
        <v>2113.3</v>
      </c>
      <c r="R274" t="str">
        <v/>
      </c>
      <c r="S274">
        <v>42.2</v>
      </c>
      <c r="T274">
        <v>81.52</v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>
        <v>85</v>
      </c>
      <c r="AC274" t="str">
        <v>01/10/2026</v>
      </c>
      <c r="AD274" t="str">
        <v>11:19:55</v>
      </c>
      <c r="AE274">
        <f>IF("ONLINE"="NOGPS","GPS Antiguo","En línea")</f>
      </c>
      <c r="AF274">
        <f>IF(0=0,"Sin atender", IF(0=1,"Atendida","Atendida y Reportada"))</f>
      </c>
      <c r="AG274" t="str">
        <v/>
      </c>
      <c r="AH274" t="str">
        <v/>
      </c>
      <c r="AI274" t="str">
        <v/>
      </c>
      <c r="AJ274" t="str">
        <v/>
      </c>
      <c r="AK274" t="str">
        <v>01/10/2026 11:20:08</v>
      </c>
      <c r="AL274" t="str">
        <v>11:20:08</v>
      </c>
      <c r="AM274" t="str">
        <v/>
      </c>
    </row>
    <row r="275">
      <c r="A275">
        <v>274</v>
      </c>
      <c r="B275" t="str">
        <v>MASS BSF</v>
      </c>
      <c r="C275" t="str">
        <v>F8R-810</v>
      </c>
      <c r="D275" t="str">
        <v>F8R-810</v>
      </c>
      <c r="E275" t="str">
        <v/>
      </c>
      <c r="F275" t="str">
        <v>867806078868827</v>
      </c>
      <c r="G275" t="str">
        <v>TBD</v>
      </c>
      <c r="H275" t="str">
        <v/>
      </c>
      <c r="I275" t="str">
        <v/>
      </c>
      <c r="J275" t="str">
        <v>01/10/2026</v>
      </c>
      <c r="K275" t="str">
        <v>11:20:38</v>
      </c>
      <c r="L275">
        <v>-12.231818</v>
      </c>
      <c r="M275">
        <v>-76.964554</v>
      </c>
      <c r="N275">
        <f>HYPERLINK("https://www.google.com/maps/search/?api=1&amp;query=-12.231818,-76.964554","Carretera Panamericana Sur, Villa El Salvador, Lima")</f>
      </c>
      <c r="O275" t="str">
        <v>Aceleración brusca</v>
      </c>
      <c r="P275" t="str">
        <v>CMT-910</v>
      </c>
      <c r="Q275">
        <v>2113.9</v>
      </c>
      <c r="R275" t="str">
        <v/>
      </c>
      <c r="S275">
        <v>58.1</v>
      </c>
      <c r="T275">
        <v>81.52</v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>
        <v>87</v>
      </c>
      <c r="AC275" t="str">
        <v>01/10/2026</v>
      </c>
      <c r="AD275" t="str">
        <v>11:20:36</v>
      </c>
      <c r="AE275">
        <f>IF("ONLINE"="NOGPS","GPS Antiguo","En línea")</f>
      </c>
      <c r="AF275">
        <f>IF(0=0,"Sin atender", IF(0=1,"Atendida","Atendida y Reportada"))</f>
      </c>
      <c r="AG275" t="str">
        <v/>
      </c>
      <c r="AH275" t="str">
        <v/>
      </c>
      <c r="AI275" t="str">
        <v/>
      </c>
      <c r="AJ275" t="str">
        <v/>
      </c>
      <c r="AK275" t="str">
        <v>01/10/2026 11:20:54</v>
      </c>
      <c r="AL275" t="str">
        <v>11:20:54</v>
      </c>
      <c r="AM275" t="str">
        <v/>
      </c>
    </row>
    <row r="276">
      <c r="A276">
        <v>275</v>
      </c>
      <c r="B276" t="str">
        <v>MASS BSF</v>
      </c>
      <c r="C276" t="str">
        <v>F8R-810</v>
      </c>
      <c r="D276" t="str">
        <v>F8R-810</v>
      </c>
      <c r="E276" t="str">
        <v/>
      </c>
      <c r="F276" t="str">
        <v>867806078868827</v>
      </c>
      <c r="G276" t="str">
        <v>TBD</v>
      </c>
      <c r="H276" t="str">
        <v/>
      </c>
      <c r="I276" t="str">
        <v/>
      </c>
      <c r="J276" t="str">
        <v>01/10/2026</v>
      </c>
      <c r="K276" t="str">
        <v>11:21:22</v>
      </c>
      <c r="L276">
        <v>-12.235062</v>
      </c>
      <c r="M276">
        <v>-76.958305</v>
      </c>
      <c r="N276">
        <f>HYPERLINK("https://www.google.com/maps/search/?api=1&amp;query=-12.235062,-76.958305","Carretera Panamericana Sur, Villa El Salvador, Lima")</f>
      </c>
      <c r="O276" t="str">
        <v>Acelerado y giro brusco</v>
      </c>
      <c r="P276" t="str">
        <v/>
      </c>
      <c r="Q276">
        <v>2114.6</v>
      </c>
      <c r="R276" t="str">
        <v/>
      </c>
      <c r="S276">
        <v>64</v>
      </c>
      <c r="T276">
        <v>81.52</v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>
        <v>87</v>
      </c>
      <c r="AC276" t="str">
        <v>01/10/2026</v>
      </c>
      <c r="AD276" t="str">
        <v>11:21:20</v>
      </c>
      <c r="AE276">
        <f>IF("ONLINE"="NOGPS","GPS Antiguo","En línea")</f>
      </c>
      <c r="AF276">
        <f>IF(0=0,"Sin atender", IF(0=1,"Atendida","Atendida y Reportada"))</f>
      </c>
      <c r="AG276" t="str">
        <v/>
      </c>
      <c r="AH276" t="str">
        <v/>
      </c>
      <c r="AI276" t="str">
        <v/>
      </c>
      <c r="AJ276" t="str">
        <v/>
      </c>
      <c r="AK276" t="str">
        <v>01/10/2026 11:21:35</v>
      </c>
      <c r="AL276" t="str">
        <v>11:21:35</v>
      </c>
      <c r="AM276" t="str">
        <v/>
      </c>
    </row>
    <row r="277">
      <c r="A277">
        <v>276</v>
      </c>
      <c r="B277" t="str">
        <v>MASS BSF</v>
      </c>
      <c r="C277" t="str">
        <v>F8R-810</v>
      </c>
      <c r="D277" t="str">
        <v>F8R-810</v>
      </c>
      <c r="E277" t="str">
        <v/>
      </c>
      <c r="F277" t="str">
        <v>867806078868827</v>
      </c>
      <c r="G277" t="str">
        <v>TBD</v>
      </c>
      <c r="H277" t="str">
        <v/>
      </c>
      <c r="I277" t="str">
        <v/>
      </c>
      <c r="J277" t="str">
        <v>01/10/2026</v>
      </c>
      <c r="K277" t="str">
        <v>11:21:46</v>
      </c>
      <c r="L277">
        <v>-12.236867</v>
      </c>
      <c r="M277">
        <v>-76.95482</v>
      </c>
      <c r="N277">
        <f>HYPERLINK("https://www.google.com/maps/search/?api=1&amp;query=-12.236867,-76.95482","Carretera Panamericana Sur, Villa El Salvador, Lima")</f>
      </c>
      <c r="O277" t="str">
        <v>Aceleración brusca</v>
      </c>
      <c r="P277" t="str">
        <v>CMT-910</v>
      </c>
      <c r="Q277">
        <v>2115</v>
      </c>
      <c r="R277" t="str">
        <v/>
      </c>
      <c r="S277">
        <v>64.2</v>
      </c>
      <c r="T277">
        <v>81.52</v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>
        <v>87</v>
      </c>
      <c r="AC277" t="str">
        <v>01/10/2026</v>
      </c>
      <c r="AD277" t="str">
        <v>11:21:44</v>
      </c>
      <c r="AE277">
        <f>IF("ONLINE"="NOGPS","GPS Antiguo","En línea")</f>
      </c>
      <c r="AF277">
        <f>IF(0=0,"Sin atender", IF(0=1,"Atendida","Atendida y Reportada"))</f>
      </c>
      <c r="AG277" t="str">
        <v/>
      </c>
      <c r="AH277" t="str">
        <v/>
      </c>
      <c r="AI277" t="str">
        <v/>
      </c>
      <c r="AJ277" t="str">
        <v/>
      </c>
      <c r="AK277" t="str">
        <v>01/10/2026 11:21:51</v>
      </c>
      <c r="AL277" t="str">
        <v>11:21:51</v>
      </c>
      <c r="AM277" t="str">
        <v/>
      </c>
    </row>
    <row r="278">
      <c r="A278">
        <v>277</v>
      </c>
      <c r="B278" t="str">
        <v>MASS BSF</v>
      </c>
      <c r="C278" t="str">
        <v>F8R-810</v>
      </c>
      <c r="D278" t="str">
        <v>F8R-810</v>
      </c>
      <c r="E278" t="str">
        <v/>
      </c>
      <c r="F278" t="str">
        <v>867806078868827</v>
      </c>
      <c r="G278" t="str">
        <v>TBD</v>
      </c>
      <c r="H278" t="str">
        <v/>
      </c>
      <c r="I278" t="str">
        <v/>
      </c>
      <c r="J278" t="str">
        <v>01/10/2026</v>
      </c>
      <c r="K278" t="str">
        <v>11:22:38</v>
      </c>
      <c r="L278">
        <v>-12.240682</v>
      </c>
      <c r="M278">
        <v>-76.94746</v>
      </c>
      <c r="N278">
        <f>HYPERLINK("https://www.google.com/maps/search/?api=1&amp;query=-12.240682,-76.94746","Carretera Panamericana Sur, Villa El Salvador, Lima")</f>
      </c>
      <c r="O278" t="str">
        <v>Aceleración brusca</v>
      </c>
      <c r="P278" t="str">
        <v>CMT-910</v>
      </c>
      <c r="Q278">
        <v>2115.9</v>
      </c>
      <c r="R278" t="str">
        <v/>
      </c>
      <c r="S278">
        <v>65.5</v>
      </c>
      <c r="T278">
        <v>81.52</v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>
        <v>87</v>
      </c>
      <c r="AC278" t="str">
        <v>01/10/2026</v>
      </c>
      <c r="AD278" t="str">
        <v>11:22:36</v>
      </c>
      <c r="AE278">
        <f>IF("ONLINE"="NOGPS","GPS Antiguo","En línea")</f>
      </c>
      <c r="AF278">
        <f>IF(0=0,"Sin atender", IF(0=1,"Atendida","Atendida y Reportada"))</f>
      </c>
      <c r="AG278" t="str">
        <v/>
      </c>
      <c r="AH278" t="str">
        <v/>
      </c>
      <c r="AI278" t="str">
        <v/>
      </c>
      <c r="AJ278" t="str">
        <v/>
      </c>
      <c r="AK278" t="str">
        <v>01/10/2026 11:22:46</v>
      </c>
      <c r="AL278" t="str">
        <v>11:22:46</v>
      </c>
      <c r="AM278" t="str">
        <v/>
      </c>
    </row>
    <row r="279">
      <c r="A279">
        <v>278</v>
      </c>
      <c r="B279" t="str">
        <v>MASS BSF</v>
      </c>
      <c r="C279" t="str">
        <v>F8R-810</v>
      </c>
      <c r="D279" t="str">
        <v>F8R-810</v>
      </c>
      <c r="E279" t="str">
        <v/>
      </c>
      <c r="F279" t="str">
        <v>867806078868827</v>
      </c>
      <c r="G279" t="str">
        <v>TBD</v>
      </c>
      <c r="H279" t="str">
        <v/>
      </c>
      <c r="I279" t="str">
        <v/>
      </c>
      <c r="J279" t="str">
        <v>01/10/2026</v>
      </c>
      <c r="K279" t="str">
        <v>11:23:16</v>
      </c>
      <c r="L279">
        <v>-12.243715</v>
      </c>
      <c r="M279">
        <v>-76.94161</v>
      </c>
      <c r="N279">
        <f>HYPERLINK("https://www.google.com/maps/search/?api=1&amp;query=-12.243715,-76.94161","Carretera Panamericana Sur, Villa El Salvador, Lima")</f>
      </c>
      <c r="O279" t="str">
        <v>Acelerado y giro brusco</v>
      </c>
      <c r="P279" t="str">
        <v/>
      </c>
      <c r="Q279">
        <v>2116.7</v>
      </c>
      <c r="R279" t="str">
        <v/>
      </c>
      <c r="S279">
        <v>65.7</v>
      </c>
      <c r="T279">
        <v>81.52</v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>
        <v>87</v>
      </c>
      <c r="AC279" t="str">
        <v>01/10/2026</v>
      </c>
      <c r="AD279" t="str">
        <v>11:23:15</v>
      </c>
      <c r="AE279">
        <f>IF("ONLINE"="NOGPS","GPS Antiguo","En línea")</f>
      </c>
      <c r="AF279">
        <f>IF(0=0,"Sin atender", IF(0=1,"Atendida","Atendida y Reportada"))</f>
      </c>
      <c r="AG279" t="str">
        <v/>
      </c>
      <c r="AH279" t="str">
        <v/>
      </c>
      <c r="AI279" t="str">
        <v/>
      </c>
      <c r="AJ279" t="str">
        <v/>
      </c>
      <c r="AK279" t="str">
        <v>01/10/2026 11:23:20</v>
      </c>
      <c r="AL279" t="str">
        <v>11:23:20</v>
      </c>
      <c r="AM279" t="str">
        <v/>
      </c>
    </row>
    <row r="280">
      <c r="A280">
        <v>279</v>
      </c>
      <c r="B280" t="str">
        <v>MASS BSF</v>
      </c>
      <c r="C280" t="str">
        <v>F8R-810</v>
      </c>
      <c r="D280" t="str">
        <v>F8R-810</v>
      </c>
      <c r="E280" t="str">
        <v/>
      </c>
      <c r="F280" t="str">
        <v>867806078868827</v>
      </c>
      <c r="G280" t="str">
        <v>TBD</v>
      </c>
      <c r="H280" t="str">
        <v/>
      </c>
      <c r="I280" t="str">
        <v/>
      </c>
      <c r="J280" t="str">
        <v>01/10/2026</v>
      </c>
      <c r="K280" t="str">
        <v>11:24:38</v>
      </c>
      <c r="L280">
        <v>-12.250347</v>
      </c>
      <c r="M280">
        <v>-76.93071</v>
      </c>
      <c r="N280">
        <f>HYPERLINK("https://www.google.com/maps/search/?api=1&amp;query=-12.250347,-76.93071","Carretera Panamericana Sur, Lurín, Lima")</f>
      </c>
      <c r="O280" t="str">
        <v>Aceleración brusca</v>
      </c>
      <c r="P280" t="str">
        <v>CMT-910</v>
      </c>
      <c r="Q280">
        <v>2118</v>
      </c>
      <c r="R280" t="str">
        <v/>
      </c>
      <c r="S280">
        <v>57.7</v>
      </c>
      <c r="T280">
        <v>81.52</v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>
        <v>87</v>
      </c>
      <c r="AC280" t="str">
        <v>01/10/2026</v>
      </c>
      <c r="AD280" t="str">
        <v>11:24:37</v>
      </c>
      <c r="AE280">
        <f>IF("ONLINE"="NOGPS","GPS Antiguo","En línea")</f>
      </c>
      <c r="AF280">
        <f>IF(0=0,"Sin atender", IF(0=1,"Atendida","Atendida y Reportada"))</f>
      </c>
      <c r="AG280" t="str">
        <v/>
      </c>
      <c r="AH280" t="str">
        <v/>
      </c>
      <c r="AI280" t="str">
        <v/>
      </c>
      <c r="AJ280" t="str">
        <v/>
      </c>
      <c r="AK280" t="str">
        <v>01/10/2026 11:24:57</v>
      </c>
      <c r="AL280" t="str">
        <v>11:24:57</v>
      </c>
      <c r="AM280" t="str">
        <v/>
      </c>
    </row>
    <row r="281">
      <c r="A281">
        <v>280</v>
      </c>
      <c r="B281" t="str">
        <v>MASS BSF</v>
      </c>
      <c r="C281" t="str">
        <v>F8R-810</v>
      </c>
      <c r="D281" t="str">
        <v>F8R-810</v>
      </c>
      <c r="E281" t="str">
        <v/>
      </c>
      <c r="F281" t="str">
        <v>867806078868827</v>
      </c>
      <c r="G281" t="str">
        <v>TBD</v>
      </c>
      <c r="H281" t="str">
        <v/>
      </c>
      <c r="I281" t="str">
        <v/>
      </c>
      <c r="J281" t="str">
        <v>01/10/2026</v>
      </c>
      <c r="K281" t="str">
        <v>11:25:00</v>
      </c>
      <c r="L281">
        <v>-12.252247</v>
      </c>
      <c r="M281">
        <v>-76.92823</v>
      </c>
      <c r="N281">
        <f>HYPERLINK("https://www.google.com/maps/search/?api=1&amp;query=-12.252247,-76.92823","Carretera Panamericana Sur, Lurín, Lima")</f>
      </c>
      <c r="O281" t="str">
        <v>Aceleración brusca</v>
      </c>
      <c r="P281" t="str">
        <v>CMT-910</v>
      </c>
      <c r="Q281">
        <v>2118.4</v>
      </c>
      <c r="R281" t="str">
        <v/>
      </c>
      <c r="S281">
        <v>59</v>
      </c>
      <c r="T281">
        <v>81.52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>
        <v>88</v>
      </c>
      <c r="AC281" t="str">
        <v>01/10/2026</v>
      </c>
      <c r="AD281" t="str">
        <v>11:24:58</v>
      </c>
      <c r="AE281">
        <f>IF("ONLINE"="NOGPS","GPS Antiguo","En línea")</f>
      </c>
      <c r="AF281">
        <f>IF(0=0,"Sin atender", IF(0=1,"Atendida","Atendida y Reportada"))</f>
      </c>
      <c r="AG281" t="str">
        <v/>
      </c>
      <c r="AH281" t="str">
        <v/>
      </c>
      <c r="AI281" t="str">
        <v/>
      </c>
      <c r="AJ281" t="str">
        <v/>
      </c>
      <c r="AK281" t="str">
        <v>01/10/2026 11:25:12</v>
      </c>
      <c r="AL281" t="str">
        <v>11:25:12</v>
      </c>
      <c r="AM281" t="str">
        <v/>
      </c>
    </row>
    <row r="282">
      <c r="A282">
        <v>281</v>
      </c>
      <c r="B282" t="str">
        <v>MASS BSF</v>
      </c>
      <c r="C282" t="str">
        <v>F8R-810</v>
      </c>
      <c r="D282" t="str">
        <v>F8R-810</v>
      </c>
      <c r="E282" t="str">
        <v/>
      </c>
      <c r="F282" t="str">
        <v>867806078868827</v>
      </c>
      <c r="G282" t="str">
        <v>TBD</v>
      </c>
      <c r="H282" t="str">
        <v/>
      </c>
      <c r="I282" t="str">
        <v/>
      </c>
      <c r="J282" t="str">
        <v>01/10/2026</v>
      </c>
      <c r="K282" t="str">
        <v>11:25:50</v>
      </c>
      <c r="L282">
        <v>-12.25557</v>
      </c>
      <c r="M282">
        <v>-76.92266</v>
      </c>
      <c r="N282">
        <f>HYPERLINK("https://www.google.com/maps/search/?api=1&amp;query=-12.25557,-76.92266","Carretera Panamericana Sur, Lurín, Lima")</f>
      </c>
      <c r="O282" t="str">
        <v>Acelerado y giro brusco</v>
      </c>
      <c r="P282" t="str">
        <v/>
      </c>
      <c r="Q282">
        <v>2119.1</v>
      </c>
      <c r="R282" t="str">
        <v/>
      </c>
      <c r="S282">
        <v>60</v>
      </c>
      <c r="T282">
        <v>81.52</v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>
        <v>88</v>
      </c>
      <c r="AC282" t="str">
        <v>01/10/2026</v>
      </c>
      <c r="AD282" t="str">
        <v>11:25:48</v>
      </c>
      <c r="AE282">
        <f>IF("ONLINE"="NOGPS","GPS Antiguo","En línea")</f>
      </c>
      <c r="AF282">
        <f>IF(0=0,"Sin atender", IF(0=1,"Atendida","Atendida y Reportada"))</f>
      </c>
      <c r="AG282" t="str">
        <v/>
      </c>
      <c r="AH282" t="str">
        <v/>
      </c>
      <c r="AI282" t="str">
        <v/>
      </c>
      <c r="AJ282" t="str">
        <v/>
      </c>
      <c r="AK282" t="str">
        <v>01/10/2026 11:26:12</v>
      </c>
      <c r="AL282" t="str">
        <v>11:26:12</v>
      </c>
      <c r="AM282" t="str">
        <v/>
      </c>
    </row>
    <row r="283">
      <c r="A283">
        <v>282</v>
      </c>
      <c r="B283" t="str">
        <v>MASS BSF</v>
      </c>
      <c r="C283" t="str">
        <v>F8R-810</v>
      </c>
      <c r="D283" t="str">
        <v>F8R-810</v>
      </c>
      <c r="E283" t="str">
        <v/>
      </c>
      <c r="F283" t="str">
        <v>867806078868827</v>
      </c>
      <c r="G283" t="str">
        <v>TBD</v>
      </c>
      <c r="H283" t="str">
        <v/>
      </c>
      <c r="I283" t="str">
        <v/>
      </c>
      <c r="J283" t="str">
        <v>01/10/2026</v>
      </c>
      <c r="K283" t="str">
        <v>11:26:14</v>
      </c>
      <c r="L283">
        <v>-12.257695</v>
      </c>
      <c r="M283">
        <v>-76.9192</v>
      </c>
      <c r="N283">
        <f>HYPERLINK("https://www.google.com/maps/search/?api=1&amp;query=-12.257695,-76.9192","Carretera Panamericana Sur, Lurín, Lima")</f>
      </c>
      <c r="O283" t="str">
        <v>Acelerado y giro brusco</v>
      </c>
      <c r="P283" t="str">
        <v/>
      </c>
      <c r="Q283">
        <v>2119.5</v>
      </c>
      <c r="R283" t="str">
        <v/>
      </c>
      <c r="S283">
        <v>65</v>
      </c>
      <c r="T283">
        <v>81.52</v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>
        <v>88</v>
      </c>
      <c r="AC283" t="str">
        <v>01/10/2026</v>
      </c>
      <c r="AD283" t="str">
        <v>11:26:13</v>
      </c>
      <c r="AE283">
        <f>IF("ONLINE"="NOGPS","GPS Antiguo","En línea")</f>
      </c>
      <c r="AF283">
        <f>IF(0=0,"Sin atender", IF(0=1,"Atendida","Atendida y Reportada"))</f>
      </c>
      <c r="AG283" t="str">
        <v/>
      </c>
      <c r="AH283" t="str">
        <v/>
      </c>
      <c r="AI283" t="str">
        <v/>
      </c>
      <c r="AJ283" t="str">
        <v/>
      </c>
      <c r="AK283" t="str">
        <v>01/10/2026 11:26:32</v>
      </c>
      <c r="AL283" t="str">
        <v>11:26:32</v>
      </c>
      <c r="AM283" t="str">
        <v/>
      </c>
    </row>
    <row r="284">
      <c r="A284">
        <v>283</v>
      </c>
      <c r="B284" t="str">
        <v>MASS BSF</v>
      </c>
      <c r="C284" t="str">
        <v>F8R-810</v>
      </c>
      <c r="D284" t="str">
        <v>F8R-810</v>
      </c>
      <c r="E284" t="str">
        <v/>
      </c>
      <c r="F284" t="str">
        <v>867806078868827</v>
      </c>
      <c r="G284" t="str">
        <v>TBD</v>
      </c>
      <c r="H284" t="str">
        <v/>
      </c>
      <c r="I284" t="str">
        <v/>
      </c>
      <c r="J284" t="str">
        <v>01/10/2026</v>
      </c>
      <c r="K284" t="str">
        <v>11:26:46</v>
      </c>
      <c r="L284">
        <v>-12.260342</v>
      </c>
      <c r="M284">
        <v>-76.91501</v>
      </c>
      <c r="N284">
        <f>HYPERLINK("https://www.google.com/maps/search/?api=1&amp;query=-12.260342,-76.91501","Carretera Panamericana Sur, Lurín, Lima")</f>
      </c>
      <c r="O284" t="str">
        <v>Acelerado y giro brusco</v>
      </c>
      <c r="P284" t="str">
        <v/>
      </c>
      <c r="Q284">
        <v>2120.1</v>
      </c>
      <c r="R284" t="str">
        <v/>
      </c>
      <c r="S284">
        <v>64.4</v>
      </c>
      <c r="T284">
        <v>81.52</v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>
        <v>88</v>
      </c>
      <c r="AC284" t="str">
        <v>01/10/2026</v>
      </c>
      <c r="AD284" t="str">
        <v>11:26:44</v>
      </c>
      <c r="AE284">
        <f>IF("ONLINE"="NOGPS","GPS Antiguo","En línea")</f>
      </c>
      <c r="AF284">
        <f>IF(0=0,"Sin atender", IF(0=1,"Atendida","Atendida y Reportada"))</f>
      </c>
      <c r="AG284" t="str">
        <v/>
      </c>
      <c r="AH284" t="str">
        <v/>
      </c>
      <c r="AI284" t="str">
        <v/>
      </c>
      <c r="AJ284" t="str">
        <v/>
      </c>
      <c r="AK284" t="str">
        <v>01/10/2026 11:27:06</v>
      </c>
      <c r="AL284" t="str">
        <v>11:27:06</v>
      </c>
      <c r="AM284" t="str">
        <v/>
      </c>
    </row>
    <row r="285">
      <c r="A285">
        <v>284</v>
      </c>
      <c r="B285" t="str">
        <v>MASS BSF</v>
      </c>
      <c r="C285" t="str">
        <v>F8R-810</v>
      </c>
      <c r="D285" t="str">
        <v>F8R-810</v>
      </c>
      <c r="E285" t="str">
        <v/>
      </c>
      <c r="F285" t="str">
        <v>867806078868827</v>
      </c>
      <c r="G285" t="str">
        <v>TBD</v>
      </c>
      <c r="H285" t="str">
        <v/>
      </c>
      <c r="I285" t="str">
        <v/>
      </c>
      <c r="J285" t="str">
        <v>01/10/2026</v>
      </c>
      <c r="K285" t="str">
        <v>11:27:38</v>
      </c>
      <c r="L285">
        <v>-12.264711</v>
      </c>
      <c r="M285">
        <v>-76.90807</v>
      </c>
      <c r="N285">
        <f>HYPERLINK("https://www.google.com/maps/search/?api=1&amp;query=-12.264711,-76.90807","Carretera Panamericana Sur, Lurín, Lima")</f>
      </c>
      <c r="O285" t="str">
        <v>Aceleración brusca</v>
      </c>
      <c r="P285" t="str">
        <v>CMT-910</v>
      </c>
      <c r="Q285">
        <v>2121</v>
      </c>
      <c r="R285" t="str">
        <v/>
      </c>
      <c r="S285">
        <v>54.4</v>
      </c>
      <c r="T285">
        <v>81.52</v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>
        <v>86</v>
      </c>
      <c r="AC285" t="str">
        <v>01/10/2026</v>
      </c>
      <c r="AD285" t="str">
        <v>11:27:36</v>
      </c>
      <c r="AE285">
        <f>IF("ONLINE"="NOGPS","GPS Antiguo","En línea")</f>
      </c>
      <c r="AF285">
        <f>IF(0=0,"Sin atender", IF(0=1,"Atendida","Atendida y Reportada"))</f>
      </c>
      <c r="AG285" t="str">
        <v/>
      </c>
      <c r="AH285" t="str">
        <v/>
      </c>
      <c r="AI285" t="str">
        <v/>
      </c>
      <c r="AJ285" t="str">
        <v/>
      </c>
      <c r="AK285" t="str">
        <v>01/10/2026 11:27:51</v>
      </c>
      <c r="AL285" t="str">
        <v>11:27:51</v>
      </c>
      <c r="AM285" t="str">
        <v/>
      </c>
    </row>
    <row r="286">
      <c r="A286">
        <v>285</v>
      </c>
      <c r="B286" t="str">
        <v>MASS BSF</v>
      </c>
      <c r="C286" t="str">
        <v>F8R-810</v>
      </c>
      <c r="D286" t="str">
        <v>F8R-810</v>
      </c>
      <c r="E286" t="str">
        <v/>
      </c>
      <c r="F286" t="str">
        <v>867806078868827</v>
      </c>
      <c r="G286" t="str">
        <v>TBD</v>
      </c>
      <c r="H286" t="str">
        <v/>
      </c>
      <c r="I286" t="str">
        <v/>
      </c>
      <c r="J286" t="str">
        <v>01/10/2026</v>
      </c>
      <c r="K286" t="str">
        <v>11:27:52</v>
      </c>
      <c r="L286">
        <v>-12.265743</v>
      </c>
      <c r="M286">
        <v>-76.90646</v>
      </c>
      <c r="N286">
        <f>HYPERLINK("https://www.google.com/maps/search/?api=1&amp;query=-12.265743,-76.90646","Carretera Panamericana Sur, Lurín, Lima")</f>
      </c>
      <c r="O286" t="str">
        <v>Acelerado y giro brusco</v>
      </c>
      <c r="P286" t="str">
        <v/>
      </c>
      <c r="Q286">
        <v>2121.2</v>
      </c>
      <c r="R286" t="str">
        <v/>
      </c>
      <c r="S286">
        <v>56.8</v>
      </c>
      <c r="T286">
        <v>81.52</v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>
        <v>86</v>
      </c>
      <c r="AC286" t="str">
        <v>01/10/2026</v>
      </c>
      <c r="AD286" t="str">
        <v>11:27:50</v>
      </c>
      <c r="AE286">
        <f>IF("ONLINE"="NOGPS","GPS Antiguo","En línea")</f>
      </c>
      <c r="AF286">
        <f>IF(0=0,"Sin atender", IF(0=1,"Atendida","Atendida y Reportada"))</f>
      </c>
      <c r="AG286" t="str">
        <v/>
      </c>
      <c r="AH286" t="str">
        <v/>
      </c>
      <c r="AI286" t="str">
        <v/>
      </c>
      <c r="AJ286" t="str">
        <v/>
      </c>
      <c r="AK286" t="str">
        <v>01/10/2026 11:27:56</v>
      </c>
      <c r="AL286" t="str">
        <v>11:27:56</v>
      </c>
      <c r="AM286" t="str">
        <v/>
      </c>
    </row>
    <row r="287">
      <c r="A287">
        <v>286</v>
      </c>
      <c r="B287" t="str">
        <v>MASS BSF</v>
      </c>
      <c r="C287" t="str">
        <v>F8R-810</v>
      </c>
      <c r="D287" t="str">
        <v>F8R-810</v>
      </c>
      <c r="E287" t="str">
        <v/>
      </c>
      <c r="F287" t="str">
        <v>867806078868827</v>
      </c>
      <c r="G287" t="str">
        <v>TBD</v>
      </c>
      <c r="H287" t="str">
        <v/>
      </c>
      <c r="I287" t="str">
        <v/>
      </c>
      <c r="J287" t="str">
        <v>01/10/2026</v>
      </c>
      <c r="K287" t="str">
        <v>11:32:11</v>
      </c>
      <c r="L287">
        <v>-12.287084</v>
      </c>
      <c r="M287">
        <v>-76.87243</v>
      </c>
      <c r="N287">
        <f>HYPERLINK("https://www.google.com/maps/search/?api=1&amp;query=-12.287084,-76.87243","Carretera Panamericana Sur, Lurín, Lima")</f>
      </c>
      <c r="O287" t="str">
        <v>Aceleración brusca</v>
      </c>
      <c r="P287" t="str">
        <v>CMT-910</v>
      </c>
      <c r="Q287">
        <v>2125.5</v>
      </c>
      <c r="R287" t="str">
        <v/>
      </c>
      <c r="S287">
        <v>72.5</v>
      </c>
      <c r="T287">
        <v>81.52</v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>
        <v>86</v>
      </c>
      <c r="AC287" t="str">
        <v>01/10/2026</v>
      </c>
      <c r="AD287" t="str">
        <v>11:32:09</v>
      </c>
      <c r="AE287">
        <f>IF("ONLINE"="NOGPS","GPS Antiguo","En línea")</f>
      </c>
      <c r="AF287">
        <f>IF(0=0,"Sin atender", IF(0=1,"Atendida","Atendida y Reportada"))</f>
      </c>
      <c r="AG287" t="str">
        <v/>
      </c>
      <c r="AH287" t="str">
        <v/>
      </c>
      <c r="AI287" t="str">
        <v/>
      </c>
      <c r="AJ287" t="str">
        <v/>
      </c>
      <c r="AK287" t="str">
        <v>01/10/2026 11:32:33</v>
      </c>
      <c r="AL287" t="str">
        <v>11:32:33</v>
      </c>
      <c r="AM287" t="str">
        <v/>
      </c>
    </row>
    <row r="288">
      <c r="A288">
        <v>287</v>
      </c>
      <c r="B288" t="str">
        <v>MASS BSF</v>
      </c>
      <c r="C288" t="str">
        <v>F8R-810</v>
      </c>
      <c r="D288" t="str">
        <v>F8R-810</v>
      </c>
      <c r="E288" t="str">
        <v/>
      </c>
      <c r="F288" t="str">
        <v>867806078868827</v>
      </c>
      <c r="G288" t="str">
        <v>TBD</v>
      </c>
      <c r="H288" t="str">
        <v/>
      </c>
      <c r="I288" t="str">
        <v/>
      </c>
      <c r="J288" t="str">
        <v>01/10/2026</v>
      </c>
      <c r="K288" t="str">
        <v>11:32:26</v>
      </c>
      <c r="L288">
        <v>-12.288545</v>
      </c>
      <c r="M288">
        <v>-76.8701</v>
      </c>
      <c r="N288">
        <f>HYPERLINK("https://www.google.com/maps/search/?api=1&amp;query=-12.288545,-76.8701","Carretera Panamericana Sur, Lurín, Lima")</f>
      </c>
      <c r="O288" t="str">
        <v>Aceleración brusca</v>
      </c>
      <c r="P288" t="str">
        <v>CMT-910</v>
      </c>
      <c r="Q288">
        <v>2125.8</v>
      </c>
      <c r="R288" t="str">
        <v/>
      </c>
      <c r="S288">
        <v>71.4</v>
      </c>
      <c r="T288">
        <v>81.52</v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>
        <v>86</v>
      </c>
      <c r="AC288" t="str">
        <v>01/10/2026</v>
      </c>
      <c r="AD288" t="str">
        <v>11:32:24</v>
      </c>
      <c r="AE288">
        <f>IF("ONLINE"="NOGPS","GPS Antiguo","En línea")</f>
      </c>
      <c r="AF288">
        <f>IF(0=0,"Sin atender", IF(0=1,"Atendida","Atendida y Reportada"))</f>
      </c>
      <c r="AG288" t="str">
        <v/>
      </c>
      <c r="AH288" t="str">
        <v/>
      </c>
      <c r="AI288" t="str">
        <v/>
      </c>
      <c r="AJ288" t="str">
        <v/>
      </c>
      <c r="AK288" t="str">
        <v>01/10/2026 11:32:33</v>
      </c>
      <c r="AL288" t="str">
        <v>11:32:33</v>
      </c>
      <c r="AM288" t="str">
        <v/>
      </c>
    </row>
    <row r="289">
      <c r="A289">
        <v>288</v>
      </c>
      <c r="B289" t="str">
        <v>MASS BSF</v>
      </c>
      <c r="C289" t="str">
        <v>F8R-810</v>
      </c>
      <c r="D289" t="str">
        <v>F8R-810</v>
      </c>
      <c r="E289" t="str">
        <v/>
      </c>
      <c r="F289" t="str">
        <v>867806078868827</v>
      </c>
      <c r="G289" t="str">
        <v>TBD</v>
      </c>
      <c r="H289" t="str">
        <v/>
      </c>
      <c r="I289" t="str">
        <v/>
      </c>
      <c r="J289" t="str">
        <v>01/10/2026</v>
      </c>
      <c r="K289" t="str">
        <v>11:34:07</v>
      </c>
      <c r="L289">
        <v>-12.297555</v>
      </c>
      <c r="M289">
        <v>-76.85472</v>
      </c>
      <c r="N289">
        <f>HYPERLINK("https://www.google.com/maps/search/?api=1&amp;query=-12.297555,-76.85472","Carretera Panamericana Sur, Lurín, Lima")</f>
      </c>
      <c r="O289" t="str">
        <v>Aceleración brusca</v>
      </c>
      <c r="P289" t="str">
        <v>CMT-910</v>
      </c>
      <c r="Q289">
        <v>2127.8</v>
      </c>
      <c r="R289" t="str">
        <v/>
      </c>
      <c r="S289">
        <v>67</v>
      </c>
      <c r="T289">
        <v>81.52</v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>
        <v>85</v>
      </c>
      <c r="AC289" t="str">
        <v>01/10/2026</v>
      </c>
      <c r="AD289" t="str">
        <v>11:34:05</v>
      </c>
      <c r="AE289">
        <f>IF("ONLINE"="NOGPS","GPS Antiguo","En línea")</f>
      </c>
      <c r="AF289">
        <f>IF(0=0,"Sin atender", IF(0=1,"Atendida","Atendida y Reportada"))</f>
      </c>
      <c r="AG289" t="str">
        <v/>
      </c>
      <c r="AH289" t="str">
        <v/>
      </c>
      <c r="AI289" t="str">
        <v/>
      </c>
      <c r="AJ289" t="str">
        <v/>
      </c>
      <c r="AK289" t="str">
        <v>01/10/2026 11:34:14</v>
      </c>
      <c r="AL289" t="str">
        <v>11:34:14</v>
      </c>
      <c r="AM289" t="str">
        <v/>
      </c>
    </row>
    <row r="290">
      <c r="A290">
        <v>289</v>
      </c>
      <c r="B290" t="str">
        <v>MASS BSF</v>
      </c>
      <c r="C290" t="str">
        <v>F8R-810</v>
      </c>
      <c r="D290" t="str">
        <v>F8R-810</v>
      </c>
      <c r="E290" t="str">
        <v/>
      </c>
      <c r="F290" t="str">
        <v>867806078868827</v>
      </c>
      <c r="G290" t="str">
        <v>TBD</v>
      </c>
      <c r="H290" t="str">
        <v/>
      </c>
      <c r="I290" t="str">
        <v/>
      </c>
      <c r="J290" t="str">
        <v>01/10/2026</v>
      </c>
      <c r="K290" t="str">
        <v>11:34:46</v>
      </c>
      <c r="L290">
        <v>-12.300212</v>
      </c>
      <c r="M290">
        <v>-76.84873</v>
      </c>
      <c r="N290">
        <f>HYPERLINK("https://www.google.com/maps/search/?api=1&amp;query=-12.300212,-76.84873","Carretera Panamericana Sur, Lurín, Lima")</f>
      </c>
      <c r="O290" t="str">
        <v>Acelerado y giro brusco</v>
      </c>
      <c r="P290" t="str">
        <v/>
      </c>
      <c r="Q290">
        <v>2128.5</v>
      </c>
      <c r="R290" t="str">
        <v/>
      </c>
      <c r="S290">
        <v>68.5</v>
      </c>
      <c r="T290">
        <v>81.52</v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>
        <v>85</v>
      </c>
      <c r="AC290" t="str">
        <v>01/10/2026</v>
      </c>
      <c r="AD290" t="str">
        <v>11:34:45</v>
      </c>
      <c r="AE290">
        <f>IF("ONLINE"="NOGPS","GPS Antiguo","En línea")</f>
      </c>
      <c r="AF290">
        <f>IF(0=0,"Sin atender", IF(0=1,"Atendida","Atendida y Reportada"))</f>
      </c>
      <c r="AG290" t="str">
        <v/>
      </c>
      <c r="AH290" t="str">
        <v/>
      </c>
      <c r="AI290" t="str">
        <v/>
      </c>
      <c r="AJ290" t="str">
        <v/>
      </c>
      <c r="AK290" t="str">
        <v>01/10/2026 11:35:06</v>
      </c>
      <c r="AL290" t="str">
        <v>11:35:06</v>
      </c>
      <c r="AM290" t="str">
        <v/>
      </c>
    </row>
    <row r="291">
      <c r="A291">
        <v>290</v>
      </c>
      <c r="B291" t="str">
        <v>MASS BSF</v>
      </c>
      <c r="C291" t="str">
        <v>F8R-810</v>
      </c>
      <c r="D291" t="str">
        <v>F8R-810</v>
      </c>
      <c r="E291" t="str">
        <v/>
      </c>
      <c r="F291" t="str">
        <v>867806078868827</v>
      </c>
      <c r="G291" t="str">
        <v>TBD</v>
      </c>
      <c r="H291" t="str">
        <v/>
      </c>
      <c r="I291" t="str">
        <v/>
      </c>
      <c r="J291" t="str">
        <v>01/10/2026</v>
      </c>
      <c r="K291" t="str">
        <v>11:35:17</v>
      </c>
      <c r="L291">
        <v>-12.302301</v>
      </c>
      <c r="M291">
        <v>-76.84404</v>
      </c>
      <c r="N291">
        <f>HYPERLINK("https://www.google.com/maps/search/?api=1&amp;query=-12.302301,-76.84404","Carretera Panamericana Sur, Lurín, Lima")</f>
      </c>
      <c r="O291" t="str">
        <v>Acelerado y giro brusco</v>
      </c>
      <c r="P291" t="str">
        <v/>
      </c>
      <c r="Q291">
        <v>2129</v>
      </c>
      <c r="R291" t="str">
        <v/>
      </c>
      <c r="S291">
        <v>66.4</v>
      </c>
      <c r="T291">
        <v>81.52</v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>
        <v>85</v>
      </c>
      <c r="AC291" t="str">
        <v>01/10/2026</v>
      </c>
      <c r="AD291" t="str">
        <v>11:35:15</v>
      </c>
      <c r="AE291">
        <f>IF("ONLINE"="NOGPS","GPS Antiguo","En línea")</f>
      </c>
      <c r="AF291">
        <f>IF(0=0,"Sin atender", IF(0=1,"Atendida","Atendida y Reportada"))</f>
      </c>
      <c r="AG291" t="str">
        <v/>
      </c>
      <c r="AH291" t="str">
        <v/>
      </c>
      <c r="AI291" t="str">
        <v/>
      </c>
      <c r="AJ291" t="str">
        <v/>
      </c>
      <c r="AK291" t="str">
        <v>01/10/2026 11:35:32</v>
      </c>
      <c r="AL291" t="str">
        <v>11:35:32</v>
      </c>
      <c r="AM291" t="str">
        <v/>
      </c>
    </row>
    <row r="292">
      <c r="A292">
        <v>291</v>
      </c>
      <c r="B292" t="str">
        <v>MASS BSF</v>
      </c>
      <c r="C292" t="str">
        <v>F8R-810</v>
      </c>
      <c r="D292" t="str">
        <v>F8R-810</v>
      </c>
      <c r="E292" t="str">
        <v/>
      </c>
      <c r="F292" t="str">
        <v>867806078868827</v>
      </c>
      <c r="G292" t="str">
        <v>TBD</v>
      </c>
      <c r="H292" t="str">
        <v/>
      </c>
      <c r="I292" t="str">
        <v/>
      </c>
      <c r="J292" t="str">
        <v>01/10/2026</v>
      </c>
      <c r="K292" t="str">
        <v>11:35:26</v>
      </c>
      <c r="L292">
        <v>-12.302983</v>
      </c>
      <c r="M292">
        <v>-76.842705</v>
      </c>
      <c r="N292">
        <f>HYPERLINK("https://www.google.com/maps/search/?api=1&amp;query=-12.302983,-76.842705","Carretera Panamericana Sur, Lurín, Lima")</f>
      </c>
      <c r="O292" t="str">
        <v>Aceleración brusca</v>
      </c>
      <c r="P292" t="str">
        <v>CMT-910</v>
      </c>
      <c r="Q292">
        <v>2129.2</v>
      </c>
      <c r="R292" t="str">
        <v/>
      </c>
      <c r="S292">
        <v>65.3</v>
      </c>
      <c r="T292">
        <v>81.52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>
        <v>85</v>
      </c>
      <c r="AC292" t="str">
        <v>01/10/2026</v>
      </c>
      <c r="AD292" t="str">
        <v>11:35:24</v>
      </c>
      <c r="AE292">
        <f>IF("ONLINE"="NOGPS","GPS Antiguo","En línea")</f>
      </c>
      <c r="AF292">
        <f>IF(0=0,"Sin atender", IF(0=1,"Atendida","Atendida y Reportada"))</f>
      </c>
      <c r="AG292" t="str">
        <v/>
      </c>
      <c r="AH292" t="str">
        <v/>
      </c>
      <c r="AI292" t="str">
        <v/>
      </c>
      <c r="AJ292" t="str">
        <v/>
      </c>
      <c r="AK292" t="str">
        <v>01/10/2026 11:35:43</v>
      </c>
      <c r="AL292" t="str">
        <v>11:35:43</v>
      </c>
      <c r="AM292" t="str">
        <v/>
      </c>
    </row>
    <row r="293">
      <c r="A293">
        <v>292</v>
      </c>
      <c r="B293" t="str">
        <v>MASS BSF</v>
      </c>
      <c r="C293" t="str">
        <v>F8R-810</v>
      </c>
      <c r="D293" t="str">
        <v>F8R-810</v>
      </c>
      <c r="E293" t="str">
        <v/>
      </c>
      <c r="F293" t="str">
        <v>867806078868827</v>
      </c>
      <c r="G293" t="str">
        <v>TBD</v>
      </c>
      <c r="H293" t="str">
        <v/>
      </c>
      <c r="I293" t="str">
        <v/>
      </c>
      <c r="J293" t="str">
        <v>01/10/2026</v>
      </c>
      <c r="K293" t="str">
        <v>11:35:34</v>
      </c>
      <c r="L293">
        <v>-12.303672</v>
      </c>
      <c r="M293">
        <v>-76.841576</v>
      </c>
      <c r="N293">
        <f>HYPERLINK("https://www.google.com/maps/search/?api=1&amp;query=-12.303672,-76.841576","Carretera Panamericana Sur, Lurín, Lima")</f>
      </c>
      <c r="O293" t="str">
        <v>Aceleración brusca</v>
      </c>
      <c r="P293" t="str">
        <v>CMT-910</v>
      </c>
      <c r="Q293">
        <v>2129.3</v>
      </c>
      <c r="R293" t="str">
        <v/>
      </c>
      <c r="S293">
        <v>65.7</v>
      </c>
      <c r="T293">
        <v>81.52</v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>
        <v>85</v>
      </c>
      <c r="AC293" t="str">
        <v>01/10/2026</v>
      </c>
      <c r="AD293" t="str">
        <v>11:35:32</v>
      </c>
      <c r="AE293">
        <f>IF("ONLINE"="NOGPS","GPS Antiguo","En línea")</f>
      </c>
      <c r="AF293">
        <f>IF(0=0,"Sin atender", IF(0=1,"Atendida","Atendida y Reportada"))</f>
      </c>
      <c r="AG293" t="str">
        <v/>
      </c>
      <c r="AH293" t="str">
        <v/>
      </c>
      <c r="AI293" t="str">
        <v/>
      </c>
      <c r="AJ293" t="str">
        <v/>
      </c>
      <c r="AK293" t="str">
        <v>01/10/2026 11:35:46</v>
      </c>
      <c r="AL293" t="str">
        <v>11:35:46</v>
      </c>
      <c r="AM293" t="str">
        <v/>
      </c>
    </row>
    <row r="294">
      <c r="A294">
        <v>293</v>
      </c>
      <c r="B294" t="str">
        <v>MASS BSF</v>
      </c>
      <c r="C294" t="str">
        <v>F8R-810</v>
      </c>
      <c r="D294" t="str">
        <v>F8R-810</v>
      </c>
      <c r="E294" t="str">
        <v/>
      </c>
      <c r="F294" t="str">
        <v>867806078868827</v>
      </c>
      <c r="G294" t="str">
        <v>TBD</v>
      </c>
      <c r="H294" t="str">
        <v/>
      </c>
      <c r="I294" t="str">
        <v/>
      </c>
      <c r="J294" t="str">
        <v>01/10/2026</v>
      </c>
      <c r="K294" t="str">
        <v>11:35:41</v>
      </c>
      <c r="L294">
        <v>-12.30433</v>
      </c>
      <c r="M294">
        <v>-76.84062</v>
      </c>
      <c r="N294">
        <f>HYPERLINK("https://www.google.com/maps/search/?api=1&amp;query=-12.30433,-76.84062","Carretera Panamericana Sur, Lurín, Lima")</f>
      </c>
      <c r="O294" t="str">
        <v>Aceleración brusca</v>
      </c>
      <c r="P294" t="str">
        <v>CMT-910</v>
      </c>
      <c r="Q294">
        <v>2129.5</v>
      </c>
      <c r="R294" t="str">
        <v/>
      </c>
      <c r="S294">
        <v>64.8</v>
      </c>
      <c r="T294">
        <v>81.52</v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>
        <v>85</v>
      </c>
      <c r="AC294" t="str">
        <v>01/10/2026</v>
      </c>
      <c r="AD294" t="str">
        <v>11:35:39</v>
      </c>
      <c r="AE294">
        <f>IF("ONLINE"="NOGPS","GPS Antiguo","En línea")</f>
      </c>
      <c r="AF294">
        <f>IF(0=0,"Sin atender", IF(0=1,"Atendida","Atendida y Reportada"))</f>
      </c>
      <c r="AG294" t="str">
        <v/>
      </c>
      <c r="AH294" t="str">
        <v/>
      </c>
      <c r="AI294" t="str">
        <v/>
      </c>
      <c r="AJ294" t="str">
        <v/>
      </c>
      <c r="AK294" t="str">
        <v>01/10/2026 11:35:43</v>
      </c>
      <c r="AL294" t="str">
        <v>11:35:43</v>
      </c>
      <c r="AM294" t="str">
        <v/>
      </c>
    </row>
    <row r="295">
      <c r="A295">
        <v>294</v>
      </c>
      <c r="B295" t="str">
        <v>MASS BSF</v>
      </c>
      <c r="C295" t="str">
        <v>F8R-810</v>
      </c>
      <c r="D295" t="str">
        <v>F8R-810</v>
      </c>
      <c r="E295" t="str">
        <v/>
      </c>
      <c r="F295" t="str">
        <v>867806078868827</v>
      </c>
      <c r="G295" t="str">
        <v>TBD</v>
      </c>
      <c r="H295" t="str">
        <v/>
      </c>
      <c r="I295" t="str">
        <v/>
      </c>
      <c r="J295" t="str">
        <v>01/10/2026</v>
      </c>
      <c r="K295" t="str">
        <v>11:36:53</v>
      </c>
      <c r="L295">
        <v>-12.313757</v>
      </c>
      <c r="M295">
        <v>-76.83313</v>
      </c>
      <c r="N295">
        <f>HYPERLINK("https://www.google.com/maps/search/?api=1&amp;query=-12.313757,-76.83313","Carretera Panamericana Sur, Punta Hermosa, Lima")</f>
      </c>
      <c r="O295" t="str">
        <v>Acelerado y giro brusco</v>
      </c>
      <c r="P295" t="str">
        <v/>
      </c>
      <c r="Q295">
        <v>2130.8</v>
      </c>
      <c r="R295" t="str">
        <v/>
      </c>
      <c r="S295">
        <v>65.5</v>
      </c>
      <c r="T295">
        <v>81.52</v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>
        <v>85</v>
      </c>
      <c r="AC295" t="str">
        <v>01/10/2026</v>
      </c>
      <c r="AD295" t="str">
        <v>11:36:51</v>
      </c>
      <c r="AE295">
        <f>IF("ONLINE"="NOGPS","GPS Antiguo","En línea")</f>
      </c>
      <c r="AF295">
        <f>IF(0=0,"Sin atender", IF(0=1,"Atendida","Atendida y Reportada"))</f>
      </c>
      <c r="AG295" t="str">
        <v/>
      </c>
      <c r="AH295" t="str">
        <v/>
      </c>
      <c r="AI295" t="str">
        <v/>
      </c>
      <c r="AJ295" t="str">
        <v/>
      </c>
      <c r="AK295" t="str">
        <v>01/10/2026 11:37:21</v>
      </c>
      <c r="AL295" t="str">
        <v>11:37:21</v>
      </c>
      <c r="AM295" t="str">
        <v/>
      </c>
    </row>
    <row r="296">
      <c r="A296">
        <v>295</v>
      </c>
      <c r="B296" t="str">
        <v>MASS BSF</v>
      </c>
      <c r="C296" t="str">
        <v>F8R-810</v>
      </c>
      <c r="D296" t="str">
        <v>F8R-810</v>
      </c>
      <c r="E296" t="str">
        <v/>
      </c>
      <c r="F296" t="str">
        <v>867806078868827</v>
      </c>
      <c r="G296" t="str">
        <v>TBD</v>
      </c>
      <c r="H296" t="str">
        <v/>
      </c>
      <c r="I296" t="str">
        <v/>
      </c>
      <c r="J296" t="str">
        <v>01/10/2026</v>
      </c>
      <c r="K296" t="str">
        <v>11:37:25</v>
      </c>
      <c r="L296">
        <v>-12.31797</v>
      </c>
      <c r="M296">
        <v>-76.830315</v>
      </c>
      <c r="N296">
        <f>HYPERLINK("https://www.google.com/maps/search/?api=1&amp;query=-12.31797,-76.830315","Carretera Panamericana Sur, Punta Hermosa, Lima")</f>
      </c>
      <c r="O296" t="str">
        <v>Acelerado y giro brusco</v>
      </c>
      <c r="P296" t="str">
        <v/>
      </c>
      <c r="Q296">
        <v>2131.3</v>
      </c>
      <c r="R296" t="str">
        <v/>
      </c>
      <c r="S296">
        <v>63.5</v>
      </c>
      <c r="T296">
        <v>81.52</v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>
        <v>85</v>
      </c>
      <c r="AC296" t="str">
        <v>01/10/2026</v>
      </c>
      <c r="AD296" t="str">
        <v>11:37:23</v>
      </c>
      <c r="AE296">
        <f>IF("ONLINE"="NOGPS","GPS Antiguo","En línea")</f>
      </c>
      <c r="AF296">
        <f>IF(0=0,"Sin atender", IF(0=1,"Atendida","Atendida y Reportada"))</f>
      </c>
      <c r="AG296" t="str">
        <v/>
      </c>
      <c r="AH296" t="str">
        <v/>
      </c>
      <c r="AI296" t="str">
        <v/>
      </c>
      <c r="AJ296" t="str">
        <v/>
      </c>
      <c r="AK296" t="str">
        <v>01/10/2026 11:37:39</v>
      </c>
      <c r="AL296" t="str">
        <v>11:37:39</v>
      </c>
      <c r="AM296" t="str">
        <v/>
      </c>
    </row>
    <row r="297">
      <c r="A297">
        <v>296</v>
      </c>
      <c r="B297" t="str">
        <v>MASS BSF</v>
      </c>
      <c r="C297" t="str">
        <v>F8R-810</v>
      </c>
      <c r="D297" t="str">
        <v>F8R-810</v>
      </c>
      <c r="E297" t="str">
        <v/>
      </c>
      <c r="F297" t="str">
        <v>867806078868827</v>
      </c>
      <c r="G297" t="str">
        <v>TBD</v>
      </c>
      <c r="H297" t="str">
        <v/>
      </c>
      <c r="I297" t="str">
        <v/>
      </c>
      <c r="J297" t="str">
        <v>01/10/2026</v>
      </c>
      <c r="K297" t="str">
        <v>11:37:35</v>
      </c>
      <c r="L297">
        <v>-12.31935</v>
      </c>
      <c r="M297">
        <v>-76.82939</v>
      </c>
      <c r="N297">
        <f>HYPERLINK("https://www.google.com/maps/search/?api=1&amp;query=-12.31935,-76.82939","Carretera Panamericana Sur, Punta Hermosa, Lima")</f>
      </c>
      <c r="O297" t="str">
        <v>Acelerado y giro brusco</v>
      </c>
      <c r="P297" t="str">
        <v/>
      </c>
      <c r="Q297">
        <v>2131.5</v>
      </c>
      <c r="R297" t="str">
        <v/>
      </c>
      <c r="S297">
        <v>67.5</v>
      </c>
      <c r="T297">
        <v>81.52</v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>
        <v>85</v>
      </c>
      <c r="AC297" t="str">
        <v>01/10/2026</v>
      </c>
      <c r="AD297" t="str">
        <v>11:37:33</v>
      </c>
      <c r="AE297">
        <f>IF("ONLINE"="NOGPS","GPS Antiguo","En línea")</f>
      </c>
      <c r="AF297">
        <f>IF(0=0,"Sin atender", IF(0=1,"Atendida","Atendida y Reportada"))</f>
      </c>
      <c r="AG297" t="str">
        <v/>
      </c>
      <c r="AH297" t="str">
        <v/>
      </c>
      <c r="AI297" t="str">
        <v/>
      </c>
      <c r="AJ297" t="str">
        <v/>
      </c>
      <c r="AK297" t="str">
        <v>01/10/2026 11:37:44</v>
      </c>
      <c r="AL297" t="str">
        <v>11:37:44</v>
      </c>
      <c r="AM297" t="str">
        <v/>
      </c>
    </row>
    <row r="298">
      <c r="A298">
        <v>297</v>
      </c>
      <c r="B298" t="str">
        <v>MASS BSF</v>
      </c>
      <c r="C298" t="str">
        <v>F8R-810</v>
      </c>
      <c r="D298" t="str">
        <v>F8R-810</v>
      </c>
      <c r="E298" t="str">
        <v/>
      </c>
      <c r="F298" t="str">
        <v>867806078868827</v>
      </c>
      <c r="G298" t="str">
        <v>TBD</v>
      </c>
      <c r="H298" t="str">
        <v/>
      </c>
      <c r="I298" t="str">
        <v/>
      </c>
      <c r="J298" t="str">
        <v>01/10/2026</v>
      </c>
      <c r="K298" t="str">
        <v>11:37:42</v>
      </c>
      <c r="L298">
        <v>-12.32036</v>
      </c>
      <c r="M298">
        <v>-76.82872</v>
      </c>
      <c r="N298">
        <f>HYPERLINK("https://www.google.com/maps/search/?api=1&amp;query=-12.32036,-76.82872","Carretera Panamericana Sur, Punta Hermosa, Lima")</f>
      </c>
      <c r="O298" t="str">
        <v>Aceleración brusca</v>
      </c>
      <c r="P298" t="str">
        <v>CMT-910</v>
      </c>
      <c r="Q298">
        <v>2131.7</v>
      </c>
      <c r="R298" t="str">
        <v/>
      </c>
      <c r="S298">
        <v>70.1</v>
      </c>
      <c r="T298">
        <v>81.52</v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>
        <v>85</v>
      </c>
      <c r="AC298" t="str">
        <v>01/10/2026</v>
      </c>
      <c r="AD298" t="str">
        <v>11:37:40</v>
      </c>
      <c r="AE298">
        <f>IF("ONLINE"="NOGPS","GPS Antiguo","En línea")</f>
      </c>
      <c r="AF298">
        <f>IF(0=0,"Sin atender", IF(0=1,"Atendida","Atendida y Reportada"))</f>
      </c>
      <c r="AG298" t="str">
        <v/>
      </c>
      <c r="AH298" t="str">
        <v/>
      </c>
      <c r="AI298" t="str">
        <v/>
      </c>
      <c r="AJ298" t="str">
        <v/>
      </c>
      <c r="AK298" t="str">
        <v>01/10/2026 11:37:53</v>
      </c>
      <c r="AL298" t="str">
        <v>11:37:53</v>
      </c>
      <c r="AM298" t="str">
        <v/>
      </c>
    </row>
    <row r="299">
      <c r="A299">
        <v>298</v>
      </c>
      <c r="B299" t="str">
        <v>MASS BSF</v>
      </c>
      <c r="C299" t="str">
        <v>F8R-810</v>
      </c>
      <c r="D299" t="str">
        <v>F8R-810</v>
      </c>
      <c r="E299" t="str">
        <v/>
      </c>
      <c r="F299" t="str">
        <v>867806078868827</v>
      </c>
      <c r="G299" t="str">
        <v>TBD</v>
      </c>
      <c r="H299" t="str">
        <v/>
      </c>
      <c r="I299" t="str">
        <v/>
      </c>
      <c r="J299" t="str">
        <v>01/10/2026</v>
      </c>
      <c r="K299" t="str">
        <v>11:38:12</v>
      </c>
      <c r="L299">
        <v>-12.323822</v>
      </c>
      <c r="M299">
        <v>-76.82641</v>
      </c>
      <c r="N299">
        <f>HYPERLINK("https://www.google.com/maps/search/?api=1&amp;query=-12.323822,-76.82641","Carretera Panamericana Sur, Punta Hermosa, Lima")</f>
      </c>
      <c r="O299" t="str">
        <v>Acelerado y giro brusco</v>
      </c>
      <c r="P299" t="str">
        <v/>
      </c>
      <c r="Q299">
        <v>2132.1</v>
      </c>
      <c r="R299" t="str">
        <v/>
      </c>
      <c r="S299">
        <v>46.6</v>
      </c>
      <c r="T299">
        <v>81.52</v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>
        <v>85</v>
      </c>
      <c r="AC299" t="str">
        <v>01/10/2026</v>
      </c>
      <c r="AD299" t="str">
        <v>11:38:10</v>
      </c>
      <c r="AE299">
        <f>IF("ONLINE"="NOGPS","GPS Antiguo","En línea")</f>
      </c>
      <c r="AF299">
        <f>IF(0=0,"Sin atender", IF(0=1,"Atendida","Atendida y Reportada"))</f>
      </c>
      <c r="AG299" t="str">
        <v/>
      </c>
      <c r="AH299" t="str">
        <v/>
      </c>
      <c r="AI299" t="str">
        <v/>
      </c>
      <c r="AJ299" t="str">
        <v/>
      </c>
      <c r="AK299" t="str">
        <v>01/10/2026 11:38:25</v>
      </c>
      <c r="AL299" t="str">
        <v>11:38:25</v>
      </c>
      <c r="AM299" t="str">
        <v/>
      </c>
    </row>
    <row r="300">
      <c r="A300">
        <v>299</v>
      </c>
      <c r="B300" t="str">
        <v>MASS BSF</v>
      </c>
      <c r="C300" t="str">
        <v>F8R-810</v>
      </c>
      <c r="D300" t="str">
        <v>F8R-810</v>
      </c>
      <c r="E300" t="str">
        <v/>
      </c>
      <c r="F300" t="str">
        <v>867806078868827</v>
      </c>
      <c r="G300" t="str">
        <v>TBD</v>
      </c>
      <c r="H300" t="str">
        <v/>
      </c>
      <c r="I300" t="str">
        <v/>
      </c>
      <c r="J300" t="str">
        <v>01/10/2026</v>
      </c>
      <c r="K300" t="str">
        <v>11:38:46</v>
      </c>
      <c r="L300">
        <v>-12.327632</v>
      </c>
      <c r="M300">
        <v>-76.82386</v>
      </c>
      <c r="N300">
        <f>HYPERLINK("https://www.google.com/maps/search/?api=1&amp;query=-12.327632,-76.82386","Carretera Panamericana Sur, Punta Hermosa, Lima")</f>
      </c>
      <c r="O300" t="str">
        <v>Aceleración brusca</v>
      </c>
      <c r="P300" t="str">
        <v>CMT-910</v>
      </c>
      <c r="Q300">
        <v>2132.6</v>
      </c>
      <c r="R300" t="str">
        <v/>
      </c>
      <c r="S300">
        <v>52.7</v>
      </c>
      <c r="T300">
        <v>81.52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>
        <v>85</v>
      </c>
      <c r="AC300" t="str">
        <v>01/10/2026</v>
      </c>
      <c r="AD300" t="str">
        <v>11:38:44</v>
      </c>
      <c r="AE300">
        <f>IF("ONLINE"="NOGPS","GPS Antiguo","En línea")</f>
      </c>
      <c r="AF300">
        <f>IF(0=0,"Sin atender", IF(0=1,"Atendida","Atendida y Reportada"))</f>
      </c>
      <c r="AG300" t="str">
        <v/>
      </c>
      <c r="AH300" t="str">
        <v/>
      </c>
      <c r="AI300" t="str">
        <v/>
      </c>
      <c r="AJ300" t="str">
        <v/>
      </c>
      <c r="AK300" t="str">
        <v>01/10/2026 11:39:01</v>
      </c>
      <c r="AL300" t="str">
        <v>11:39:01</v>
      </c>
      <c r="AM300" t="str">
        <v/>
      </c>
    </row>
    <row r="301">
      <c r="A301">
        <v>300</v>
      </c>
      <c r="B301" t="str">
        <v>MASS BSF</v>
      </c>
      <c r="C301" t="str">
        <v>F8R-810</v>
      </c>
      <c r="D301" t="str">
        <v>F8R-810</v>
      </c>
      <c r="E301" t="str">
        <v/>
      </c>
      <c r="F301" t="str">
        <v>867806078868827</v>
      </c>
      <c r="G301" t="str">
        <v>TBD</v>
      </c>
      <c r="H301" t="str">
        <v/>
      </c>
      <c r="I301" t="str">
        <v/>
      </c>
      <c r="J301" t="str">
        <v>01/10/2026</v>
      </c>
      <c r="K301" t="str">
        <v>11:39:15</v>
      </c>
      <c r="L301">
        <v>-12.331155</v>
      </c>
      <c r="M301">
        <v>-76.82151</v>
      </c>
      <c r="N301">
        <f>HYPERLINK("https://www.google.com/maps/search/?api=1&amp;query=-12.331155,-76.82151","Carretera Panamericana Sur, Punta Hermosa, Lima")</f>
      </c>
      <c r="O301" t="str">
        <v>Aceleración brusca</v>
      </c>
      <c r="P301" t="str">
        <v>CMT-910</v>
      </c>
      <c r="Q301">
        <v>2133.1</v>
      </c>
      <c r="R301" t="str">
        <v/>
      </c>
      <c r="S301">
        <v>58.8</v>
      </c>
      <c r="T301">
        <v>81.52</v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>
        <v>85</v>
      </c>
      <c r="AC301" t="str">
        <v>01/10/2026</v>
      </c>
      <c r="AD301" t="str">
        <v>11:39:13</v>
      </c>
      <c r="AE301">
        <f>IF("ONLINE"="NOGPS","GPS Antiguo","En línea")</f>
      </c>
      <c r="AF301">
        <f>IF(0=0,"Sin atender", IF(0=1,"Atendida","Atendida y Reportada"))</f>
      </c>
      <c r="AG301" t="str">
        <v/>
      </c>
      <c r="AH301" t="str">
        <v/>
      </c>
      <c r="AI301" t="str">
        <v/>
      </c>
      <c r="AJ301" t="str">
        <v/>
      </c>
      <c r="AK301" t="str">
        <v>01/10/2026 11:39:30</v>
      </c>
      <c r="AL301" t="str">
        <v>11:39:30</v>
      </c>
      <c r="AM301" t="str">
        <v/>
      </c>
    </row>
    <row r="302">
      <c r="A302">
        <v>301</v>
      </c>
      <c r="B302" t="str">
        <v>MASS BSF</v>
      </c>
      <c r="C302" t="str">
        <v>F8R-810</v>
      </c>
      <c r="D302" t="str">
        <v>F8R-810</v>
      </c>
      <c r="E302" t="str">
        <v/>
      </c>
      <c r="F302" t="str">
        <v>867806078868827</v>
      </c>
      <c r="G302" t="str">
        <v>TBD</v>
      </c>
      <c r="H302" t="str">
        <v/>
      </c>
      <c r="I302" t="str">
        <v/>
      </c>
      <c r="J302" t="str">
        <v>01/10/2026</v>
      </c>
      <c r="K302" t="str">
        <v>11:39:43</v>
      </c>
      <c r="L302">
        <v>-12.334615</v>
      </c>
      <c r="M302">
        <v>-76.819244</v>
      </c>
      <c r="N302">
        <f>HYPERLINK("https://www.google.com/maps/search/?api=1&amp;query=-12.334615,-76.819244","Carretera Panamericana Sur, Punta Hermosa, Lima")</f>
      </c>
      <c r="O302" t="str">
        <v>Aceleración brusca</v>
      </c>
      <c r="P302" t="str">
        <v>CMT-910</v>
      </c>
      <c r="Q302">
        <v>2133.5</v>
      </c>
      <c r="R302" t="str">
        <v/>
      </c>
      <c r="S302">
        <v>52.4</v>
      </c>
      <c r="T302">
        <v>81.52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>
        <v>85</v>
      </c>
      <c r="AC302" t="str">
        <v>01/10/2026</v>
      </c>
      <c r="AD302" t="str">
        <v>11:39:41</v>
      </c>
      <c r="AE302">
        <f>IF("ONLINE"="NOGPS","GPS Antiguo","En línea")</f>
      </c>
      <c r="AF302">
        <f>IF(0=0,"Sin atender", IF(0=1,"Atendida","Atendida y Reportada"))</f>
      </c>
      <c r="AG302" t="str">
        <v/>
      </c>
      <c r="AH302" t="str">
        <v/>
      </c>
      <c r="AI302" t="str">
        <v/>
      </c>
      <c r="AJ302" t="str">
        <v/>
      </c>
      <c r="AK302" t="str">
        <v>01/10/2026 11:39:48</v>
      </c>
      <c r="AL302" t="str">
        <v>11:39:48</v>
      </c>
      <c r="AM302" t="str">
        <v/>
      </c>
    </row>
    <row r="303">
      <c r="A303">
        <v>302</v>
      </c>
      <c r="B303" t="str">
        <v>MASS BSF</v>
      </c>
      <c r="C303" t="str">
        <v>F8R-810</v>
      </c>
      <c r="D303" t="str">
        <v>F8R-810</v>
      </c>
      <c r="E303" t="str">
        <v/>
      </c>
      <c r="F303" t="str">
        <v>867806078868827</v>
      </c>
      <c r="G303" t="str">
        <v>TBD</v>
      </c>
      <c r="H303" t="str">
        <v/>
      </c>
      <c r="I303" t="str">
        <v/>
      </c>
      <c r="J303" t="str">
        <v>01/10/2026</v>
      </c>
      <c r="K303" t="str">
        <v>11:39:50</v>
      </c>
      <c r="L303">
        <v>-12.335357</v>
      </c>
      <c r="M303">
        <v>-76.81883</v>
      </c>
      <c r="N303">
        <f>HYPERLINK("https://www.google.com/maps/search/?api=1&amp;query=-12.335357,-76.81883","Carretera Panamericana Sur, Punta Hermosa, Lima")</f>
      </c>
      <c r="O303" t="str">
        <v>Acelerado y giro brusco</v>
      </c>
      <c r="P303" t="str">
        <v/>
      </c>
      <c r="Q303">
        <v>2133.6</v>
      </c>
      <c r="R303" t="str">
        <v/>
      </c>
      <c r="S303">
        <v>33.7</v>
      </c>
      <c r="T303">
        <v>81.52</v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>
        <v>85</v>
      </c>
      <c r="AC303" t="str">
        <v>01/10/2026</v>
      </c>
      <c r="AD303" t="str">
        <v>11:39:49</v>
      </c>
      <c r="AE303">
        <f>IF("ONLINE"="NOGPS","GPS Antiguo","En línea")</f>
      </c>
      <c r="AF303">
        <f>IF(0=0,"Sin atender", IF(0=1,"Atendida","Atendida y Reportada"))</f>
      </c>
      <c r="AG303" t="str">
        <v/>
      </c>
      <c r="AH303" t="str">
        <v/>
      </c>
      <c r="AI303" t="str">
        <v/>
      </c>
      <c r="AJ303" t="str">
        <v/>
      </c>
      <c r="AK303" t="str">
        <v>01/10/2026 11:40:01</v>
      </c>
      <c r="AL303" t="str">
        <v>11:40:01</v>
      </c>
      <c r="AM303" t="str">
        <v/>
      </c>
    </row>
    <row r="304">
      <c r="A304">
        <v>303</v>
      </c>
      <c r="B304" t="str">
        <v>MASS BSF</v>
      </c>
      <c r="C304" t="str">
        <v>F8R-810</v>
      </c>
      <c r="D304" t="str">
        <v>F8R-810</v>
      </c>
      <c r="E304" t="str">
        <v/>
      </c>
      <c r="F304" t="str">
        <v>867806078868827</v>
      </c>
      <c r="G304" t="str">
        <v>TBD</v>
      </c>
      <c r="H304" t="str">
        <v/>
      </c>
      <c r="I304" t="str">
        <v/>
      </c>
      <c r="J304" t="str">
        <v>01/10/2026</v>
      </c>
      <c r="K304" t="str">
        <v>11:39:57</v>
      </c>
      <c r="L304">
        <v>-12.33575</v>
      </c>
      <c r="M304">
        <v>-76.81882</v>
      </c>
      <c r="N304">
        <f>HYPERLINK("https://www.google.com/maps/search/?api=1&amp;query=-12.33575,-76.81882","Carretera Panamericana Sur, Punta Hermosa, Lima")</f>
      </c>
      <c r="O304" t="str">
        <v>Aceleración brusca</v>
      </c>
      <c r="P304" t="str">
        <v>CMT-910</v>
      </c>
      <c r="Q304">
        <v>2133.7</v>
      </c>
      <c r="R304" t="str">
        <v/>
      </c>
      <c r="S304">
        <v>24.8</v>
      </c>
      <c r="T304">
        <v>81.52</v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>
        <v>85</v>
      </c>
      <c r="AC304" t="str">
        <v>01/10/2026</v>
      </c>
      <c r="AD304" t="str">
        <v>11:39:55</v>
      </c>
      <c r="AE304">
        <f>IF("ONLINE"="NOGPS","GPS Antiguo","En línea")</f>
      </c>
      <c r="AF304">
        <f>IF(0=0,"Sin atender", IF(0=1,"Atendida","Atendida y Reportada"))</f>
      </c>
      <c r="AG304" t="str">
        <v/>
      </c>
      <c r="AH304" t="str">
        <v/>
      </c>
      <c r="AI304" t="str">
        <v/>
      </c>
      <c r="AJ304" t="str">
        <v/>
      </c>
      <c r="AK304" t="str">
        <v>01/10/2026 11:40:04</v>
      </c>
      <c r="AL304" t="str">
        <v>11:40:04</v>
      </c>
      <c r="AM304" t="str">
        <v/>
      </c>
    </row>
    <row r="305">
      <c r="A305">
        <v>304</v>
      </c>
      <c r="B305" t="str">
        <v>MASS BSF</v>
      </c>
      <c r="C305" t="str">
        <v>F8R-810</v>
      </c>
      <c r="D305" t="str">
        <v>F8R-810</v>
      </c>
      <c r="E305" t="str">
        <v/>
      </c>
      <c r="F305" t="str">
        <v>867806078868827</v>
      </c>
      <c r="G305" t="str">
        <v>TBD</v>
      </c>
      <c r="H305" t="str">
        <v/>
      </c>
      <c r="I305" t="str">
        <v/>
      </c>
      <c r="J305" t="str">
        <v>01/10/2026</v>
      </c>
      <c r="K305" t="str">
        <v>11:40:15</v>
      </c>
      <c r="L305">
        <v>-12.335287</v>
      </c>
      <c r="M305">
        <v>-76.81952</v>
      </c>
      <c r="N305">
        <f>HYPERLINK("https://www.google.com/maps/search/?api=1&amp;query=-12.335287,-76.81952","Antigua Panamericana Sur, Punta Hermosa, Lima")</f>
      </c>
      <c r="O305" t="str">
        <v>Acelerado y giro brusco</v>
      </c>
      <c r="P305" t="str">
        <v/>
      </c>
      <c r="Q305">
        <v>2133.8</v>
      </c>
      <c r="R305" t="str">
        <v/>
      </c>
      <c r="S305">
        <v>29.4</v>
      </c>
      <c r="T305">
        <v>81.52</v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>
        <v>85</v>
      </c>
      <c r="AC305" t="str">
        <v>01/10/2026</v>
      </c>
      <c r="AD305" t="str">
        <v>11:40:13</v>
      </c>
      <c r="AE305">
        <f>IF("ONLINE"="NOGPS","GPS Antiguo","En línea")</f>
      </c>
      <c r="AF305">
        <f>IF(0=0,"Sin atender", IF(0=1,"Atendida","Atendida y Reportada"))</f>
      </c>
      <c r="AG305" t="str">
        <v/>
      </c>
      <c r="AH305" t="str">
        <v/>
      </c>
      <c r="AI305" t="str">
        <v/>
      </c>
      <c r="AJ305" t="str">
        <v/>
      </c>
      <c r="AK305" t="str">
        <v>01/10/2026 11:40:34</v>
      </c>
      <c r="AL305" t="str">
        <v>11:40:34</v>
      </c>
      <c r="AM305" t="str">
        <v/>
      </c>
    </row>
    <row r="306">
      <c r="A306">
        <v>305</v>
      </c>
      <c r="B306" t="str">
        <v>MASS BSF</v>
      </c>
      <c r="C306" t="str">
        <v>F8R-810</v>
      </c>
      <c r="D306" t="str">
        <v>F8R-810</v>
      </c>
      <c r="E306" t="str">
        <v/>
      </c>
      <c r="F306" t="str">
        <v>867806078868827</v>
      </c>
      <c r="G306" t="str">
        <v>TBD</v>
      </c>
      <c r="H306" t="str">
        <v/>
      </c>
      <c r="I306" t="str">
        <v/>
      </c>
      <c r="J306" t="str">
        <v>01/10/2026</v>
      </c>
      <c r="K306" t="str">
        <v>11:40:19</v>
      </c>
      <c r="L306">
        <v>-12.335053</v>
      </c>
      <c r="M306">
        <v>-76.81968</v>
      </c>
      <c r="N306">
        <f>HYPERLINK("https://www.google.com/maps/search/?api=1&amp;query=-12.335053,-76.81968","Antigua Panamericana Sur, Punta Hermosa, Lima")</f>
      </c>
      <c r="O306" t="str">
        <v>Aceleración brusca</v>
      </c>
      <c r="P306" t="str">
        <v>CMT-910</v>
      </c>
      <c r="Q306">
        <v>2133.8</v>
      </c>
      <c r="R306" t="str">
        <v/>
      </c>
      <c r="S306">
        <v>25.3</v>
      </c>
      <c r="T306">
        <v>81.52</v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>
        <v>85</v>
      </c>
      <c r="AC306" t="str">
        <v>01/10/2026</v>
      </c>
      <c r="AD306" t="str">
        <v>11:40:17</v>
      </c>
      <c r="AE306">
        <f>IF("ONLINE"="NOGPS","GPS Antiguo","En línea")</f>
      </c>
      <c r="AF306">
        <f>IF(0=0,"Sin atender", IF(0=1,"Atendida","Atendida y Reportada"))</f>
      </c>
      <c r="AG306" t="str">
        <v/>
      </c>
      <c r="AH306" t="str">
        <v/>
      </c>
      <c r="AI306" t="str">
        <v/>
      </c>
      <c r="AJ306" t="str">
        <v/>
      </c>
      <c r="AK306" t="str">
        <v>01/10/2026 11:40:32</v>
      </c>
      <c r="AL306" t="str">
        <v>11:40:32</v>
      </c>
      <c r="AM306" t="str">
        <v/>
      </c>
    </row>
    <row r="307">
      <c r="A307">
        <v>306</v>
      </c>
      <c r="B307" t="str">
        <v>MASS BSF</v>
      </c>
      <c r="C307" t="str">
        <v>F8R-810</v>
      </c>
      <c r="D307" t="str">
        <v>F8R-810</v>
      </c>
      <c r="E307" t="str">
        <v/>
      </c>
      <c r="F307" t="str">
        <v>867806078868827</v>
      </c>
      <c r="G307" t="str">
        <v>TBD</v>
      </c>
      <c r="H307" t="str">
        <v/>
      </c>
      <c r="I307" t="str">
        <v/>
      </c>
      <c r="J307" t="str">
        <v>01/10/2026</v>
      </c>
      <c r="K307" t="str">
        <v>11:40:34</v>
      </c>
      <c r="L307">
        <v>-12.334293</v>
      </c>
      <c r="M307">
        <v>-76.8202</v>
      </c>
      <c r="N307">
        <f>HYPERLINK("https://www.google.com/maps/search/?api=1&amp;query=-12.334293,-76.8202","Antigua Panamericana Sur, Punta Hermosa, Lima")</f>
      </c>
      <c r="O307" t="str">
        <v>Acelerado y giro brusco</v>
      </c>
      <c r="P307" t="str">
        <v/>
      </c>
      <c r="Q307">
        <v>2133.9</v>
      </c>
      <c r="R307" t="str">
        <v/>
      </c>
      <c r="S307">
        <v>28.3</v>
      </c>
      <c r="T307">
        <v>81.52</v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>
        <v>85</v>
      </c>
      <c r="AC307" t="str">
        <v>01/10/2026</v>
      </c>
      <c r="AD307" t="str">
        <v>11:40:32</v>
      </c>
      <c r="AE307">
        <f>IF("ONLINE"="NOGPS","GPS Antiguo","En línea")</f>
      </c>
      <c r="AF307">
        <f>IF(0=0,"Sin atender", IF(0=1,"Atendida","Atendida y Reportada"))</f>
      </c>
      <c r="AG307" t="str">
        <v/>
      </c>
      <c r="AH307" t="str">
        <v/>
      </c>
      <c r="AI307" t="str">
        <v/>
      </c>
      <c r="AJ307" t="str">
        <v/>
      </c>
      <c r="AK307" t="str">
        <v>01/10/2026 11:40:47</v>
      </c>
      <c r="AL307" t="str">
        <v>11:40:47</v>
      </c>
      <c r="AM307" t="str">
        <v/>
      </c>
    </row>
    <row r="308">
      <c r="A308">
        <v>307</v>
      </c>
      <c r="B308" t="str">
        <v>MASS BSF</v>
      </c>
      <c r="C308" t="str">
        <v>F8R-810</v>
      </c>
      <c r="D308" t="str">
        <v>F8R-810</v>
      </c>
      <c r="E308" t="str">
        <v/>
      </c>
      <c r="F308" t="str">
        <v>867806078868827</v>
      </c>
      <c r="G308" t="str">
        <v>TBD</v>
      </c>
      <c r="H308" t="str">
        <v/>
      </c>
      <c r="I308" t="str">
        <v/>
      </c>
      <c r="J308" t="str">
        <v>01/10/2026</v>
      </c>
      <c r="K308" t="str">
        <v>11:40:40</v>
      </c>
      <c r="L308">
        <v>-12.333952</v>
      </c>
      <c r="M308">
        <v>-76.820435</v>
      </c>
      <c r="N308">
        <f>HYPERLINK("https://www.google.com/maps/search/?api=1&amp;query=-12.333952,-76.820435","Antigua Panamericana Sur, Punta Hermosa, Lima")</f>
      </c>
      <c r="O308" t="str">
        <v>Acelerado y giro brusco</v>
      </c>
      <c r="P308" t="str">
        <v/>
      </c>
      <c r="Q308">
        <v>2134</v>
      </c>
      <c r="R308" t="str">
        <v/>
      </c>
      <c r="S308">
        <v>24.8</v>
      </c>
      <c r="T308">
        <v>81.52</v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>
        <v>85</v>
      </c>
      <c r="AC308" t="str">
        <v>01/10/2026</v>
      </c>
      <c r="AD308" t="str">
        <v>11:40:38</v>
      </c>
      <c r="AE308">
        <f>IF("ONLINE"="NOGPS","GPS Antiguo","En línea")</f>
      </c>
      <c r="AF308">
        <f>IF(0=0,"Sin atender", IF(0=1,"Atendida","Atendida y Reportada"))</f>
      </c>
      <c r="AG308" t="str">
        <v/>
      </c>
      <c r="AH308" t="str">
        <v/>
      </c>
      <c r="AI308" t="str">
        <v/>
      </c>
      <c r="AJ308" t="str">
        <v/>
      </c>
      <c r="AK308" t="str">
        <v>01/10/2026 11:41:07</v>
      </c>
      <c r="AL308" t="str">
        <v>11:41:07</v>
      </c>
      <c r="AM308" t="str">
        <v/>
      </c>
    </row>
    <row r="309">
      <c r="A309">
        <v>308</v>
      </c>
      <c r="B309" t="str">
        <v>MASS BSF</v>
      </c>
      <c r="C309" t="str">
        <v>F8R-810</v>
      </c>
      <c r="D309" t="str">
        <v>F8R-810</v>
      </c>
      <c r="E309" t="str">
        <v/>
      </c>
      <c r="F309" t="str">
        <v>867806078868827</v>
      </c>
      <c r="G309" t="str">
        <v>TBD</v>
      </c>
      <c r="H309" t="str">
        <v/>
      </c>
      <c r="I309" t="str">
        <v/>
      </c>
      <c r="J309" t="str">
        <v>01/10/2026</v>
      </c>
      <c r="K309" t="str">
        <v>11:40:47</v>
      </c>
      <c r="L309">
        <v>-12.333698</v>
      </c>
      <c r="M309">
        <v>-76.82046</v>
      </c>
      <c r="N309">
        <f>HYPERLINK("https://www.google.com/maps/search/?api=1&amp;query=-12.333698,-76.82046","Antigua Panamericana Sur, Punta Hermosa, Lima")</f>
      </c>
      <c r="O309" t="str">
        <v>Aceleración brusca</v>
      </c>
      <c r="P309" t="str">
        <v>CMT-910</v>
      </c>
      <c r="Q309">
        <v>2134</v>
      </c>
      <c r="R309" t="str">
        <v/>
      </c>
      <c r="S309">
        <v>16.1</v>
      </c>
      <c r="T309">
        <v>81.52</v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>
        <v>85</v>
      </c>
      <c r="AC309" t="str">
        <v>01/10/2026</v>
      </c>
      <c r="AD309" t="str">
        <v>11:40:45</v>
      </c>
      <c r="AE309">
        <f>IF("ONLINE"="NOGPS","GPS Antiguo","En línea")</f>
      </c>
      <c r="AF309">
        <f>IF(0=0,"Sin atender", IF(0=1,"Atendida","Atendida y Reportada"))</f>
      </c>
      <c r="AG309" t="str">
        <v/>
      </c>
      <c r="AH309" t="str">
        <v/>
      </c>
      <c r="AI309" t="str">
        <v/>
      </c>
      <c r="AJ309" t="str">
        <v/>
      </c>
      <c r="AK309" t="str">
        <v>01/10/2026 11:40:55</v>
      </c>
      <c r="AL309" t="str">
        <v>11:40:55</v>
      </c>
      <c r="AM309" t="str">
        <v/>
      </c>
    </row>
    <row r="310">
      <c r="A310">
        <v>309</v>
      </c>
      <c r="B310" t="str">
        <v>MASS BSF</v>
      </c>
      <c r="C310" t="str">
        <v>F8R-810</v>
      </c>
      <c r="D310" t="str">
        <v>F8R-810</v>
      </c>
      <c r="E310" t="str">
        <v/>
      </c>
      <c r="F310" t="str">
        <v>867806078868827</v>
      </c>
      <c r="G310" t="str">
        <v>TBD</v>
      </c>
      <c r="H310" t="str">
        <v/>
      </c>
      <c r="I310" t="str">
        <v/>
      </c>
      <c r="J310" t="str">
        <v>01/10/2026</v>
      </c>
      <c r="K310" t="str">
        <v>11:40:53</v>
      </c>
      <c r="L310">
        <v>-12.33372</v>
      </c>
      <c r="M310">
        <v>-76.82012</v>
      </c>
      <c r="N310">
        <f>HYPERLINK("https://www.google.com/maps/search/?api=1&amp;query=-12.33372,-76.82012","Carretera Panamericana Sur, Punta Hermosa, Lima")</f>
      </c>
      <c r="O310" t="str">
        <v>Acelerado y giro brusco</v>
      </c>
      <c r="P310" t="str">
        <v/>
      </c>
      <c r="Q310">
        <v>2134</v>
      </c>
      <c r="R310" t="str">
        <v/>
      </c>
      <c r="S310">
        <v>27.4</v>
      </c>
      <c r="T310">
        <v>81.52</v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>
        <v>94</v>
      </c>
      <c r="AC310" t="str">
        <v>01/10/2026</v>
      </c>
      <c r="AD310" t="str">
        <v>11:40:51</v>
      </c>
      <c r="AE310">
        <f>IF("ONLINE"="NOGPS","GPS Antiguo","En línea")</f>
      </c>
      <c r="AF310">
        <f>IF(0=0,"Sin atender", IF(0=1,"Atendida","Atendida y Reportada"))</f>
      </c>
      <c r="AG310" t="str">
        <v/>
      </c>
      <c r="AH310" t="str">
        <v/>
      </c>
      <c r="AI310" t="str">
        <v/>
      </c>
      <c r="AJ310" t="str">
        <v/>
      </c>
      <c r="AK310" t="str">
        <v>01/10/2026 11:41:09</v>
      </c>
      <c r="AL310" t="str">
        <v>11:41:09</v>
      </c>
      <c r="AM310" t="str">
        <v/>
      </c>
    </row>
    <row r="311">
      <c r="A311">
        <v>310</v>
      </c>
      <c r="B311" t="str">
        <v>MASS BSF</v>
      </c>
      <c r="C311" t="str">
        <v>F8R-810</v>
      </c>
      <c r="D311" t="str">
        <v>F8R-810</v>
      </c>
      <c r="E311" t="str">
        <v/>
      </c>
      <c r="F311" t="str">
        <v>867806078868827</v>
      </c>
      <c r="G311" t="str">
        <v>TBD</v>
      </c>
      <c r="H311" t="str">
        <v/>
      </c>
      <c r="I311" t="str">
        <v/>
      </c>
      <c r="J311" t="str">
        <v>01/10/2026</v>
      </c>
      <c r="K311" t="str">
        <v>11:40:59</v>
      </c>
      <c r="L311">
        <v>-12.333583</v>
      </c>
      <c r="M311">
        <v>-76.81972</v>
      </c>
      <c r="N311">
        <f>HYPERLINK("https://www.google.com/maps/search/?api=1&amp;query=-12.333583,-76.81972","Carretera Panamericana Sur, Punta Hermosa, Lima")</f>
      </c>
      <c r="O311" t="str">
        <v>Acelerado y giro brusco</v>
      </c>
      <c r="P311" t="str">
        <v/>
      </c>
      <c r="Q311">
        <v>2134.1</v>
      </c>
      <c r="R311" t="str">
        <v/>
      </c>
      <c r="S311">
        <v>28.8</v>
      </c>
      <c r="T311">
        <v>81.52</v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>
        <v>94</v>
      </c>
      <c r="AC311" t="str">
        <v>01/10/2026</v>
      </c>
      <c r="AD311" t="str">
        <v>11:40:57</v>
      </c>
      <c r="AE311">
        <f>IF("ONLINE"="NOGPS","GPS Antiguo","En línea")</f>
      </c>
      <c r="AF311">
        <f>IF(0=0,"Sin atender", IF(0=1,"Atendida","Atendida y Reportada"))</f>
      </c>
      <c r="AG311" t="str">
        <v/>
      </c>
      <c r="AH311" t="str">
        <v/>
      </c>
      <c r="AI311" t="str">
        <v/>
      </c>
      <c r="AJ311" t="str">
        <v/>
      </c>
      <c r="AK311" t="str">
        <v>01/10/2026 11:41:11</v>
      </c>
      <c r="AL311" t="str">
        <v>11:41:11</v>
      </c>
      <c r="AM311" t="str">
        <v/>
      </c>
    </row>
    <row r="312">
      <c r="A312">
        <v>311</v>
      </c>
      <c r="B312" t="str">
        <v>MASS BSF</v>
      </c>
      <c r="C312" t="str">
        <v>F8R-810</v>
      </c>
      <c r="D312" t="str">
        <v>F8R-810</v>
      </c>
      <c r="E312" t="str">
        <v/>
      </c>
      <c r="F312" t="str">
        <v>867806078868827</v>
      </c>
      <c r="G312" t="str">
        <v>TBD</v>
      </c>
      <c r="H312" t="str">
        <v/>
      </c>
      <c r="I312" t="str">
        <v/>
      </c>
      <c r="J312" t="str">
        <v>01/10/2026</v>
      </c>
      <c r="K312" t="str">
        <v>11:41:21</v>
      </c>
      <c r="L312">
        <v>-12.332165</v>
      </c>
      <c r="M312">
        <v>-76.82044</v>
      </c>
      <c r="N312">
        <f>HYPERLINK("https://www.google.com/maps/search/?api=1&amp;query=-12.332165,-76.82044","Carretera Panamericana Sur, Punta Hermosa, Lima")</f>
      </c>
      <c r="O312" t="str">
        <v>Acelerado y giro brusco</v>
      </c>
      <c r="P312" t="str">
        <v/>
      </c>
      <c r="Q312">
        <v>2134.3</v>
      </c>
      <c r="R312" t="str">
        <v/>
      </c>
      <c r="S312">
        <v>34.8</v>
      </c>
      <c r="T312">
        <v>81.52</v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>
        <v>93</v>
      </c>
      <c r="AC312" t="str">
        <v>01/10/2026</v>
      </c>
      <c r="AD312" t="str">
        <v>11:41:19</v>
      </c>
      <c r="AE312">
        <f>IF("ONLINE"="NOGPS","GPS Antiguo","En línea")</f>
      </c>
      <c r="AF312">
        <f>IF(0=0,"Sin atender", IF(0=1,"Atendida","Atendida y Reportada"))</f>
      </c>
      <c r="AG312" t="str">
        <v/>
      </c>
      <c r="AH312" t="str">
        <v/>
      </c>
      <c r="AI312" t="str">
        <v/>
      </c>
      <c r="AJ312" t="str">
        <v/>
      </c>
      <c r="AK312" t="str">
        <v>01/10/2026 11:41:38</v>
      </c>
      <c r="AL312" t="str">
        <v>11:41:38</v>
      </c>
      <c r="AM312" t="str">
        <v/>
      </c>
    </row>
    <row r="313">
      <c r="A313">
        <v>312</v>
      </c>
      <c r="B313" t="str">
        <v>MASS BSF</v>
      </c>
      <c r="C313" t="str">
        <v>F8R-810</v>
      </c>
      <c r="D313" t="str">
        <v>F8R-810</v>
      </c>
      <c r="E313" t="str">
        <v/>
      </c>
      <c r="F313" t="str">
        <v>867806078868827</v>
      </c>
      <c r="G313" t="str">
        <v>TBD</v>
      </c>
      <c r="H313" t="str">
        <v/>
      </c>
      <c r="I313" t="str">
        <v/>
      </c>
      <c r="J313" t="str">
        <v>01/10/2026</v>
      </c>
      <c r="K313" t="str">
        <v>11:41:33</v>
      </c>
      <c r="L313">
        <v>-12.331253</v>
      </c>
      <c r="M313">
        <v>-76.82122</v>
      </c>
      <c r="N313">
        <f>HYPERLINK("https://www.google.com/maps/search/?api=1&amp;query=-12.331253,-76.82122","Carretera Panamericana Sur, Punta Hermosa, Lima")</f>
      </c>
      <c r="O313" t="str">
        <v>Acelerado y giro brusco</v>
      </c>
      <c r="P313" t="str">
        <v/>
      </c>
      <c r="Q313">
        <v>2134.4</v>
      </c>
      <c r="R313" t="str">
        <v/>
      </c>
      <c r="S313">
        <v>45.5</v>
      </c>
      <c r="T313">
        <v>81.52</v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>
        <v>93</v>
      </c>
      <c r="AC313" t="str">
        <v>01/10/2026</v>
      </c>
      <c r="AD313" t="str">
        <v>11:41:31</v>
      </c>
      <c r="AE313">
        <f>IF("ONLINE"="NOGPS","GPS Antiguo","En línea")</f>
      </c>
      <c r="AF313">
        <f>IF(0=0,"Sin atender", IF(0=1,"Atendida","Atendida y Reportada"))</f>
      </c>
      <c r="AG313" t="str">
        <v/>
      </c>
      <c r="AH313" t="str">
        <v/>
      </c>
      <c r="AI313" t="str">
        <v/>
      </c>
      <c r="AJ313" t="str">
        <v/>
      </c>
      <c r="AK313" t="str">
        <v>01/10/2026 11:41:59</v>
      </c>
      <c r="AL313" t="str">
        <v>11:41:59</v>
      </c>
      <c r="AM313" t="str">
        <v/>
      </c>
    </row>
    <row r="314">
      <c r="A314">
        <v>313</v>
      </c>
      <c r="B314" t="str">
        <v>MASS BSF</v>
      </c>
      <c r="C314" t="str">
        <v>F8R-810</v>
      </c>
      <c r="D314" t="str">
        <v>F8R-810</v>
      </c>
      <c r="E314" t="str">
        <v/>
      </c>
      <c r="F314" t="str">
        <v>867806078868827</v>
      </c>
      <c r="G314" t="str">
        <v>TBD</v>
      </c>
      <c r="H314" t="str">
        <v/>
      </c>
      <c r="I314" t="str">
        <v/>
      </c>
      <c r="J314" t="str">
        <v>01/10/2026</v>
      </c>
      <c r="K314" t="str">
        <v>11:42:03</v>
      </c>
      <c r="L314">
        <v>-12.328132</v>
      </c>
      <c r="M314">
        <v>-76.82336</v>
      </c>
      <c r="N314">
        <f>HYPERLINK("https://www.google.com/maps/search/?api=1&amp;query=-12.328132,-76.82336","Carretera Panamericana Sur, Punta Hermosa, Lima")</f>
      </c>
      <c r="O314" t="str">
        <v>Aceleración brusca</v>
      </c>
      <c r="P314" t="str">
        <v>CMT-910</v>
      </c>
      <c r="Q314">
        <v>2134.8</v>
      </c>
      <c r="R314" t="str">
        <v/>
      </c>
      <c r="S314">
        <v>53.8</v>
      </c>
      <c r="T314">
        <v>81.52</v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>
        <v>93</v>
      </c>
      <c r="AC314" t="str">
        <v>01/10/2026</v>
      </c>
      <c r="AD314" t="str">
        <v>11:42:01</v>
      </c>
      <c r="AE314">
        <f>IF("ONLINE"="NOGPS","GPS Antiguo","En línea")</f>
      </c>
      <c r="AF314">
        <f>IF(0=0,"Sin atender", IF(0=1,"Atendida","Atendida y Reportada"))</f>
      </c>
      <c r="AG314" t="str">
        <v/>
      </c>
      <c r="AH314" t="str">
        <v/>
      </c>
      <c r="AI314" t="str">
        <v/>
      </c>
      <c r="AJ314" t="str">
        <v/>
      </c>
      <c r="AK314" t="str">
        <v>01/10/2026 11:42:19</v>
      </c>
      <c r="AL314" t="str">
        <v>11:42:19</v>
      </c>
      <c r="AM314" t="str">
        <v/>
      </c>
    </row>
    <row r="315">
      <c r="A315">
        <v>314</v>
      </c>
      <c r="B315" t="str">
        <v>MASS BSF</v>
      </c>
      <c r="C315" t="str">
        <v>F8R-810</v>
      </c>
      <c r="D315" t="str">
        <v>F8R-810</v>
      </c>
      <c r="E315" t="str">
        <v/>
      </c>
      <c r="F315" t="str">
        <v>867806078868827</v>
      </c>
      <c r="G315" t="str">
        <v>TBD</v>
      </c>
      <c r="H315" t="str">
        <v/>
      </c>
      <c r="I315" t="str">
        <v/>
      </c>
      <c r="J315" t="str">
        <v>01/10/2026</v>
      </c>
      <c r="K315" t="str">
        <v>11:42:08</v>
      </c>
      <c r="L315">
        <v>-12.327435</v>
      </c>
      <c r="M315">
        <v>-76.82383</v>
      </c>
      <c r="N315">
        <f>HYPERLINK("https://www.google.com/maps/search/?api=1&amp;query=-12.327435,-76.82383","Carretera Panamericana Sur, Punta Hermosa, Lima")</f>
      </c>
      <c r="O315" t="str">
        <v>Aceleración brusca</v>
      </c>
      <c r="P315" t="str">
        <v>CMT-910</v>
      </c>
      <c r="Q315">
        <v>2134.9</v>
      </c>
      <c r="R315" t="str">
        <v/>
      </c>
      <c r="S315">
        <v>57.2</v>
      </c>
      <c r="T315">
        <v>81.52</v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>
        <v>93</v>
      </c>
      <c r="AC315" t="str">
        <v>01/10/2026</v>
      </c>
      <c r="AD315" t="str">
        <v>11:42:07</v>
      </c>
      <c r="AE315">
        <f>IF("ONLINE"="NOGPS","GPS Antiguo","En línea")</f>
      </c>
      <c r="AF315">
        <f>IF(0=0,"Sin atender", IF(0=1,"Atendida","Atendida y Reportada"))</f>
      </c>
      <c r="AG315" t="str">
        <v/>
      </c>
      <c r="AH315" t="str">
        <v/>
      </c>
      <c r="AI315" t="str">
        <v/>
      </c>
      <c r="AJ315" t="str">
        <v/>
      </c>
      <c r="AK315" t="str">
        <v>01/10/2026 11:42:25</v>
      </c>
      <c r="AL315" t="str">
        <v>11:42:25</v>
      </c>
      <c r="AM315" t="str">
        <v/>
      </c>
    </row>
    <row r="316">
      <c r="A316">
        <v>315</v>
      </c>
      <c r="B316" t="str">
        <v>MASS BSF</v>
      </c>
      <c r="C316" t="str">
        <v>F8R-810</v>
      </c>
      <c r="D316" t="str">
        <v>F8R-810</v>
      </c>
      <c r="E316" t="str">
        <v/>
      </c>
      <c r="F316" t="str">
        <v>867806078868827</v>
      </c>
      <c r="G316" t="str">
        <v>TBD</v>
      </c>
      <c r="H316" t="str">
        <v/>
      </c>
      <c r="I316" t="str">
        <v/>
      </c>
      <c r="J316" t="str">
        <v>01/10/2026</v>
      </c>
      <c r="K316" t="str">
        <v>11:42:12</v>
      </c>
      <c r="L316">
        <v>-12.327073</v>
      </c>
      <c r="M316">
        <v>-76.82407</v>
      </c>
      <c r="N316">
        <f>HYPERLINK("https://www.google.com/maps/search/?api=1&amp;query=-12.327073,-76.82407","Carretera Panamericana Sur, Punta Hermosa, Lima")</f>
      </c>
      <c r="O316" t="str">
        <v>Aceleración brusca</v>
      </c>
      <c r="P316" t="str">
        <v>CMT-910</v>
      </c>
      <c r="Q316">
        <v>2135</v>
      </c>
      <c r="R316" t="str">
        <v/>
      </c>
      <c r="S316">
        <v>57.7</v>
      </c>
      <c r="T316">
        <v>81.52</v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>
        <v>93</v>
      </c>
      <c r="AC316" t="str">
        <v>01/10/2026</v>
      </c>
      <c r="AD316" t="str">
        <v>11:42:10</v>
      </c>
      <c r="AE316">
        <f>IF("ONLINE"="NOGPS","GPS Antiguo","En línea")</f>
      </c>
      <c r="AF316">
        <f>IF(0=0,"Sin atender", IF(0=1,"Atendida","Atendida y Reportada"))</f>
      </c>
      <c r="AG316" t="str">
        <v/>
      </c>
      <c r="AH316" t="str">
        <v/>
      </c>
      <c r="AI316" t="str">
        <v/>
      </c>
      <c r="AJ316" t="str">
        <v/>
      </c>
      <c r="AK316" t="str">
        <v>01/10/2026 11:42:30</v>
      </c>
      <c r="AL316" t="str">
        <v>11:42:30</v>
      </c>
      <c r="AM316" t="str">
        <v/>
      </c>
    </row>
    <row r="317">
      <c r="A317">
        <v>316</v>
      </c>
      <c r="B317" t="str">
        <v>MASS BSF</v>
      </c>
      <c r="C317" t="str">
        <v>F8R-810</v>
      </c>
      <c r="D317" t="str">
        <v>F8R-810</v>
      </c>
      <c r="E317" t="str">
        <v/>
      </c>
      <c r="F317" t="str">
        <v>867806078868827</v>
      </c>
      <c r="G317" t="str">
        <v>TBD</v>
      </c>
      <c r="H317" t="str">
        <v/>
      </c>
      <c r="I317" t="str">
        <v/>
      </c>
      <c r="J317" t="str">
        <v>01/10/2026</v>
      </c>
      <c r="K317" t="str">
        <v>11:43:15</v>
      </c>
      <c r="L317">
        <v>-12.319533</v>
      </c>
      <c r="M317">
        <v>-76.8291</v>
      </c>
      <c r="N317">
        <f>HYPERLINK("https://www.google.com/maps/search/?api=1&amp;query=-12.319533,-76.8291","Carretera Panamericana Sur, Punta Hermosa, Lima")</f>
      </c>
      <c r="O317" t="str">
        <v>Aceleración brusca</v>
      </c>
      <c r="P317" t="str">
        <v>CMT-910</v>
      </c>
      <c r="Q317">
        <v>2136</v>
      </c>
      <c r="R317" t="str">
        <v/>
      </c>
      <c r="S317">
        <v>51.8</v>
      </c>
      <c r="T317">
        <v>81.52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>
        <v>87</v>
      </c>
      <c r="AC317" t="str">
        <v>01/10/2026</v>
      </c>
      <c r="AD317" t="str">
        <v>11:43:14</v>
      </c>
      <c r="AE317">
        <f>IF("ONLINE"="NOGPS","GPS Antiguo","En línea")</f>
      </c>
      <c r="AF317">
        <f>IF(0=0,"Sin atender", IF(0=1,"Atendida","Atendida y Reportada"))</f>
      </c>
      <c r="AG317" t="str">
        <v/>
      </c>
      <c r="AH317" t="str">
        <v/>
      </c>
      <c r="AI317" t="str">
        <v/>
      </c>
      <c r="AJ317" t="str">
        <v/>
      </c>
      <c r="AK317" t="str">
        <v>01/10/2026 11:43:28</v>
      </c>
      <c r="AL317" t="str">
        <v>11:43:28</v>
      </c>
      <c r="AM317" t="str">
        <v/>
      </c>
    </row>
    <row r="318">
      <c r="A318">
        <v>317</v>
      </c>
      <c r="B318" t="str">
        <v>MASS BSF</v>
      </c>
      <c r="C318" t="str">
        <v>F8R-810</v>
      </c>
      <c r="D318" t="str">
        <v>F8R-810</v>
      </c>
      <c r="E318" t="str">
        <v/>
      </c>
      <c r="F318" t="str">
        <v>867806078868827</v>
      </c>
      <c r="G318" t="str">
        <v>TBD</v>
      </c>
      <c r="H318" t="str">
        <v/>
      </c>
      <c r="I318" t="str">
        <v/>
      </c>
      <c r="J318" t="str">
        <v>01/10/2026</v>
      </c>
      <c r="K318" t="str">
        <v>11:43:23</v>
      </c>
      <c r="L318">
        <v>-12.318789</v>
      </c>
      <c r="M318">
        <v>-76.82952</v>
      </c>
      <c r="N318">
        <f>HYPERLINK("https://www.google.com/maps/search/?api=1&amp;query=-12.318789,-76.82952","Carretera Panamericana Sur, Punta Hermosa, Lima")</f>
      </c>
      <c r="O318" t="str">
        <v>Bache</v>
      </c>
      <c r="P318" t="str">
        <v/>
      </c>
      <c r="Q318">
        <v>2136</v>
      </c>
      <c r="R318" t="str">
        <v/>
      </c>
      <c r="S318">
        <v>43.8</v>
      </c>
      <c r="T318">
        <v>81.52</v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>
        <v>87</v>
      </c>
      <c r="AC318" t="str">
        <v>01/10/2026</v>
      </c>
      <c r="AD318" t="str">
        <v>11:43:21</v>
      </c>
      <c r="AE318">
        <f>IF("ONLINE"="NOGPS","GPS Antiguo","En línea")</f>
      </c>
      <c r="AF318">
        <f>IF(0=0,"Sin atender", IF(0=1,"Atendida","Atendida y Reportada"))</f>
      </c>
      <c r="AG318" t="str">
        <v/>
      </c>
      <c r="AH318" t="str">
        <v/>
      </c>
      <c r="AI318" t="str">
        <v/>
      </c>
      <c r="AJ318" t="str">
        <v/>
      </c>
      <c r="AK318" t="str">
        <v>01/10/2026 11:43:36</v>
      </c>
      <c r="AL318" t="str">
        <v>11:43:36</v>
      </c>
      <c r="AM318" t="str">
        <v/>
      </c>
    </row>
    <row r="319">
      <c r="A319">
        <v>318</v>
      </c>
      <c r="B319" t="str">
        <v>MASS BSF</v>
      </c>
      <c r="C319" t="str">
        <v>F8R-810</v>
      </c>
      <c r="D319" t="str">
        <v>F8R-810</v>
      </c>
      <c r="E319" t="str">
        <v/>
      </c>
      <c r="F319" t="str">
        <v>867806078868827</v>
      </c>
      <c r="G319" t="str">
        <v>TBD</v>
      </c>
      <c r="H319" t="str">
        <v/>
      </c>
      <c r="I319" t="str">
        <v/>
      </c>
      <c r="J319" t="str">
        <v>01/10/2026</v>
      </c>
      <c r="K319" t="str">
        <v>11:43:28</v>
      </c>
      <c r="L319">
        <v>-12.318328</v>
      </c>
      <c r="M319">
        <v>-76.82974</v>
      </c>
      <c r="N319">
        <f>HYPERLINK("https://www.google.com/maps/search/?api=1&amp;query=-12.318328,-76.82974","Carretera Panamericana Sur, Punta Hermosa, Lima")</f>
      </c>
      <c r="O319" t="str">
        <v>Acelerado y giro brusco</v>
      </c>
      <c r="P319" t="str">
        <v/>
      </c>
      <c r="Q319">
        <v>2136.1</v>
      </c>
      <c r="R319" t="str">
        <v/>
      </c>
      <c r="S319">
        <v>35.7</v>
      </c>
      <c r="T319">
        <v>81.52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>
        <v>87</v>
      </c>
      <c r="AC319" t="str">
        <v>01/10/2026</v>
      </c>
      <c r="AD319" t="str">
        <v>11:43:26</v>
      </c>
      <c r="AE319">
        <f>IF("ONLINE"="NOGPS","GPS Antiguo","En línea")</f>
      </c>
      <c r="AF319">
        <f>IF(0=0,"Sin atender", IF(0=1,"Atendida","Atendida y Reportada"))</f>
      </c>
      <c r="AG319" t="str">
        <v/>
      </c>
      <c r="AH319" t="str">
        <v/>
      </c>
      <c r="AI319" t="str">
        <v/>
      </c>
      <c r="AJ319" t="str">
        <v/>
      </c>
      <c r="AK319" t="str">
        <v>01/10/2026 11:43:43</v>
      </c>
      <c r="AL319" t="str">
        <v>11:43:43</v>
      </c>
      <c r="AM319" t="str">
        <v/>
      </c>
    </row>
    <row r="320">
      <c r="A320">
        <v>319</v>
      </c>
      <c r="B320" t="str">
        <v>MASS BSF</v>
      </c>
      <c r="C320" t="str">
        <v>F8R-810</v>
      </c>
      <c r="D320" t="str">
        <v>F8R-810</v>
      </c>
      <c r="E320" t="str">
        <v/>
      </c>
      <c r="F320" t="str">
        <v>867806078868827</v>
      </c>
      <c r="G320" t="str">
        <v>TBD</v>
      </c>
      <c r="H320" t="str">
        <v/>
      </c>
      <c r="I320" t="str">
        <v xml:space="preserve"> </v>
      </c>
      <c r="J320" t="str">
        <v>01/10/2026</v>
      </c>
      <c r="K320" t="str">
        <v>11:43:52</v>
      </c>
      <c r="L320">
        <v>-12.317516</v>
      </c>
      <c r="M320">
        <v>-76.82963</v>
      </c>
      <c r="N320">
        <f>HYPERLINK("https://www.google.com/maps/search/?api=1&amp;query=-12.317516,-76.82963","Punta Hermosa, Lima")</f>
      </c>
      <c r="O320" t="str">
        <v>Llegó a la zona</v>
      </c>
      <c r="P320" t="str">
        <v/>
      </c>
      <c r="Q320">
        <v>2136.2</v>
      </c>
      <c r="R320" t="str">
        <v>MASS BSF 1</v>
      </c>
      <c r="S320">
        <v>9.4</v>
      </c>
      <c r="T320">
        <v>81.37</v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>
        <v>89</v>
      </c>
      <c r="AC320" t="str">
        <v>01/10/2026</v>
      </c>
      <c r="AD320" t="str">
        <v>11:43:51</v>
      </c>
      <c r="AE320">
        <f>IF("ONLINE"="NOGPS","GPS Antiguo","En línea")</f>
      </c>
      <c r="AF320">
        <f>IF(0=0,"Sin atender", IF(0=1,"Atendida","Atendida y Reportada"))</f>
      </c>
      <c r="AG320" t="str">
        <v/>
      </c>
      <c r="AH320" t="str">
        <v/>
      </c>
      <c r="AI320" t="str">
        <v/>
      </c>
      <c r="AJ320" t="str">
        <v/>
      </c>
      <c r="AK320" t="str">
        <v>01/10/2026 11:44:04</v>
      </c>
      <c r="AL320" t="str">
        <v>11:44:04</v>
      </c>
      <c r="AM320" t="str">
        <v/>
      </c>
    </row>
    <row r="321">
      <c r="A321">
        <v>320</v>
      </c>
      <c r="B321" t="str">
        <v>MASS BSF</v>
      </c>
      <c r="C321" t="str">
        <v>F8R-810</v>
      </c>
      <c r="D321" t="str">
        <v>F8R-810</v>
      </c>
      <c r="E321" t="str">
        <v/>
      </c>
      <c r="F321" t="str">
        <v>867806078868827</v>
      </c>
      <c r="G321" t="str">
        <v>TBD</v>
      </c>
      <c r="H321" t="str">
        <v/>
      </c>
      <c r="I321" t="str">
        <v/>
      </c>
      <c r="J321" t="str">
        <v>01/10/2026</v>
      </c>
      <c r="K321" t="str">
        <v>11:44:31</v>
      </c>
      <c r="L321">
        <v>-12.317342</v>
      </c>
      <c r="M321">
        <v>-76.82931</v>
      </c>
      <c r="N321">
        <f>HYPERLINK("https://www.google.com/maps/search/?api=1&amp;query=-12.317342,-76.82931","Punta Hermosa, Lima")</f>
      </c>
      <c r="O321" t="str">
        <v>Acelerado y giro brusco</v>
      </c>
      <c r="P321" t="str">
        <v/>
      </c>
      <c r="Q321">
        <v>2136.2</v>
      </c>
      <c r="R321" t="str">
        <v/>
      </c>
      <c r="S321">
        <v>10.3</v>
      </c>
      <c r="T321">
        <v>81.52</v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>
        <v>89</v>
      </c>
      <c r="AC321" t="str">
        <v>01/10/2026</v>
      </c>
      <c r="AD321" t="str">
        <v>11:44:29</v>
      </c>
      <c r="AE321">
        <f>IF("ONLINE"="NOGPS","GPS Antiguo","En línea")</f>
      </c>
      <c r="AF321">
        <f>IF(0=0,"Sin atender", IF(0=1,"Atendida","Atendida y Reportada"))</f>
      </c>
      <c r="AG321" t="str">
        <v/>
      </c>
      <c r="AH321" t="str">
        <v/>
      </c>
      <c r="AI321" t="str">
        <v/>
      </c>
      <c r="AJ321" t="str">
        <v/>
      </c>
      <c r="AK321" t="str">
        <v>01/10/2026 11:44:50</v>
      </c>
      <c r="AL321" t="str">
        <v>11:44:50</v>
      </c>
      <c r="AM321" t="str">
        <v/>
      </c>
    </row>
    <row r="322">
      <c r="A322">
        <v>321</v>
      </c>
      <c r="B322" t="str">
        <v>MASS BSF</v>
      </c>
      <c r="C322" t="str">
        <v>F8R-810</v>
      </c>
      <c r="D322" t="str">
        <v>F8R-810</v>
      </c>
      <c r="E322" t="str">
        <v/>
      </c>
      <c r="F322" t="str">
        <v>867806078868827</v>
      </c>
      <c r="G322" t="str">
        <v>TBD</v>
      </c>
      <c r="H322" t="str">
        <v/>
      </c>
      <c r="I322" t="str">
        <v/>
      </c>
      <c r="J322" t="str">
        <v>01/10/2026</v>
      </c>
      <c r="K322" t="str">
        <v>11:45:44</v>
      </c>
      <c r="L322">
        <v>-12.316267</v>
      </c>
      <c r="M322">
        <v>-76.82753</v>
      </c>
      <c r="N322">
        <f>HYPERLINK("https://www.google.com/maps/search/?api=1&amp;query=-12.316267,-76.82753","Punta Hermosa, Lima")</f>
      </c>
      <c r="O322" t="str">
        <v>Acelerado y giro brusco</v>
      </c>
      <c r="P322" t="str">
        <v/>
      </c>
      <c r="Q322">
        <v>2136.5</v>
      </c>
      <c r="R322" t="str">
        <v/>
      </c>
      <c r="S322">
        <v>11.2</v>
      </c>
      <c r="T322">
        <v>81.52</v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>
        <v>89</v>
      </c>
      <c r="AC322" t="str">
        <v>01/10/2026</v>
      </c>
      <c r="AD322" t="str">
        <v>11:45:42</v>
      </c>
      <c r="AE322">
        <f>IF("ONLINE"="NOGPS","GPS Antiguo","En línea")</f>
      </c>
      <c r="AF322">
        <f>IF(0=0,"Sin atender", IF(0=1,"Atendida","Atendida y Reportada"))</f>
      </c>
      <c r="AG322" t="str">
        <v/>
      </c>
      <c r="AH322" t="str">
        <v/>
      </c>
      <c r="AI322" t="str">
        <v/>
      </c>
      <c r="AJ322" t="str">
        <v/>
      </c>
      <c r="AK322" t="str">
        <v>01/10/2026 11:45:50</v>
      </c>
      <c r="AL322" t="str">
        <v>11:45:50</v>
      </c>
      <c r="AM322" t="str">
        <v/>
      </c>
    </row>
    <row r="323">
      <c r="A323">
        <v>322</v>
      </c>
      <c r="B323" t="str">
        <v>MASS BSF</v>
      </c>
      <c r="C323" t="str">
        <v>F8R-810</v>
      </c>
      <c r="D323" t="str">
        <v>F8R-810</v>
      </c>
      <c r="E323" t="str">
        <v/>
      </c>
      <c r="F323" t="str">
        <v>867806078868827</v>
      </c>
      <c r="G323" t="str">
        <v>TBD</v>
      </c>
      <c r="H323" t="str">
        <v/>
      </c>
      <c r="I323" t="str">
        <v/>
      </c>
      <c r="J323" t="str">
        <v>01/10/2026</v>
      </c>
      <c r="K323" t="str">
        <v>11:45:58</v>
      </c>
      <c r="L323">
        <v>-12.316056</v>
      </c>
      <c r="M323">
        <v>-76.82716</v>
      </c>
      <c r="N323">
        <f>HYPERLINK("https://www.google.com/maps/search/?api=1&amp;query=-12.316056,-76.82716","Punta Hermosa, Lima")</f>
      </c>
      <c r="O323" t="str">
        <v>Acelerado y giro brusco</v>
      </c>
      <c r="P323" t="str">
        <v/>
      </c>
      <c r="Q323">
        <v>2136.5</v>
      </c>
      <c r="R323" t="str">
        <v/>
      </c>
      <c r="S323">
        <v>13.1</v>
      </c>
      <c r="T323">
        <v>81.52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>
        <v>89</v>
      </c>
      <c r="AC323" t="str">
        <v>01/10/2026</v>
      </c>
      <c r="AD323" t="str">
        <v>11:45:56</v>
      </c>
      <c r="AE323">
        <f>IF("ONLINE"="NOGPS","GPS Antiguo","En línea")</f>
      </c>
      <c r="AF323">
        <f>IF(0=0,"Sin atender", IF(0=1,"Atendida","Atendida y Reportada"))</f>
      </c>
      <c r="AG323" t="str">
        <v/>
      </c>
      <c r="AH323" t="str">
        <v/>
      </c>
      <c r="AI323" t="str">
        <v/>
      </c>
      <c r="AJ323" t="str">
        <v/>
      </c>
      <c r="AK323" t="str">
        <v>01/10/2026 11:46:09</v>
      </c>
      <c r="AL323" t="str">
        <v>11:46:09</v>
      </c>
      <c r="AM323" t="str">
        <v/>
      </c>
    </row>
    <row r="324">
      <c r="A324">
        <v>323</v>
      </c>
      <c r="B324" t="str">
        <v>MASS BSF</v>
      </c>
      <c r="C324" t="str">
        <v>F8R-810</v>
      </c>
      <c r="D324" t="str">
        <v>F8R-810</v>
      </c>
      <c r="E324" t="str">
        <v/>
      </c>
      <c r="F324" t="str">
        <v>867806078868827</v>
      </c>
      <c r="G324" t="str">
        <v>TBD</v>
      </c>
      <c r="H324" t="str">
        <v/>
      </c>
      <c r="I324" t="str">
        <v/>
      </c>
      <c r="J324" t="str">
        <v>01/10/2026</v>
      </c>
      <c r="K324" t="str">
        <v>11:46:05</v>
      </c>
      <c r="L324">
        <v>-12.315942</v>
      </c>
      <c r="M324">
        <v>-76.826965</v>
      </c>
      <c r="N324">
        <f>HYPERLINK("https://www.google.com/maps/search/?api=1&amp;query=-12.315942,-76.826965","Punta Hermosa, Lima")</f>
      </c>
      <c r="O324" t="str">
        <v>Aceleración brusca</v>
      </c>
      <c r="P324" t="str">
        <v>CMT-910</v>
      </c>
      <c r="Q324">
        <v>2136.5</v>
      </c>
      <c r="R324" t="str">
        <v/>
      </c>
      <c r="S324">
        <v>13.1</v>
      </c>
      <c r="T324">
        <v>81.52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>
        <v>89</v>
      </c>
      <c r="AC324" t="str">
        <v>01/10/2026</v>
      </c>
      <c r="AD324" t="str">
        <v>11:46:03</v>
      </c>
      <c r="AE324">
        <f>IF("ONLINE"="NOGPS","GPS Antiguo","En línea")</f>
      </c>
      <c r="AF324">
        <f>IF(0=0,"Sin atender", IF(0=1,"Atendida","Atendida y Reportada"))</f>
      </c>
      <c r="AG324" t="str">
        <v/>
      </c>
      <c r="AH324" t="str">
        <v/>
      </c>
      <c r="AI324" t="str">
        <v/>
      </c>
      <c r="AJ324" t="str">
        <v/>
      </c>
      <c r="AK324" t="str">
        <v>01/10/2026 11:46:33</v>
      </c>
      <c r="AL324" t="str">
        <v>11:46:33</v>
      </c>
      <c r="AM324" t="str">
        <v/>
      </c>
    </row>
    <row r="325">
      <c r="A325">
        <v>324</v>
      </c>
      <c r="B325" t="str">
        <v>MASS BSF</v>
      </c>
      <c r="C325" t="str">
        <v>F8R-810</v>
      </c>
      <c r="D325" t="str">
        <v>F8R-810</v>
      </c>
      <c r="E325" t="str">
        <v/>
      </c>
      <c r="F325" t="str">
        <v>867806078868827</v>
      </c>
      <c r="G325" t="str">
        <v>TBD</v>
      </c>
      <c r="H325" t="str">
        <v/>
      </c>
      <c r="I325" t="str">
        <v/>
      </c>
      <c r="J325" t="str">
        <v>01/10/2026</v>
      </c>
      <c r="K325" t="str">
        <v>11:46:10</v>
      </c>
      <c r="L325">
        <v>-12.315865</v>
      </c>
      <c r="M325">
        <v>-76.826836</v>
      </c>
      <c r="N325">
        <f>HYPERLINK("https://www.google.com/maps/search/?api=1&amp;query=-12.315865,-76.826836","Punta Hermosa, Lima")</f>
      </c>
      <c r="O325" t="str">
        <v>Acelerado y giro brusco</v>
      </c>
      <c r="P325" t="str">
        <v/>
      </c>
      <c r="Q325">
        <v>2136.5</v>
      </c>
      <c r="R325" t="str">
        <v/>
      </c>
      <c r="S325">
        <v>11.6</v>
      </c>
      <c r="T325">
        <v>81.52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>
        <v>89</v>
      </c>
      <c r="AC325" t="str">
        <v>01/10/2026</v>
      </c>
      <c r="AD325" t="str">
        <v>11:46:08</v>
      </c>
      <c r="AE325">
        <f>IF("ONLINE"="NOGPS","GPS Antiguo","En línea")</f>
      </c>
      <c r="AF325">
        <f>IF(0=0,"Sin atender", IF(0=1,"Atendida","Atendida y Reportada"))</f>
      </c>
      <c r="AG325" t="str">
        <v/>
      </c>
      <c r="AH325" t="str">
        <v/>
      </c>
      <c r="AI325" t="str">
        <v/>
      </c>
      <c r="AJ325" t="str">
        <v/>
      </c>
      <c r="AK325" t="str">
        <v>01/10/2026 11:46:23</v>
      </c>
      <c r="AL325" t="str">
        <v>11:46:23</v>
      </c>
      <c r="AM325" t="str">
        <v/>
      </c>
    </row>
    <row r="326">
      <c r="A326">
        <v>325</v>
      </c>
      <c r="B326" t="str">
        <v>MASS BSF</v>
      </c>
      <c r="C326" t="str">
        <v>F8R-810</v>
      </c>
      <c r="D326" t="str">
        <v>F8R-810</v>
      </c>
      <c r="E326" t="str">
        <v/>
      </c>
      <c r="F326" t="str">
        <v>867806078868827</v>
      </c>
      <c r="G326" t="str">
        <v>TBD</v>
      </c>
      <c r="H326" t="str">
        <v/>
      </c>
      <c r="I326" t="str">
        <v/>
      </c>
      <c r="J326" t="str">
        <v>01/10/2026</v>
      </c>
      <c r="K326" t="str">
        <v>11:46:27</v>
      </c>
      <c r="L326">
        <v>-12.315547</v>
      </c>
      <c r="M326">
        <v>-76.82632</v>
      </c>
      <c r="N326">
        <f>HYPERLINK("https://www.google.com/maps/search/?api=1&amp;query=-12.315547,-76.82632","Punta Hermosa, Lima")</f>
      </c>
      <c r="O326" t="str">
        <v>Acelerado y giro brusco</v>
      </c>
      <c r="P326" t="str">
        <v/>
      </c>
      <c r="Q326">
        <v>2136.6</v>
      </c>
      <c r="R326" t="str">
        <v/>
      </c>
      <c r="S326">
        <v>13.3</v>
      </c>
      <c r="T326">
        <v>81.52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>
        <v>89</v>
      </c>
      <c r="AC326" t="str">
        <v>01/10/2026</v>
      </c>
      <c r="AD326" t="str">
        <v>11:46:25</v>
      </c>
      <c r="AE326">
        <f>IF("ONLINE"="NOGPS","GPS Antiguo","En línea")</f>
      </c>
      <c r="AF326">
        <f>IF(0=0,"Sin atender", IF(0=1,"Atendida","Atendida y Reportada"))</f>
      </c>
      <c r="AG326" t="str">
        <v/>
      </c>
      <c r="AH326" t="str">
        <v/>
      </c>
      <c r="AI326" t="str">
        <v/>
      </c>
      <c r="AJ326" t="str">
        <v/>
      </c>
      <c r="AK326" t="str">
        <v>01/10/2026 11:46:43</v>
      </c>
      <c r="AL326" t="str">
        <v>11:46:43</v>
      </c>
      <c r="AM326" t="str">
        <v/>
      </c>
    </row>
    <row r="327">
      <c r="A327">
        <v>326</v>
      </c>
      <c r="B327" t="str">
        <v>MASS BSF</v>
      </c>
      <c r="C327" t="str">
        <v>F8R-810</v>
      </c>
      <c r="D327" t="str">
        <v>F8R-810</v>
      </c>
      <c r="E327" t="str">
        <v/>
      </c>
      <c r="F327" t="str">
        <v>867806078868827</v>
      </c>
      <c r="G327" t="str">
        <v>TBD</v>
      </c>
      <c r="H327" t="str">
        <v/>
      </c>
      <c r="I327" t="str">
        <v/>
      </c>
      <c r="J327" t="str">
        <v>01/10/2026</v>
      </c>
      <c r="K327" t="str">
        <v>11:46:41</v>
      </c>
      <c r="L327">
        <v>-12.315329</v>
      </c>
      <c r="M327">
        <v>-76.82594</v>
      </c>
      <c r="N327">
        <f>HYPERLINK("https://www.google.com/maps/search/?api=1&amp;query=-12.315329,-76.82594","Punta Hermosa, Lima")</f>
      </c>
      <c r="O327" t="str">
        <v>Bache</v>
      </c>
      <c r="P327" t="str">
        <v/>
      </c>
      <c r="Q327">
        <v>2136.6</v>
      </c>
      <c r="R327" t="str">
        <v/>
      </c>
      <c r="S327">
        <v>10.9</v>
      </c>
      <c r="T327">
        <v>81.52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>
        <v>89</v>
      </c>
      <c r="AC327" t="str">
        <v>01/10/2026</v>
      </c>
      <c r="AD327" t="str">
        <v>11:46:39</v>
      </c>
      <c r="AE327">
        <f>IF("ONLINE"="NOGPS","GPS Antiguo","En línea")</f>
      </c>
      <c r="AF327">
        <f>IF(0=0,"Sin atender", IF(0=1,"Atendida","Atendida y Reportada"))</f>
      </c>
      <c r="AG327" t="str">
        <v/>
      </c>
      <c r="AH327" t="str">
        <v/>
      </c>
      <c r="AI327" t="str">
        <v/>
      </c>
      <c r="AJ327" t="str">
        <v/>
      </c>
      <c r="AK327" t="str">
        <v>01/10/2026 11:46:50</v>
      </c>
      <c r="AL327" t="str">
        <v>11:46:50</v>
      </c>
      <c r="AM327" t="str">
        <v/>
      </c>
    </row>
    <row r="328">
      <c r="A328">
        <v>327</v>
      </c>
      <c r="B328" t="str">
        <v>MASS BSF</v>
      </c>
      <c r="C328" t="str">
        <v>F8R-810</v>
      </c>
      <c r="D328" t="str">
        <v>F8R-810</v>
      </c>
      <c r="E328" t="str">
        <v/>
      </c>
      <c r="F328" t="str">
        <v>867806078868827</v>
      </c>
      <c r="G328" t="str">
        <v>TBD</v>
      </c>
      <c r="H328" t="str">
        <v/>
      </c>
      <c r="I328" t="str">
        <v/>
      </c>
      <c r="J328" t="str">
        <v>01/10/2026</v>
      </c>
      <c r="K328" t="str">
        <v>11:46:41</v>
      </c>
      <c r="L328">
        <v>-12.315329</v>
      </c>
      <c r="M328">
        <v>-76.82594</v>
      </c>
      <c r="N328">
        <f>HYPERLINK("https://www.google.com/maps/search/?api=1&amp;query=-12.315329,-76.82594","Punta Hermosa, Lima")</f>
      </c>
      <c r="O328" t="str">
        <v>Acelerado y giro brusco</v>
      </c>
      <c r="P328" t="str">
        <v/>
      </c>
      <c r="Q328">
        <v>2136.6</v>
      </c>
      <c r="R328" t="str">
        <v/>
      </c>
      <c r="S328">
        <v>10.9</v>
      </c>
      <c r="T328">
        <v>81.52</v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>
        <v>89</v>
      </c>
      <c r="AC328" t="str">
        <v>01/10/2026</v>
      </c>
      <c r="AD328" t="str">
        <v>11:46:39</v>
      </c>
      <c r="AE328">
        <f>IF("ONLINE"="NOGPS","GPS Antiguo","En línea")</f>
      </c>
      <c r="AF328">
        <f>IF(0=0,"Sin atender", IF(0=1,"Atendida","Atendida y Reportada"))</f>
      </c>
      <c r="AG328" t="str">
        <v/>
      </c>
      <c r="AH328" t="str">
        <v/>
      </c>
      <c r="AI328" t="str">
        <v/>
      </c>
      <c r="AJ328" t="str">
        <v/>
      </c>
      <c r="AK328" t="str">
        <v>01/10/2026 11:46:54</v>
      </c>
      <c r="AL328" t="str">
        <v>11:46:54</v>
      </c>
      <c r="AM328" t="str">
        <v/>
      </c>
    </row>
    <row r="329">
      <c r="A329">
        <v>328</v>
      </c>
      <c r="B329" t="str">
        <v>MASS BSF</v>
      </c>
      <c r="C329" t="str">
        <v>F8R-810</v>
      </c>
      <c r="D329" t="str">
        <v>F8R-810</v>
      </c>
      <c r="E329" t="str">
        <v/>
      </c>
      <c r="F329" t="str">
        <v>867806078868827</v>
      </c>
      <c r="G329" t="str">
        <v>TBD</v>
      </c>
      <c r="H329" t="str">
        <v/>
      </c>
      <c r="I329" t="str">
        <v/>
      </c>
      <c r="J329" t="str">
        <v>01/10/2026</v>
      </c>
      <c r="K329" t="str">
        <v>11:47:23</v>
      </c>
      <c r="L329">
        <v>-12.316602</v>
      </c>
      <c r="M329">
        <v>-76.82507</v>
      </c>
      <c r="N329">
        <f>HYPERLINK("https://www.google.com/maps/search/?api=1&amp;query=-12.316602,-76.82507","Punta Hermosa, Lima")</f>
      </c>
      <c r="O329" t="str">
        <v>Acelerado y giro brusco</v>
      </c>
      <c r="P329" t="str">
        <v/>
      </c>
      <c r="Q329">
        <v>2136.8</v>
      </c>
      <c r="R329" t="str">
        <v/>
      </c>
      <c r="S329">
        <v>16.4</v>
      </c>
      <c r="T329">
        <v>81.52</v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>
        <v>85</v>
      </c>
      <c r="AC329" t="str">
        <v>01/10/2026</v>
      </c>
      <c r="AD329" t="str">
        <v>11:47:21</v>
      </c>
      <c r="AE329">
        <f>IF("ONLINE"="NOGPS","GPS Antiguo","En línea")</f>
      </c>
      <c r="AF329">
        <f>IF(0=0,"Sin atender", IF(0=1,"Atendida","Atendida y Reportada"))</f>
      </c>
      <c r="AG329" t="str">
        <v/>
      </c>
      <c r="AH329" t="str">
        <v/>
      </c>
      <c r="AI329" t="str">
        <v/>
      </c>
      <c r="AJ329" t="str">
        <v/>
      </c>
      <c r="AK329" t="str">
        <v>01/10/2026 11:47:33</v>
      </c>
      <c r="AL329" t="str">
        <v>11:47:33</v>
      </c>
      <c r="AM329" t="str">
        <v/>
      </c>
    </row>
    <row r="330">
      <c r="A330">
        <v>329</v>
      </c>
      <c r="B330" t="str">
        <v>MASS BSF</v>
      </c>
      <c r="C330" t="str">
        <v>F8R-810</v>
      </c>
      <c r="D330" t="str">
        <v>F8R-810</v>
      </c>
      <c r="E330" t="str">
        <v/>
      </c>
      <c r="F330" t="str">
        <v>867806078868827</v>
      </c>
      <c r="G330" t="str">
        <v>TBD</v>
      </c>
      <c r="H330" t="str">
        <v/>
      </c>
      <c r="I330" t="str">
        <v/>
      </c>
      <c r="J330" t="str">
        <v>01/10/2026</v>
      </c>
      <c r="K330" t="str">
        <v>11:47:35</v>
      </c>
      <c r="L330">
        <v>-12.31697</v>
      </c>
      <c r="M330">
        <v>-76.82482</v>
      </c>
      <c r="N330">
        <f>HYPERLINK("https://www.google.com/maps/search/?api=1&amp;query=-12.31697,-76.82482","Punta Hermosa, Lima")</f>
      </c>
      <c r="O330" t="str">
        <v>Acelerado y giro brusco</v>
      </c>
      <c r="P330" t="str">
        <v/>
      </c>
      <c r="Q330">
        <v>2136.9</v>
      </c>
      <c r="R330" t="str">
        <v/>
      </c>
      <c r="S330">
        <v>13.7</v>
      </c>
      <c r="T330">
        <v>81.52</v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>
        <v>85</v>
      </c>
      <c r="AC330" t="str">
        <v>01/10/2026</v>
      </c>
      <c r="AD330" t="str">
        <v>11:47:33</v>
      </c>
      <c r="AE330">
        <f>IF("ONLINE"="NOGPS","GPS Antiguo","En línea")</f>
      </c>
      <c r="AF330">
        <f>IF(0=0,"Sin atender", IF(0=1,"Atendida","Atendida y Reportada"))</f>
      </c>
      <c r="AG330" t="str">
        <v/>
      </c>
      <c r="AH330" t="str">
        <v/>
      </c>
      <c r="AI330" t="str">
        <v/>
      </c>
      <c r="AJ330" t="str">
        <v/>
      </c>
      <c r="AK330" t="str">
        <v>01/10/2026 11:47:49</v>
      </c>
      <c r="AL330" t="str">
        <v>11:47:49</v>
      </c>
      <c r="AM330" t="str">
        <v/>
      </c>
    </row>
    <row r="331">
      <c r="A331">
        <v>330</v>
      </c>
      <c r="B331" t="str">
        <v>MASS BSF</v>
      </c>
      <c r="C331" t="str">
        <v>F8R-810</v>
      </c>
      <c r="D331" t="str">
        <v>F8R-810</v>
      </c>
      <c r="E331" t="str">
        <v/>
      </c>
      <c r="F331" t="str">
        <v>867806078868827</v>
      </c>
      <c r="G331" t="str">
        <v>TBD</v>
      </c>
      <c r="H331" t="str">
        <v/>
      </c>
      <c r="I331" t="str">
        <v/>
      </c>
      <c r="J331" t="str">
        <v>01/10/2026</v>
      </c>
      <c r="K331" t="str">
        <v>11:47:50</v>
      </c>
      <c r="L331">
        <v>-12.317262</v>
      </c>
      <c r="M331">
        <v>-76.82464</v>
      </c>
      <c r="N331">
        <f>HYPERLINK("https://www.google.com/maps/search/?api=1&amp;query=-12.317262,-76.82464","Punta Hermosa, Lima")</f>
      </c>
      <c r="O331" t="str">
        <v>Acelerado y giro brusco</v>
      </c>
      <c r="P331" t="str">
        <v/>
      </c>
      <c r="Q331">
        <v>2136.9</v>
      </c>
      <c r="R331" t="str">
        <v/>
      </c>
      <c r="S331">
        <v>3.8</v>
      </c>
      <c r="T331">
        <v>81.52</v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>
        <v>85</v>
      </c>
      <c r="AC331" t="str">
        <v>01/10/2026</v>
      </c>
      <c r="AD331" t="str">
        <v>11:47:48</v>
      </c>
      <c r="AE331">
        <f>IF("ONLINE"="NOGPS","GPS Antiguo","En línea")</f>
      </c>
      <c r="AF331">
        <f>IF(0=0,"Sin atender", IF(0=1,"Atendida","Atendida y Reportada"))</f>
      </c>
      <c r="AG331" t="str">
        <v/>
      </c>
      <c r="AH331" t="str">
        <v/>
      </c>
      <c r="AI331" t="str">
        <v/>
      </c>
      <c r="AJ331" t="str">
        <v/>
      </c>
      <c r="AK331" t="str">
        <v>01/10/2026 11:47:58</v>
      </c>
      <c r="AL331" t="str">
        <v>11:47:58</v>
      </c>
      <c r="AM331" t="str">
        <v/>
      </c>
    </row>
    <row r="332">
      <c r="A332">
        <v>331</v>
      </c>
      <c r="B332" t="str">
        <v>MASS BSF</v>
      </c>
      <c r="C332" t="str">
        <v>F8R-810</v>
      </c>
      <c r="D332" t="str">
        <v>F8R-810</v>
      </c>
      <c r="E332" t="str">
        <v/>
      </c>
      <c r="F332" t="str">
        <v>867806078868827</v>
      </c>
      <c r="G332" t="str">
        <v>TBD</v>
      </c>
      <c r="H332" t="str">
        <v/>
      </c>
      <c r="I332" t="str">
        <v/>
      </c>
      <c r="J332" t="str">
        <v>01/10/2026</v>
      </c>
      <c r="K332" t="str">
        <v>11:48:30</v>
      </c>
      <c r="L332">
        <v>-12.317273</v>
      </c>
      <c r="M332">
        <v>-76.82463</v>
      </c>
      <c r="N332">
        <f>HYPERLINK("https://www.google.com/maps/search/?api=1&amp;query=-12.317273,-76.82463","Punta Hermosa, Lima")</f>
      </c>
      <c r="O332" t="str">
        <v>Vehículo apagado</v>
      </c>
      <c r="P332" t="str">
        <v>Vehículo Apagado</v>
      </c>
      <c r="Q332">
        <v>2136.9</v>
      </c>
      <c r="R332" t="str">
        <v/>
      </c>
      <c r="S332">
        <v>0</v>
      </c>
      <c r="T332">
        <v>82.37</v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>
        <v>85</v>
      </c>
      <c r="AC332" t="str">
        <v>01/10/2026</v>
      </c>
      <c r="AD332" t="str">
        <v>11:48:28</v>
      </c>
      <c r="AE332">
        <f>IF("ONLINE"="NOGPS","GPS Antiguo","En línea")</f>
      </c>
      <c r="AF332">
        <f>IF(0=0,"Sin atender", IF(0=1,"Atendida","Atendida y Reportada"))</f>
      </c>
      <c r="AG332" t="str">
        <v/>
      </c>
      <c r="AH332" t="str">
        <v/>
      </c>
      <c r="AI332" t="str">
        <v/>
      </c>
      <c r="AJ332" t="str">
        <v/>
      </c>
      <c r="AK332" t="str">
        <v>01/10/2026 11:48:32</v>
      </c>
      <c r="AL332" t="str">
        <v>11:48:32</v>
      </c>
      <c r="AM332" t="str">
        <v/>
      </c>
    </row>
    <row r="333">
      <c r="A333">
        <v>332</v>
      </c>
      <c r="B333" t="str">
        <v>MASS BSF</v>
      </c>
      <c r="C333" t="str">
        <v>F8R-810</v>
      </c>
      <c r="D333" t="str">
        <v>F8R-810</v>
      </c>
      <c r="E333" t="str">
        <v/>
      </c>
      <c r="F333" t="str">
        <v>867806078868827</v>
      </c>
      <c r="G333" t="str">
        <v>TBD</v>
      </c>
      <c r="H333" t="str">
        <v/>
      </c>
      <c r="I333" t="str">
        <v/>
      </c>
      <c r="J333" t="str">
        <v>01/10/2026</v>
      </c>
      <c r="K333" t="str">
        <v>11:49:30</v>
      </c>
      <c r="L333">
        <v>-12.317273</v>
      </c>
      <c r="M333">
        <v>-76.82463</v>
      </c>
      <c r="N333">
        <f>HYPERLINK("https://www.google.com/maps/search/?api=1&amp;query=-12.317273,-76.82463","Punta Hermosa, Lima")</f>
      </c>
      <c r="O333" t="str">
        <v>Vehículo encendido</v>
      </c>
      <c r="P333" t="str">
        <v/>
      </c>
      <c r="Q333">
        <v>2136.9</v>
      </c>
      <c r="R333" t="str">
        <v/>
      </c>
      <c r="S333">
        <v>0</v>
      </c>
      <c r="T333">
        <v>82.37</v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>
        <v>85</v>
      </c>
      <c r="AC333" t="str">
        <v>01/10/2026</v>
      </c>
      <c r="AD333" t="str">
        <v>11:49:28</v>
      </c>
      <c r="AE333">
        <f>IF("ONLINE"="NOGPS","GPS Antiguo","En línea")</f>
      </c>
      <c r="AF333">
        <f>IF(0=0,"Sin atender", IF(0=1,"Atendida","Atendida y Reportada"))</f>
      </c>
      <c r="AG333" t="str">
        <v/>
      </c>
      <c r="AH333" t="str">
        <v/>
      </c>
      <c r="AI333" t="str">
        <v/>
      </c>
      <c r="AJ333" t="str">
        <v/>
      </c>
      <c r="AK333" t="str">
        <v>01/10/2026 11:49:41</v>
      </c>
      <c r="AL333" t="str">
        <v>11:49:41</v>
      </c>
      <c r="AM333" t="str">
        <v/>
      </c>
    </row>
    <row r="334">
      <c r="A334">
        <v>333</v>
      </c>
      <c r="B334" t="str">
        <v>MASS BSF</v>
      </c>
      <c r="C334" t="str">
        <v>F8R-810</v>
      </c>
      <c r="D334" t="str">
        <v>F8R-810</v>
      </c>
      <c r="E334" t="str">
        <v/>
      </c>
      <c r="F334" t="str">
        <v>867806078868827</v>
      </c>
      <c r="G334" t="str">
        <v>TBD</v>
      </c>
      <c r="H334" t="str">
        <v/>
      </c>
      <c r="I334" t="str">
        <v/>
      </c>
      <c r="J334" t="str">
        <v>01/10/2026</v>
      </c>
      <c r="K334" t="str">
        <v>11:49:52</v>
      </c>
      <c r="L334">
        <v>-12.317371</v>
      </c>
      <c r="M334">
        <v>-76.82453</v>
      </c>
      <c r="N334">
        <f>HYPERLINK("https://www.google.com/maps/search/?api=1&amp;query=-12.317371,-76.82453","Punta Hermosa, Lima")</f>
      </c>
      <c r="O334" t="str">
        <v>Vehículo apagado</v>
      </c>
      <c r="P334" t="str">
        <v>Vehículo Apagado</v>
      </c>
      <c r="Q334">
        <v>2136.9</v>
      </c>
      <c r="R334" t="str">
        <v/>
      </c>
      <c r="S334">
        <v>0</v>
      </c>
      <c r="T334">
        <v>82.22</v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>
        <v>85</v>
      </c>
      <c r="AC334" t="str">
        <v>01/10/2026</v>
      </c>
      <c r="AD334" t="str">
        <v>11:49:50</v>
      </c>
      <c r="AE334">
        <f>IF("ONLINE"="NOGPS","GPS Antiguo","En línea")</f>
      </c>
      <c r="AF334">
        <f>IF(0=0,"Sin atender", IF(0=1,"Atendida","Atendida y Reportada"))</f>
      </c>
      <c r="AG334" t="str">
        <v/>
      </c>
      <c r="AH334" t="str">
        <v/>
      </c>
      <c r="AI334" t="str">
        <v/>
      </c>
      <c r="AJ334" t="str">
        <v/>
      </c>
      <c r="AK334" t="str">
        <v>01/10/2026 11:50:10</v>
      </c>
      <c r="AL334" t="str">
        <v>11:50:10</v>
      </c>
      <c r="AM334" t="str">
        <v/>
      </c>
    </row>
    <row r="335">
      <c r="A335">
        <v>334</v>
      </c>
      <c r="B335" t="str">
        <v>MASS BSF</v>
      </c>
      <c r="C335" t="str">
        <v>F8R-810</v>
      </c>
      <c r="D335" t="str">
        <v>F8R-810</v>
      </c>
      <c r="E335" t="str">
        <v/>
      </c>
      <c r="F335" t="str">
        <v>867806078868827</v>
      </c>
      <c r="G335" t="str">
        <v>TBD</v>
      </c>
      <c r="H335" t="str">
        <v/>
      </c>
      <c r="I335" t="str">
        <v/>
      </c>
      <c r="J335" t="str">
        <v>01/10/2026</v>
      </c>
      <c r="K335" t="str">
        <v>11:55:29</v>
      </c>
      <c r="L335">
        <v>-12.317371</v>
      </c>
      <c r="M335">
        <v>-76.82453</v>
      </c>
      <c r="N335">
        <f>HYPERLINK("https://www.google.com/maps/search/?api=1&amp;query=-12.317371,-76.82453","Punta Hermosa, Lima")</f>
      </c>
      <c r="O335" t="str">
        <v>Se detuvo</v>
      </c>
      <c r="P335" t="str">
        <v>Unidad se detuvo</v>
      </c>
      <c r="Q335">
        <v>2136.9</v>
      </c>
      <c r="R335" t="str">
        <v/>
      </c>
      <c r="S335">
        <v>0</v>
      </c>
      <c r="T335">
        <v>82.22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>
        <v>85</v>
      </c>
      <c r="AC335" t="str">
        <v>01/10/2026</v>
      </c>
      <c r="AD335" t="str">
        <v>11:55:27</v>
      </c>
      <c r="AE335">
        <f>IF("ONLINE"="NOGPS","GPS Antiguo","En línea")</f>
      </c>
      <c r="AF335">
        <f>IF(0=0,"Sin atender", IF(0=1,"Atendida","Atendida y Reportada"))</f>
      </c>
      <c r="AG335" t="str">
        <v/>
      </c>
      <c r="AH335" t="str">
        <v/>
      </c>
      <c r="AI335" t="str">
        <v/>
      </c>
      <c r="AJ335" t="str">
        <v/>
      </c>
      <c r="AK335" t="str">
        <v>01/10/2026 11:55:47</v>
      </c>
      <c r="AL335" t="str">
        <v>11:55:47</v>
      </c>
      <c r="AM335" t="str">
        <v/>
      </c>
    </row>
    <row r="336">
      <c r="A336">
        <v>335</v>
      </c>
      <c r="B336" t="str">
        <v>MASS BSF</v>
      </c>
      <c r="C336" t="str">
        <v>F8R-810</v>
      </c>
      <c r="D336" t="str">
        <v>F8R-810</v>
      </c>
      <c r="E336" t="str">
        <v/>
      </c>
      <c r="F336" t="str">
        <v>867806078868827</v>
      </c>
      <c r="G336" t="str">
        <v>TBD</v>
      </c>
      <c r="H336" t="str">
        <v/>
      </c>
      <c r="I336" t="str">
        <v/>
      </c>
      <c r="J336" t="str">
        <v>01/10/2026</v>
      </c>
      <c r="K336" t="str">
        <v>11:58:46</v>
      </c>
      <c r="L336">
        <v>-12.317371</v>
      </c>
      <c r="M336">
        <v>-76.82453</v>
      </c>
      <c r="N336">
        <f>HYPERLINK("https://www.google.com/maps/search/?api=1&amp;query=-12.317371,-76.82453","Punta Hermosa, Lima")</f>
      </c>
      <c r="O336" t="str">
        <v>Vehículo encendido</v>
      </c>
      <c r="P336" t="str">
        <v/>
      </c>
      <c r="Q336">
        <v>2136.9</v>
      </c>
      <c r="R336" t="str">
        <v/>
      </c>
      <c r="S336">
        <v>0</v>
      </c>
      <c r="T336">
        <v>82.22</v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>
        <v>85</v>
      </c>
      <c r="AC336" t="str">
        <v>01/10/2026</v>
      </c>
      <c r="AD336" t="str">
        <v>11:58:44</v>
      </c>
      <c r="AE336">
        <f>IF("ONLINE"="NOGPS","GPS Antiguo","En línea")</f>
      </c>
      <c r="AF336">
        <f>IF(0=0,"Sin atender", IF(0=1,"Atendida","Atendida y Reportada"))</f>
      </c>
      <c r="AG336" t="str">
        <v/>
      </c>
      <c r="AH336" t="str">
        <v/>
      </c>
      <c r="AI336" t="str">
        <v/>
      </c>
      <c r="AJ336" t="str">
        <v/>
      </c>
      <c r="AK336" t="str">
        <v>01/10/2026 11:59:08</v>
      </c>
      <c r="AL336" t="str">
        <v>11:59:08</v>
      </c>
      <c r="AM336" t="str">
        <v/>
      </c>
    </row>
    <row r="337">
      <c r="A337">
        <v>336</v>
      </c>
      <c r="B337" t="str">
        <v>MASS BSF</v>
      </c>
      <c r="C337" t="str">
        <v>F8R-810</v>
      </c>
      <c r="D337" t="str">
        <v>F8R-810</v>
      </c>
      <c r="E337" t="str">
        <v/>
      </c>
      <c r="F337" t="str">
        <v>867806078868827</v>
      </c>
      <c r="G337" t="str">
        <v>TBD</v>
      </c>
      <c r="H337" t="str">
        <v/>
      </c>
      <c r="I337" t="str">
        <v/>
      </c>
      <c r="J337" t="str">
        <v>01/10/2026</v>
      </c>
      <c r="K337" t="str">
        <v>11:59:30</v>
      </c>
      <c r="L337">
        <v>-12.317462</v>
      </c>
      <c r="M337">
        <v>-76.824486</v>
      </c>
      <c r="N337">
        <f>HYPERLINK("https://www.google.com/maps/search/?api=1&amp;query=-12.317462,-76.824486","Punta Hermosa, Lima")</f>
      </c>
      <c r="O337" t="str">
        <v>Vehículo apagado</v>
      </c>
      <c r="P337" t="str">
        <v>Vehículo Apagado</v>
      </c>
      <c r="Q337">
        <v>2136.9</v>
      </c>
      <c r="R337" t="str">
        <v/>
      </c>
      <c r="S337">
        <v>0</v>
      </c>
      <c r="T337">
        <v>82.23</v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>
        <v>85</v>
      </c>
      <c r="AC337" t="str">
        <v>01/10/2026</v>
      </c>
      <c r="AD337" t="str">
        <v>11:59:28</v>
      </c>
      <c r="AE337">
        <f>IF("ONLINE"="NOGPS","GPS Antiguo","En línea")</f>
      </c>
      <c r="AF337">
        <f>IF(0=0,"Sin atender", IF(0=1,"Atendida","Atendida y Reportada"))</f>
      </c>
      <c r="AG337" t="str">
        <v/>
      </c>
      <c r="AH337" t="str">
        <v/>
      </c>
      <c r="AI337" t="str">
        <v/>
      </c>
      <c r="AJ337" t="str">
        <v/>
      </c>
      <c r="AK337" t="str">
        <v>01/10/2026 11:59:46</v>
      </c>
      <c r="AL337" t="str">
        <v>11:59:46</v>
      </c>
      <c r="AM337" t="str">
        <v/>
      </c>
    </row>
    <row r="338">
      <c r="A338">
        <v>337</v>
      </c>
      <c r="B338" t="str">
        <v>MASS BSF</v>
      </c>
      <c r="C338" t="str">
        <v>F8R-810</v>
      </c>
      <c r="D338" t="str">
        <v>F8R-810</v>
      </c>
      <c r="E338" t="str">
        <v/>
      </c>
      <c r="F338" t="str">
        <v>867806078868827</v>
      </c>
      <c r="G338" t="str">
        <v>TBD</v>
      </c>
      <c r="H338" t="str">
        <v/>
      </c>
      <c r="I338" t="str">
        <v/>
      </c>
      <c r="J338" t="str">
        <v>01/10/2026</v>
      </c>
      <c r="K338" t="str">
        <v>12:04:53</v>
      </c>
      <c r="L338">
        <v>-12.317463</v>
      </c>
      <c r="M338">
        <v>-76.824486</v>
      </c>
      <c r="N338">
        <f>HYPERLINK("https://www.google.com/maps/search/?api=1&amp;query=-12.317463,-76.824486","Punta Hermosa, Lima")</f>
      </c>
      <c r="O338" t="str">
        <v>Vehículo encendido</v>
      </c>
      <c r="P338" t="str">
        <v/>
      </c>
      <c r="Q338">
        <v>2136.9</v>
      </c>
      <c r="R338" t="str">
        <v/>
      </c>
      <c r="S338">
        <v>0</v>
      </c>
      <c r="T338">
        <v>82.23</v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>
        <v>85</v>
      </c>
      <c r="AC338" t="str">
        <v>01/10/2026</v>
      </c>
      <c r="AD338" t="str">
        <v>12:04:51</v>
      </c>
      <c r="AE338">
        <f>IF("ONLINE"="NOGPS","GPS Antiguo","En línea")</f>
      </c>
      <c r="AF338">
        <f>IF(0=0,"Sin atender", IF(0=1,"Atendida","Atendida y Reportada"))</f>
      </c>
      <c r="AG338" t="str">
        <v/>
      </c>
      <c r="AH338" t="str">
        <v/>
      </c>
      <c r="AI338" t="str">
        <v/>
      </c>
      <c r="AJ338" t="str">
        <v/>
      </c>
      <c r="AK338" t="str">
        <v>01/10/2026 12:04:56</v>
      </c>
      <c r="AL338" t="str">
        <v>12:04:56</v>
      </c>
      <c r="AM338" t="str">
        <v/>
      </c>
    </row>
    <row r="339">
      <c r="A339">
        <v>338</v>
      </c>
      <c r="B339" t="str">
        <v>MASS BSF</v>
      </c>
      <c r="C339" t="str">
        <v>F8R-810</v>
      </c>
      <c r="D339" t="str">
        <v>F8R-810</v>
      </c>
      <c r="E339" t="str">
        <v/>
      </c>
      <c r="F339" t="str">
        <v>867806078868827</v>
      </c>
      <c r="G339" t="str">
        <v>TBD</v>
      </c>
      <c r="H339" t="str">
        <v/>
      </c>
      <c r="I339" t="str">
        <v/>
      </c>
      <c r="J339" t="str">
        <v>01/10/2026</v>
      </c>
      <c r="K339" t="str">
        <v>12:05:05</v>
      </c>
      <c r="L339">
        <v>-12.317463</v>
      </c>
      <c r="M339">
        <v>-76.824486</v>
      </c>
      <c r="N339">
        <f>HYPERLINK("https://www.google.com/maps/search/?api=1&amp;query=-12.317463,-76.824486","Punta Hermosa, Lima")</f>
      </c>
      <c r="O339" t="str">
        <v>Acelerado y giro brusco</v>
      </c>
      <c r="P339" t="str">
        <v/>
      </c>
      <c r="Q339">
        <v>2136.9</v>
      </c>
      <c r="R339" t="str">
        <v/>
      </c>
      <c r="S339">
        <v>0</v>
      </c>
      <c r="T339">
        <v>82.23</v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>
        <v>85</v>
      </c>
      <c r="AC339" t="str">
        <v>01/10/2026</v>
      </c>
      <c r="AD339" t="str">
        <v>12:05:03</v>
      </c>
      <c r="AE339">
        <f>IF("ONLINE"="NOGPS","GPS Antiguo","En línea")</f>
      </c>
      <c r="AF339">
        <f>IF(0=0,"Sin atender", IF(0=1,"Atendida","Atendida y Reportada"))</f>
      </c>
      <c r="AG339" t="str">
        <v/>
      </c>
      <c r="AH339" t="str">
        <v/>
      </c>
      <c r="AI339" t="str">
        <v/>
      </c>
      <c r="AJ339" t="str">
        <v/>
      </c>
      <c r="AK339" t="str">
        <v>01/10/2026 12:05:16</v>
      </c>
      <c r="AL339" t="str">
        <v>12:05:16</v>
      </c>
      <c r="AM339" t="str">
        <v/>
      </c>
    </row>
    <row r="340">
      <c r="A340">
        <v>339</v>
      </c>
      <c r="B340" t="str">
        <v>MASS BSF</v>
      </c>
      <c r="C340" t="str">
        <v>F8R-810</v>
      </c>
      <c r="D340" t="str">
        <v>F8R-810</v>
      </c>
      <c r="E340" t="str">
        <v/>
      </c>
      <c r="F340" t="str">
        <v>867806078868827</v>
      </c>
      <c r="G340" t="str">
        <v>TBD</v>
      </c>
      <c r="H340" t="str">
        <v/>
      </c>
      <c r="I340" t="str">
        <v/>
      </c>
      <c r="J340" t="str">
        <v>01/10/2026</v>
      </c>
      <c r="K340" t="str">
        <v>12:05:19</v>
      </c>
      <c r="L340">
        <v>-12.317607</v>
      </c>
      <c r="M340">
        <v>-76.82452</v>
      </c>
      <c r="N340">
        <f>HYPERLINK("https://www.google.com/maps/search/?api=1&amp;query=-12.317607,-76.82452","Punta Hermosa, Lima")</f>
      </c>
      <c r="O340" t="str">
        <v>Acelerado y giro brusco</v>
      </c>
      <c r="P340" t="str">
        <v/>
      </c>
      <c r="Q340">
        <v>2137</v>
      </c>
      <c r="R340" t="str">
        <v/>
      </c>
      <c r="S340">
        <v>0</v>
      </c>
      <c r="T340">
        <v>82.23</v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>
        <v>85</v>
      </c>
      <c r="AC340" t="str">
        <v>01/10/2026</v>
      </c>
      <c r="AD340" t="str">
        <v>12:05:17</v>
      </c>
      <c r="AE340">
        <f>IF("ONLINE"="NOGPS","GPS Antiguo","En línea")</f>
      </c>
      <c r="AF340">
        <f>IF(0=0,"Sin atender", IF(0=1,"Atendida","Atendida y Reportada"))</f>
      </c>
      <c r="AG340" t="str">
        <v/>
      </c>
      <c r="AH340" t="str">
        <v/>
      </c>
      <c r="AI340" t="str">
        <v/>
      </c>
      <c r="AJ340" t="str">
        <v/>
      </c>
      <c r="AK340" t="str">
        <v>01/10/2026 12:05:22</v>
      </c>
      <c r="AL340" t="str">
        <v>12:05:22</v>
      </c>
      <c r="AM340" t="str">
        <v/>
      </c>
    </row>
    <row r="341">
      <c r="A341">
        <v>340</v>
      </c>
      <c r="B341" t="str">
        <v>MASS BSF</v>
      </c>
      <c r="C341" t="str">
        <v>F8R-810</v>
      </c>
      <c r="D341" t="str">
        <v>F8R-810</v>
      </c>
      <c r="E341" t="str">
        <v/>
      </c>
      <c r="F341" t="str">
        <v>867806078868827</v>
      </c>
      <c r="G341" t="str">
        <v>TBD</v>
      </c>
      <c r="H341" t="str">
        <v/>
      </c>
      <c r="I341" t="str">
        <v/>
      </c>
      <c r="J341" t="str">
        <v>01/10/2026</v>
      </c>
      <c r="K341" t="str">
        <v>12:05:26</v>
      </c>
      <c r="L341">
        <v>-12.317603</v>
      </c>
      <c r="M341">
        <v>-76.82451</v>
      </c>
      <c r="N341">
        <f>HYPERLINK("https://www.google.com/maps/search/?api=1&amp;query=-12.317603,-76.82451","Punta Hermosa, Lima")</f>
      </c>
      <c r="O341" t="str">
        <v>Acelerado y giro brusco</v>
      </c>
      <c r="P341" t="str">
        <v/>
      </c>
      <c r="Q341">
        <v>2137</v>
      </c>
      <c r="R341" t="str">
        <v/>
      </c>
      <c r="S341">
        <v>0</v>
      </c>
      <c r="T341">
        <v>82.23</v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>
        <v>85</v>
      </c>
      <c r="AC341" t="str">
        <v>01/10/2026</v>
      </c>
      <c r="AD341" t="str">
        <v>12:05:23</v>
      </c>
      <c r="AE341">
        <f>IF("ONLINE"="NOGPS","GPS Antiguo","En línea")</f>
      </c>
      <c r="AF341">
        <f>IF(0=0,"Sin atender", IF(0=1,"Atendida","Atendida y Reportada"))</f>
      </c>
      <c r="AG341" t="str">
        <v/>
      </c>
      <c r="AH341" t="str">
        <v/>
      </c>
      <c r="AI341" t="str">
        <v/>
      </c>
      <c r="AJ341" t="str">
        <v/>
      </c>
      <c r="AK341" t="str">
        <v>01/10/2026 12:05:39</v>
      </c>
      <c r="AL341" t="str">
        <v>12:05:39</v>
      </c>
      <c r="AM341" t="str">
        <v/>
      </c>
    </row>
    <row r="342">
      <c r="A342">
        <v>341</v>
      </c>
      <c r="B342" t="str">
        <v>MASS BSF</v>
      </c>
      <c r="C342" t="str">
        <v>F8R-810</v>
      </c>
      <c r="D342" t="str">
        <v>F8R-810</v>
      </c>
      <c r="E342" t="str">
        <v/>
      </c>
      <c r="F342" t="str">
        <v>867806078868827</v>
      </c>
      <c r="G342" t="str">
        <v>TBD</v>
      </c>
      <c r="H342" t="str">
        <v/>
      </c>
      <c r="I342" t="str">
        <v/>
      </c>
      <c r="J342" t="str">
        <v>01/10/2026</v>
      </c>
      <c r="K342" t="str">
        <v>12:07:54</v>
      </c>
      <c r="L342">
        <v>-12.317482</v>
      </c>
      <c r="M342">
        <v>-76.82444</v>
      </c>
      <c r="N342">
        <f>HYPERLINK("https://www.google.com/maps/search/?api=1&amp;query=-12.317482,-76.82444","Punta Hermosa, Lima")</f>
      </c>
      <c r="O342" t="str">
        <v>Vehículo apagado</v>
      </c>
      <c r="P342" t="str">
        <v>Vehículo Apagado</v>
      </c>
      <c r="Q342">
        <v>2137</v>
      </c>
      <c r="R342" t="str">
        <v/>
      </c>
      <c r="S342">
        <v>0</v>
      </c>
      <c r="T342">
        <v>82.28</v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>
        <v>90</v>
      </c>
      <c r="AC342" t="str">
        <v>01/10/2026</v>
      </c>
      <c r="AD342" t="str">
        <v>12:07:52</v>
      </c>
      <c r="AE342">
        <f>IF("ONLINE"="NOGPS","GPS Antiguo","En línea")</f>
      </c>
      <c r="AF342">
        <f>IF(0=0,"Sin atender", IF(0=1,"Atendida","Atendida y Reportada"))</f>
      </c>
      <c r="AG342" t="str">
        <v/>
      </c>
      <c r="AH342" t="str">
        <v/>
      </c>
      <c r="AI342" t="str">
        <v/>
      </c>
      <c r="AJ342" t="str">
        <v/>
      </c>
      <c r="AK342" t="str">
        <v>01/10/2026 12:08:17</v>
      </c>
      <c r="AL342" t="str">
        <v>12:08:17</v>
      </c>
      <c r="AM342" t="str">
        <v/>
      </c>
    </row>
    <row r="343">
      <c r="A343">
        <v>342</v>
      </c>
      <c r="B343" t="str">
        <v>MASS BSF</v>
      </c>
      <c r="C343" t="str">
        <v>F8R-810</v>
      </c>
      <c r="D343" t="str">
        <v>F8R-810</v>
      </c>
      <c r="E343" t="str">
        <v/>
      </c>
      <c r="F343" t="str">
        <v>867806078868827</v>
      </c>
      <c r="G343" t="str">
        <v>TBD</v>
      </c>
      <c r="H343" t="str">
        <v/>
      </c>
      <c r="I343" t="str">
        <v/>
      </c>
      <c r="J343" t="str">
        <v>01/10/2026</v>
      </c>
      <c r="K343" t="str">
        <v>12:09:20</v>
      </c>
      <c r="L343">
        <v>-12.317482</v>
      </c>
      <c r="M343">
        <v>-76.82444</v>
      </c>
      <c r="N343">
        <f>HYPERLINK("https://www.google.com/maps/search/?api=1&amp;query=-12.317482,-76.82444","Punta Hermosa, Lima")</f>
      </c>
      <c r="O343" t="str">
        <v>Vehículo encendido</v>
      </c>
      <c r="P343" t="str">
        <v/>
      </c>
      <c r="Q343">
        <v>2137</v>
      </c>
      <c r="R343" t="str">
        <v/>
      </c>
      <c r="S343">
        <v>0</v>
      </c>
      <c r="T343">
        <v>82.28</v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>
        <v>90</v>
      </c>
      <c r="AC343" t="str">
        <v>01/10/2026</v>
      </c>
      <c r="AD343" t="str">
        <v>12:09:18</v>
      </c>
      <c r="AE343">
        <f>IF("ONLINE"="NOGPS","GPS Antiguo","En línea")</f>
      </c>
      <c r="AF343">
        <f>IF(0=0,"Sin atender", IF(0=1,"Atendida","Atendida y Reportada"))</f>
      </c>
      <c r="AG343" t="str">
        <v/>
      </c>
      <c r="AH343" t="str">
        <v/>
      </c>
      <c r="AI343" t="str">
        <v/>
      </c>
      <c r="AJ343" t="str">
        <v/>
      </c>
      <c r="AK343" t="str">
        <v>01/10/2026 12:09:39</v>
      </c>
      <c r="AL343" t="str">
        <v>12:09:39</v>
      </c>
      <c r="AM343" t="str">
        <v/>
      </c>
    </row>
    <row r="344">
      <c r="A344">
        <v>343</v>
      </c>
      <c r="B344" t="str">
        <v>MASS BSF</v>
      </c>
      <c r="C344" t="str">
        <v>F8R-810</v>
      </c>
      <c r="D344" t="str">
        <v>F8R-810</v>
      </c>
      <c r="E344" t="str">
        <v/>
      </c>
      <c r="F344" t="str">
        <v>867806078868827</v>
      </c>
      <c r="G344" t="str">
        <v>TBD</v>
      </c>
      <c r="H344" t="str">
        <v/>
      </c>
      <c r="I344" t="str">
        <v/>
      </c>
      <c r="J344" t="str">
        <v>01/10/2026</v>
      </c>
      <c r="K344" t="str">
        <v>12:11:12</v>
      </c>
      <c r="L344">
        <v>-12.317482</v>
      </c>
      <c r="M344">
        <v>-76.82444</v>
      </c>
      <c r="N344">
        <f>HYPERLINK("https://www.google.com/maps/search/?api=1&amp;query=-12.317482,-76.82444","Punta Hermosa, Lima")</f>
      </c>
      <c r="O344" t="str">
        <v>Aceleración brusca</v>
      </c>
      <c r="P344" t="str">
        <v>CMT-910</v>
      </c>
      <c r="Q344">
        <v>2137</v>
      </c>
      <c r="R344" t="str">
        <v/>
      </c>
      <c r="S344">
        <v>0</v>
      </c>
      <c r="T344">
        <v>82.28</v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>
        <v>90</v>
      </c>
      <c r="AC344" t="str">
        <v>01/10/2026</v>
      </c>
      <c r="AD344" t="str">
        <v>12:11:10</v>
      </c>
      <c r="AE344">
        <f>IF("ONLINE"="NOGPS","GPS Antiguo","En línea")</f>
      </c>
      <c r="AF344">
        <f>IF(0=0,"Sin atender", IF(0=1,"Atendida","Atendida y Reportada"))</f>
      </c>
      <c r="AG344" t="str">
        <v/>
      </c>
      <c r="AH344" t="str">
        <v/>
      </c>
      <c r="AI344" t="str">
        <v/>
      </c>
      <c r="AJ344" t="str">
        <v/>
      </c>
      <c r="AK344" t="str">
        <v>01/10/2026 12:11:21</v>
      </c>
      <c r="AL344" t="str">
        <v>12:11:21</v>
      </c>
      <c r="AM344" t="str">
        <v/>
      </c>
    </row>
    <row r="345">
      <c r="A345">
        <v>344</v>
      </c>
      <c r="B345" t="str">
        <v>MASS BSF</v>
      </c>
      <c r="C345" t="str">
        <v>F8R-810</v>
      </c>
      <c r="D345" t="str">
        <v>F8R-810</v>
      </c>
      <c r="E345" t="str">
        <v/>
      </c>
      <c r="F345" t="str">
        <v>867806078868827</v>
      </c>
      <c r="G345" t="str">
        <v>TBD</v>
      </c>
      <c r="H345" t="str">
        <v/>
      </c>
      <c r="I345" t="str">
        <v/>
      </c>
      <c r="J345" t="str">
        <v>01/10/2026</v>
      </c>
      <c r="K345" t="str">
        <v>12:11:40</v>
      </c>
      <c r="L345">
        <v>-12.317866</v>
      </c>
      <c r="M345">
        <v>-76.82412</v>
      </c>
      <c r="N345">
        <f>HYPERLINK("https://www.google.com/maps/search/?api=1&amp;query=-12.317866,-76.82412","Punta Hermosa, Lima")</f>
      </c>
      <c r="O345" t="str">
        <v>Aceleración brusca</v>
      </c>
      <c r="P345" t="str">
        <v>CMT-910</v>
      </c>
      <c r="Q345">
        <v>2137</v>
      </c>
      <c r="R345" t="str">
        <v/>
      </c>
      <c r="S345">
        <v>7</v>
      </c>
      <c r="T345">
        <v>82.28</v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>
        <v>85</v>
      </c>
      <c r="AC345" t="str">
        <v>01/10/2026</v>
      </c>
      <c r="AD345" t="str">
        <v>12:11:37</v>
      </c>
      <c r="AE345">
        <f>IF("ONLINE"="NOGPS","GPS Antiguo","En línea")</f>
      </c>
      <c r="AF345">
        <f>IF(0=0,"Sin atender", IF(0=1,"Atendida","Atendida y Reportada"))</f>
      </c>
      <c r="AG345" t="str">
        <v/>
      </c>
      <c r="AH345" t="str">
        <v/>
      </c>
      <c r="AI345" t="str">
        <v/>
      </c>
      <c r="AJ345" t="str">
        <v/>
      </c>
      <c r="AK345" t="str">
        <v>01/10/2026 12:11:51</v>
      </c>
      <c r="AL345" t="str">
        <v>12:11:51</v>
      </c>
      <c r="AM345" t="str">
        <v/>
      </c>
    </row>
    <row r="346">
      <c r="A346">
        <v>345</v>
      </c>
      <c r="B346" t="str">
        <v>MASS BSF</v>
      </c>
      <c r="C346" t="str">
        <v>F8R-810</v>
      </c>
      <c r="D346" t="str">
        <v>F8R-810</v>
      </c>
      <c r="E346" t="str">
        <v/>
      </c>
      <c r="F346" t="str">
        <v>867806078868827</v>
      </c>
      <c r="G346" t="str">
        <v>TBD</v>
      </c>
      <c r="H346" t="str">
        <v/>
      </c>
      <c r="I346" t="str">
        <v/>
      </c>
      <c r="J346" t="str">
        <v>01/10/2026</v>
      </c>
      <c r="K346" t="str">
        <v>12:13:02</v>
      </c>
      <c r="L346">
        <v>-12.318027</v>
      </c>
      <c r="M346">
        <v>-76.82414</v>
      </c>
      <c r="N346">
        <f>HYPERLINK("https://www.google.com/maps/search/?api=1&amp;query=-12.318027,-76.82414","Punta Hermosa, Lima")</f>
      </c>
      <c r="O346" t="str">
        <v>Acelerado y giro brusco</v>
      </c>
      <c r="P346" t="str">
        <v/>
      </c>
      <c r="Q346">
        <v>2137</v>
      </c>
      <c r="R346" t="str">
        <v/>
      </c>
      <c r="S346">
        <v>5.1</v>
      </c>
      <c r="T346">
        <v>82.28</v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>
        <v>88</v>
      </c>
      <c r="AC346" t="str">
        <v>01/10/2026</v>
      </c>
      <c r="AD346" t="str">
        <v>12:13:00</v>
      </c>
      <c r="AE346">
        <f>IF("ONLINE"="NOGPS","GPS Antiguo","En línea")</f>
      </c>
      <c r="AF346">
        <f>IF(0=0,"Sin atender", IF(0=1,"Atendida","Atendida y Reportada"))</f>
      </c>
      <c r="AG346" t="str">
        <v/>
      </c>
      <c r="AH346" t="str">
        <v/>
      </c>
      <c r="AI346" t="str">
        <v/>
      </c>
      <c r="AJ346" t="str">
        <v/>
      </c>
      <c r="AK346" t="str">
        <v>01/10/2026 12:13:14</v>
      </c>
      <c r="AL346" t="str">
        <v>12:13:14</v>
      </c>
      <c r="AM346" t="str">
        <v/>
      </c>
    </row>
    <row r="347">
      <c r="A347">
        <v>346</v>
      </c>
      <c r="B347" t="str">
        <v>MASS BSF</v>
      </c>
      <c r="C347" t="str">
        <v>F8R-810</v>
      </c>
      <c r="D347" t="str">
        <v>F8R-810</v>
      </c>
      <c r="E347" t="str">
        <v/>
      </c>
      <c r="F347" t="str">
        <v>867806078868827</v>
      </c>
      <c r="G347" t="str">
        <v>TBD</v>
      </c>
      <c r="H347" t="str">
        <v/>
      </c>
      <c r="I347" t="str">
        <v/>
      </c>
      <c r="J347" t="str">
        <v>01/10/2026</v>
      </c>
      <c r="K347" t="str">
        <v>12:15:17</v>
      </c>
      <c r="L347">
        <v>-12.31802</v>
      </c>
      <c r="M347">
        <v>-76.82413</v>
      </c>
      <c r="N347">
        <f>HYPERLINK("https://www.google.com/maps/search/?api=1&amp;query=-12.31802,-76.82413","Punta Hermosa, Lima")</f>
      </c>
      <c r="O347" t="str">
        <v>Vehículo apagado</v>
      </c>
      <c r="P347" t="str">
        <v>Vehículo Apagado</v>
      </c>
      <c r="Q347">
        <v>2137.1</v>
      </c>
      <c r="R347" t="str">
        <v/>
      </c>
      <c r="S347">
        <v>0</v>
      </c>
      <c r="T347">
        <v>82.38</v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>
        <v>85</v>
      </c>
      <c r="AC347" t="str">
        <v>01/10/2026</v>
      </c>
      <c r="AD347" t="str">
        <v>12:15:15</v>
      </c>
      <c r="AE347">
        <f>IF("ONLINE"="NOGPS","GPS Antiguo","En línea")</f>
      </c>
      <c r="AF347">
        <f>IF(0=0,"Sin atender", IF(0=1,"Atendida","Atendida y Reportada"))</f>
      </c>
      <c r="AG347" t="str">
        <v/>
      </c>
      <c r="AH347" t="str">
        <v/>
      </c>
      <c r="AI347" t="str">
        <v/>
      </c>
      <c r="AJ347" t="str">
        <v/>
      </c>
      <c r="AK347" t="str">
        <v>01/10/2026 12:15:30</v>
      </c>
      <c r="AL347" t="str">
        <v>12:15:30</v>
      </c>
      <c r="AM347" t="str">
        <v/>
      </c>
    </row>
    <row r="348">
      <c r="A348">
        <v>347</v>
      </c>
      <c r="B348" t="str">
        <v>MASS BSF</v>
      </c>
      <c r="C348" t="str">
        <v>F8R-810</v>
      </c>
      <c r="D348" t="str">
        <v>F8R-810</v>
      </c>
      <c r="E348" t="str">
        <v/>
      </c>
      <c r="F348" t="str">
        <v>867806078868827</v>
      </c>
      <c r="G348" t="str">
        <v>TBD</v>
      </c>
      <c r="H348" t="str">
        <v/>
      </c>
      <c r="I348" t="str">
        <v/>
      </c>
      <c r="J348" t="str">
        <v>01/10/2026</v>
      </c>
      <c r="K348" t="str">
        <v>12:22:44</v>
      </c>
      <c r="L348">
        <v>-12.31802</v>
      </c>
      <c r="M348">
        <v>-76.82413</v>
      </c>
      <c r="N348">
        <f>HYPERLINK("https://www.google.com/maps/search/?api=1&amp;query=-12.31802,-76.82413","Punta Hermosa, Lima")</f>
      </c>
      <c r="O348" t="str">
        <v>Se detuvo</v>
      </c>
      <c r="P348" t="str">
        <v>Unidad se detuvo</v>
      </c>
      <c r="Q348">
        <v>2137.1</v>
      </c>
      <c r="R348" t="str">
        <v/>
      </c>
      <c r="S348">
        <v>0</v>
      </c>
      <c r="T348">
        <v>82.38</v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>
        <v>85</v>
      </c>
      <c r="AC348" t="str">
        <v>01/10/2026</v>
      </c>
      <c r="AD348" t="str">
        <v>12:22:41</v>
      </c>
      <c r="AE348">
        <f>IF("ONLINE"="NOGPS","GPS Antiguo","En línea")</f>
      </c>
      <c r="AF348">
        <f>IF(0=0,"Sin atender", IF(0=1,"Atendida","Atendida y Reportada"))</f>
      </c>
      <c r="AG348" t="str">
        <v/>
      </c>
      <c r="AH348" t="str">
        <v/>
      </c>
      <c r="AI348" t="str">
        <v/>
      </c>
      <c r="AJ348" t="str">
        <v/>
      </c>
      <c r="AK348" t="str">
        <v>01/10/2026 12:22:48</v>
      </c>
      <c r="AL348" t="str">
        <v>12:22:48</v>
      </c>
      <c r="AM348" t="str">
        <v/>
      </c>
    </row>
    <row r="349">
      <c r="A349">
        <v>348</v>
      </c>
      <c r="B349" t="str">
        <v>MASS BSF</v>
      </c>
      <c r="C349" t="str">
        <v>F8R-810</v>
      </c>
      <c r="D349" t="str">
        <v>F8R-810</v>
      </c>
      <c r="E349" t="str">
        <v/>
      </c>
      <c r="F349" t="str">
        <v>867806078868827</v>
      </c>
      <c r="G349" t="str">
        <v>TBD</v>
      </c>
      <c r="H349" t="str">
        <v/>
      </c>
      <c r="I349" t="str">
        <v/>
      </c>
      <c r="J349" t="str">
        <v>01/10/2026</v>
      </c>
      <c r="K349" t="str">
        <v>12:51:27</v>
      </c>
      <c r="L349">
        <v>-12.31802</v>
      </c>
      <c r="M349">
        <v>-76.82413</v>
      </c>
      <c r="N349">
        <f>HYPERLINK("https://www.google.com/maps/search/?api=1&amp;query=-12.31802,-76.82413","Punta Hermosa, Lima")</f>
      </c>
      <c r="O349" t="str">
        <v>Vehículo encendido</v>
      </c>
      <c r="P349" t="str">
        <v/>
      </c>
      <c r="Q349">
        <v>2137.1</v>
      </c>
      <c r="R349" t="str">
        <v/>
      </c>
      <c r="S349">
        <v>0</v>
      </c>
      <c r="T349">
        <v>82.38</v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>
        <v>93</v>
      </c>
      <c r="AC349" t="str">
        <v>01/10/2026</v>
      </c>
      <c r="AD349" t="str">
        <v>12:51:25</v>
      </c>
      <c r="AE349">
        <f>IF("ONLINE"="NOGPS","GPS Antiguo","En línea")</f>
      </c>
      <c r="AF349">
        <f>IF(0=0,"Sin atender", IF(0=1,"Atendida","Atendida y Reportada"))</f>
      </c>
      <c r="AG349" t="str">
        <v/>
      </c>
      <c r="AH349" t="str">
        <v/>
      </c>
      <c r="AI349" t="str">
        <v/>
      </c>
      <c r="AJ349" t="str">
        <v/>
      </c>
      <c r="AK349" t="str">
        <v>01/10/2026 12:51:50</v>
      </c>
      <c r="AL349" t="str">
        <v>12:51:50</v>
      </c>
      <c r="AM349" t="str">
        <v/>
      </c>
    </row>
    <row r="350">
      <c r="A350">
        <v>349</v>
      </c>
      <c r="B350" t="str">
        <v>MASS BSF</v>
      </c>
      <c r="C350" t="str">
        <v>F8R-810</v>
      </c>
      <c r="D350" t="str">
        <v>F8R-810</v>
      </c>
      <c r="E350" t="str">
        <v/>
      </c>
      <c r="F350" t="str">
        <v>867806078868827</v>
      </c>
      <c r="G350" t="str">
        <v>TBD</v>
      </c>
      <c r="H350" t="str">
        <v/>
      </c>
      <c r="I350" t="str">
        <v/>
      </c>
      <c r="J350" t="str">
        <v>01/10/2026</v>
      </c>
      <c r="K350" t="str">
        <v>12:51:49</v>
      </c>
      <c r="L350">
        <v>-12.31802</v>
      </c>
      <c r="M350">
        <v>-76.82413</v>
      </c>
      <c r="N350">
        <f>HYPERLINK("https://www.google.com/maps/search/?api=1&amp;query=-12.31802,-76.82413","Punta Hermosa, Lima")</f>
      </c>
      <c r="O350" t="str">
        <v>Acelerado y giro brusco</v>
      </c>
      <c r="P350" t="str">
        <v/>
      </c>
      <c r="Q350">
        <v>2137.1</v>
      </c>
      <c r="R350" t="str">
        <v/>
      </c>
      <c r="S350">
        <v>0</v>
      </c>
      <c r="T350">
        <v>82.38</v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>
        <v>93</v>
      </c>
      <c r="AC350" t="str">
        <v>01/10/2026</v>
      </c>
      <c r="AD350" t="str">
        <v>12:51:46</v>
      </c>
      <c r="AE350">
        <f>IF("ONLINE"="NOGPS","GPS Antiguo","En línea")</f>
      </c>
      <c r="AF350">
        <f>IF(0=0,"Sin atender", IF(0=1,"Atendida","Atendida y Reportada"))</f>
      </c>
      <c r="AG350" t="str">
        <v/>
      </c>
      <c r="AH350" t="str">
        <v/>
      </c>
      <c r="AI350" t="str">
        <v/>
      </c>
      <c r="AJ350" t="str">
        <v/>
      </c>
      <c r="AK350" t="str">
        <v>01/10/2026 12:51:54</v>
      </c>
      <c r="AL350" t="str">
        <v>12:51:54</v>
      </c>
      <c r="AM350" t="str">
        <v/>
      </c>
    </row>
    <row r="351">
      <c r="A351">
        <v>350</v>
      </c>
      <c r="B351" t="str">
        <v>MASS BSF</v>
      </c>
      <c r="C351" t="str">
        <v>F8R-810</v>
      </c>
      <c r="D351" t="str">
        <v>F8R-810</v>
      </c>
      <c r="E351" t="str">
        <v/>
      </c>
      <c r="F351" t="str">
        <v>867806078868827</v>
      </c>
      <c r="G351" t="str">
        <v>TBD</v>
      </c>
      <c r="H351" t="str">
        <v/>
      </c>
      <c r="I351" t="str">
        <v/>
      </c>
      <c r="J351" t="str">
        <v>01/10/2026</v>
      </c>
      <c r="K351" t="str">
        <v>12:51:52</v>
      </c>
      <c r="L351">
        <v>-12.31802</v>
      </c>
      <c r="M351">
        <v>-76.82413</v>
      </c>
      <c r="N351">
        <f>HYPERLINK("https://www.google.com/maps/search/?api=1&amp;query=-12.31802,-76.82413","Punta Hermosa, Lima")</f>
      </c>
      <c r="O351" t="str">
        <v>Acelerado y giro brusco</v>
      </c>
      <c r="P351" t="str">
        <v/>
      </c>
      <c r="Q351">
        <v>2137.1</v>
      </c>
      <c r="R351" t="str">
        <v/>
      </c>
      <c r="S351">
        <v>0</v>
      </c>
      <c r="T351">
        <v>82.38</v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>
        <v>93</v>
      </c>
      <c r="AC351" t="str">
        <v>01/10/2026</v>
      </c>
      <c r="AD351" t="str">
        <v>12:51:50</v>
      </c>
      <c r="AE351">
        <f>IF("ONLINE"="NOGPS","GPS Antiguo","En línea")</f>
      </c>
      <c r="AF351">
        <f>IF(0=0,"Sin atender", IF(0=1,"Atendida","Atendida y Reportada"))</f>
      </c>
      <c r="AG351" t="str">
        <v/>
      </c>
      <c r="AH351" t="str">
        <v/>
      </c>
      <c r="AI351" t="str">
        <v/>
      </c>
      <c r="AJ351" t="str">
        <v/>
      </c>
      <c r="AK351" t="str">
        <v>01/10/2026 12:52:04</v>
      </c>
      <c r="AL351" t="str">
        <v>12:52:04</v>
      </c>
      <c r="AM351" t="str">
        <v/>
      </c>
    </row>
    <row r="352">
      <c r="A352">
        <v>351</v>
      </c>
      <c r="B352" t="str">
        <v>MASS BSF</v>
      </c>
      <c r="C352" t="str">
        <v>F8R-810</v>
      </c>
      <c r="D352" t="str">
        <v>F8R-810</v>
      </c>
      <c r="E352" t="str">
        <v/>
      </c>
      <c r="F352" t="str">
        <v>867806078868827</v>
      </c>
      <c r="G352" t="str">
        <v>TBD</v>
      </c>
      <c r="H352" t="str">
        <v/>
      </c>
      <c r="I352" t="str">
        <v/>
      </c>
      <c r="J352" t="str">
        <v>01/10/2026</v>
      </c>
      <c r="K352" t="str">
        <v>12:53:55</v>
      </c>
      <c r="L352">
        <v>-12.31776</v>
      </c>
      <c r="M352">
        <v>-76.82439</v>
      </c>
      <c r="N352">
        <f>HYPERLINK("https://www.google.com/maps/search/?api=1&amp;query=-12.31776,-76.82439","Punta Hermosa, Lima")</f>
      </c>
      <c r="O352" t="str">
        <v>Aceleración brusca</v>
      </c>
      <c r="P352" t="str">
        <v>CMT-910</v>
      </c>
      <c r="Q352">
        <v>2137.1</v>
      </c>
      <c r="R352" t="str">
        <v/>
      </c>
      <c r="S352">
        <v>9.8</v>
      </c>
      <c r="T352">
        <v>82.38</v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>
        <v>85</v>
      </c>
      <c r="AC352" t="str">
        <v>01/10/2026</v>
      </c>
      <c r="AD352" t="str">
        <v>12:53:52</v>
      </c>
      <c r="AE352">
        <f>IF("ONLINE"="NOGPS","GPS Antiguo","En línea")</f>
      </c>
      <c r="AF352">
        <f>IF(0=0,"Sin atender", IF(0=1,"Atendida","Atendida y Reportada"))</f>
      </c>
      <c r="AG352" t="str">
        <v/>
      </c>
      <c r="AH352" t="str">
        <v/>
      </c>
      <c r="AI352" t="str">
        <v/>
      </c>
      <c r="AJ352" t="str">
        <v/>
      </c>
      <c r="AK352" t="str">
        <v>01/10/2026 12:54:05</v>
      </c>
      <c r="AL352" t="str">
        <v>12:54:05</v>
      </c>
      <c r="AM352" t="str">
        <v/>
      </c>
    </row>
    <row r="353">
      <c r="A353">
        <v>352</v>
      </c>
      <c r="B353" t="str">
        <v>MASS BSF</v>
      </c>
      <c r="C353" t="str">
        <v>F8R-810</v>
      </c>
      <c r="D353" t="str">
        <v>F8R-810</v>
      </c>
      <c r="E353" t="str">
        <v/>
      </c>
      <c r="F353" t="str">
        <v>867806078868827</v>
      </c>
      <c r="G353" t="str">
        <v>TBD</v>
      </c>
      <c r="H353" t="str">
        <v/>
      </c>
      <c r="I353" t="str">
        <v/>
      </c>
      <c r="J353" t="str">
        <v>01/10/2026</v>
      </c>
      <c r="K353" t="str">
        <v>12:54:57</v>
      </c>
      <c r="L353">
        <v>-12.316365</v>
      </c>
      <c r="M353">
        <v>-76.82523</v>
      </c>
      <c r="N353">
        <f>HYPERLINK("https://www.google.com/maps/search/?api=1&amp;query=-12.316365,-76.82523","Punta Hermosa, Lima")</f>
      </c>
      <c r="O353" t="str">
        <v>Aceleración brusca</v>
      </c>
      <c r="P353" t="str">
        <v>CMT-910</v>
      </c>
      <c r="Q353">
        <v>2137.3</v>
      </c>
      <c r="R353" t="str">
        <v/>
      </c>
      <c r="S353">
        <v>10.5</v>
      </c>
      <c r="T353">
        <v>82.38</v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>
        <v>85</v>
      </c>
      <c r="AC353" t="str">
        <v>01/10/2026</v>
      </c>
      <c r="AD353" t="str">
        <v>12:54:55</v>
      </c>
      <c r="AE353">
        <f>IF("ONLINE"="NOGPS","GPS Antiguo","En línea")</f>
      </c>
      <c r="AF353">
        <f>IF(0=0,"Sin atender", IF(0=1,"Atendida","Atendida y Reportada"))</f>
      </c>
      <c r="AG353" t="str">
        <v/>
      </c>
      <c r="AH353" t="str">
        <v/>
      </c>
      <c r="AI353" t="str">
        <v/>
      </c>
      <c r="AJ353" t="str">
        <v/>
      </c>
      <c r="AK353" t="str">
        <v>01/10/2026 12:55:10</v>
      </c>
      <c r="AL353" t="str">
        <v>12:55:10</v>
      </c>
      <c r="AM353" t="str">
        <v/>
      </c>
    </row>
    <row r="354">
      <c r="A354">
        <v>353</v>
      </c>
      <c r="B354" t="str">
        <v>MASS BSF</v>
      </c>
      <c r="C354" t="str">
        <v>F8R-810</v>
      </c>
      <c r="D354" t="str">
        <v>F8R-810</v>
      </c>
      <c r="E354" t="str">
        <v/>
      </c>
      <c r="F354" t="str">
        <v>867806078868827</v>
      </c>
      <c r="G354" t="str">
        <v>TBD</v>
      </c>
      <c r="H354" t="str">
        <v/>
      </c>
      <c r="I354" t="str">
        <v/>
      </c>
      <c r="J354" t="str">
        <v>01/10/2026</v>
      </c>
      <c r="K354" t="str">
        <v>12:56:36</v>
      </c>
      <c r="L354">
        <v>-12.315844</v>
      </c>
      <c r="M354">
        <v>-76.826866</v>
      </c>
      <c r="N354">
        <f>HYPERLINK("https://www.google.com/maps/search/?api=1&amp;query=-12.315844,-76.826866","Punta Hermosa, Lima")</f>
      </c>
      <c r="O354" t="str">
        <v>Acelerado y giro brusco</v>
      </c>
      <c r="P354" t="str">
        <v/>
      </c>
      <c r="Q354">
        <v>2137.5</v>
      </c>
      <c r="R354" t="str">
        <v/>
      </c>
      <c r="S354">
        <v>7.2</v>
      </c>
      <c r="T354">
        <v>82.38</v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>
        <v>85</v>
      </c>
      <c r="AC354" t="str">
        <v>01/10/2026</v>
      </c>
      <c r="AD354" t="str">
        <v>12:56:33</v>
      </c>
      <c r="AE354">
        <f>IF("ONLINE"="NOGPS","GPS Antiguo","En línea")</f>
      </c>
      <c r="AF354">
        <f>IF(0=0,"Sin atender", IF(0=1,"Atendida","Atendida y Reportada"))</f>
      </c>
      <c r="AG354" t="str">
        <v/>
      </c>
      <c r="AH354" t="str">
        <v/>
      </c>
      <c r="AI354" t="str">
        <v/>
      </c>
      <c r="AJ354" t="str">
        <v/>
      </c>
      <c r="AK354" t="str">
        <v>01/10/2026 12:56:41</v>
      </c>
      <c r="AL354" t="str">
        <v>12:56:41</v>
      </c>
      <c r="AM354" t="str">
        <v/>
      </c>
    </row>
    <row r="355">
      <c r="A355">
        <v>354</v>
      </c>
      <c r="B355" t="str">
        <v>MASS BSF</v>
      </c>
      <c r="C355" t="str">
        <v>F8R-810</v>
      </c>
      <c r="D355" t="str">
        <v>F8R-810</v>
      </c>
      <c r="E355" t="str">
        <v/>
      </c>
      <c r="F355" t="str">
        <v>867806078868827</v>
      </c>
      <c r="G355" t="str">
        <v>TBD</v>
      </c>
      <c r="H355" t="str">
        <v/>
      </c>
      <c r="I355" t="str">
        <v/>
      </c>
      <c r="J355" t="str">
        <v>01/10/2026</v>
      </c>
      <c r="K355" t="str">
        <v>12:56:59</v>
      </c>
      <c r="L355">
        <v>-12.31615</v>
      </c>
      <c r="M355">
        <v>-76.82713</v>
      </c>
      <c r="N355">
        <f>HYPERLINK("https://www.google.com/maps/search/?api=1&amp;query=-12.31615,-76.82713","Punta Hermosa, Lima")</f>
      </c>
      <c r="O355" t="str">
        <v>Acelerado y giro brusco</v>
      </c>
      <c r="P355" t="str">
        <v/>
      </c>
      <c r="Q355">
        <v>2137.6</v>
      </c>
      <c r="R355" t="str">
        <v/>
      </c>
      <c r="S355">
        <v>6.4</v>
      </c>
      <c r="T355">
        <v>82.38</v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>
        <v>85</v>
      </c>
      <c r="AC355" t="str">
        <v>01/10/2026</v>
      </c>
      <c r="AD355" t="str">
        <v>12:56:57</v>
      </c>
      <c r="AE355">
        <f>IF("ONLINE"="NOGPS","GPS Antiguo","En línea")</f>
      </c>
      <c r="AF355">
        <f>IF(0=0,"Sin atender", IF(0=1,"Atendida","Atendida y Reportada"))</f>
      </c>
      <c r="AG355" t="str">
        <v/>
      </c>
      <c r="AH355" t="str">
        <v/>
      </c>
      <c r="AI355" t="str">
        <v/>
      </c>
      <c r="AJ355" t="str">
        <v/>
      </c>
      <c r="AK355" t="str">
        <v>01/10/2026 12:57:26</v>
      </c>
      <c r="AL355" t="str">
        <v>12:57:26</v>
      </c>
      <c r="AM355" t="str">
        <v/>
      </c>
    </row>
    <row r="356">
      <c r="A356">
        <v>355</v>
      </c>
      <c r="B356" t="str">
        <v>MASS BSF</v>
      </c>
      <c r="C356" t="str">
        <v>F8R-810</v>
      </c>
      <c r="D356" t="str">
        <v>F8R-810</v>
      </c>
      <c r="E356" t="str">
        <v/>
      </c>
      <c r="F356" t="str">
        <v>867806078868827</v>
      </c>
      <c r="G356" t="str">
        <v>TBD</v>
      </c>
      <c r="H356" t="str">
        <v/>
      </c>
      <c r="I356" t="str">
        <v/>
      </c>
      <c r="J356" t="str">
        <v>01/10/2026</v>
      </c>
      <c r="K356" t="str">
        <v>12:57:02</v>
      </c>
      <c r="L356">
        <v>-12.316183</v>
      </c>
      <c r="M356">
        <v>-76.82712</v>
      </c>
      <c r="N356">
        <f>HYPERLINK("https://www.google.com/maps/search/?api=1&amp;query=-12.316183,-76.82712","Punta Hermosa, Lima")</f>
      </c>
      <c r="O356" t="str">
        <v>Acelerado y giro brusco</v>
      </c>
      <c r="P356" t="str">
        <v/>
      </c>
      <c r="Q356">
        <v>2137.6</v>
      </c>
      <c r="R356" t="str">
        <v/>
      </c>
      <c r="S356">
        <v>5.5</v>
      </c>
      <c r="T356">
        <v>82.38</v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>
        <v>85</v>
      </c>
      <c r="AC356" t="str">
        <v>01/10/2026</v>
      </c>
      <c r="AD356" t="str">
        <v>12:57:00</v>
      </c>
      <c r="AE356">
        <f>IF("ONLINE"="NOGPS","GPS Antiguo","En línea")</f>
      </c>
      <c r="AF356">
        <f>IF(0=0,"Sin atender", IF(0=1,"Atendida","Atendida y Reportada"))</f>
      </c>
      <c r="AG356" t="str">
        <v/>
      </c>
      <c r="AH356" t="str">
        <v/>
      </c>
      <c r="AI356" t="str">
        <v/>
      </c>
      <c r="AJ356" t="str">
        <v/>
      </c>
      <c r="AK356" t="str">
        <v>01/10/2026 12:57:19</v>
      </c>
      <c r="AL356" t="str">
        <v>12:57:19</v>
      </c>
      <c r="AM356" t="str">
        <v/>
      </c>
    </row>
    <row r="357">
      <c r="A357">
        <v>356</v>
      </c>
      <c r="B357" t="str">
        <v>MASS BSF</v>
      </c>
      <c r="C357" t="str">
        <v>F8R-810</v>
      </c>
      <c r="D357" t="str">
        <v>F8R-810</v>
      </c>
      <c r="E357" t="str">
        <v/>
      </c>
      <c r="F357" t="str">
        <v>867806078868827</v>
      </c>
      <c r="G357" t="str">
        <v>TBD</v>
      </c>
      <c r="H357" t="str">
        <v/>
      </c>
      <c r="I357" t="str">
        <v/>
      </c>
      <c r="J357" t="str">
        <v>01/10/2026</v>
      </c>
      <c r="K357" t="str">
        <v>12:58:49</v>
      </c>
      <c r="L357">
        <v>-12.31688</v>
      </c>
      <c r="M357">
        <v>-76.82539</v>
      </c>
      <c r="N357">
        <f>HYPERLINK("https://www.google.com/maps/search/?api=1&amp;query=-12.31688,-76.82539","Punta Hermosa, Lima")</f>
      </c>
      <c r="O357" t="str">
        <v>Aceleración brusca</v>
      </c>
      <c r="P357" t="str">
        <v>CMT-910</v>
      </c>
      <c r="Q357">
        <v>2137.8</v>
      </c>
      <c r="R357" t="str">
        <v/>
      </c>
      <c r="S357">
        <v>8.8</v>
      </c>
      <c r="T357">
        <v>82.38</v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>
        <v>93</v>
      </c>
      <c r="AC357" t="str">
        <v>01/10/2026</v>
      </c>
      <c r="AD357" t="str">
        <v>12:58:47</v>
      </c>
      <c r="AE357">
        <f>IF("ONLINE"="NOGPS","GPS Antiguo","En línea")</f>
      </c>
      <c r="AF357">
        <f>IF(0=0,"Sin atender", IF(0=1,"Atendida","Atendida y Reportada"))</f>
      </c>
      <c r="AG357" t="str">
        <v/>
      </c>
      <c r="AH357" t="str">
        <v/>
      </c>
      <c r="AI357" t="str">
        <v/>
      </c>
      <c r="AJ357" t="str">
        <v/>
      </c>
      <c r="AK357" t="str">
        <v>01/10/2026 12:58:56</v>
      </c>
      <c r="AL357" t="str">
        <v>12:58:56</v>
      </c>
      <c r="AM357" t="str">
        <v/>
      </c>
    </row>
    <row r="358">
      <c r="A358">
        <v>357</v>
      </c>
      <c r="B358" t="str">
        <v>MASS BSF</v>
      </c>
      <c r="C358" t="str">
        <v>F8R-810</v>
      </c>
      <c r="D358" t="str">
        <v>F8R-810</v>
      </c>
      <c r="E358" t="str">
        <v/>
      </c>
      <c r="F358" t="str">
        <v>867806078868827</v>
      </c>
      <c r="G358" t="str">
        <v>TBD</v>
      </c>
      <c r="H358" t="str">
        <v/>
      </c>
      <c r="I358" t="str">
        <v/>
      </c>
      <c r="J358" t="str">
        <v>01/10/2026</v>
      </c>
      <c r="K358" t="str">
        <v>12:58:59</v>
      </c>
      <c r="L358">
        <v>-12.316756</v>
      </c>
      <c r="M358">
        <v>-76.82521</v>
      </c>
      <c r="N358">
        <f>HYPERLINK("https://www.google.com/maps/search/?api=1&amp;query=-12.316756,-76.82521","Punta Hermosa, Lima")</f>
      </c>
      <c r="O358" t="str">
        <v>Aceleración brusca</v>
      </c>
      <c r="P358" t="str">
        <v>CMT-910</v>
      </c>
      <c r="Q358">
        <v>2137.9</v>
      </c>
      <c r="R358" t="str">
        <v/>
      </c>
      <c r="S358">
        <v>7.4</v>
      </c>
      <c r="T358">
        <v>82.38</v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>
        <v>93</v>
      </c>
      <c r="AC358" t="str">
        <v>01/10/2026</v>
      </c>
      <c r="AD358" t="str">
        <v>12:58:56</v>
      </c>
      <c r="AE358">
        <f>IF("ONLINE"="NOGPS","GPS Antiguo","En línea")</f>
      </c>
      <c r="AF358">
        <f>IF(0=0,"Sin atender", IF(0=1,"Atendida","Atendida y Reportada"))</f>
      </c>
      <c r="AG358" t="str">
        <v/>
      </c>
      <c r="AH358" t="str">
        <v/>
      </c>
      <c r="AI358" t="str">
        <v/>
      </c>
      <c r="AJ358" t="str">
        <v/>
      </c>
      <c r="AK358" t="str">
        <v>01/10/2026 12:59:09</v>
      </c>
      <c r="AL358" t="str">
        <v>12:59:09</v>
      </c>
      <c r="AM358" t="str">
        <v/>
      </c>
    </row>
    <row r="359">
      <c r="A359">
        <v>358</v>
      </c>
      <c r="B359" t="str">
        <v>MASS BSF</v>
      </c>
      <c r="C359" t="str">
        <v>F8R-810</v>
      </c>
      <c r="D359" t="str">
        <v>F8R-810</v>
      </c>
      <c r="E359" t="str">
        <v/>
      </c>
      <c r="F359" t="str">
        <v>867806078868827</v>
      </c>
      <c r="G359" t="str">
        <v>TBD</v>
      </c>
      <c r="H359" t="str">
        <v/>
      </c>
      <c r="I359" t="str">
        <v/>
      </c>
      <c r="J359" t="str">
        <v>01/10/2026</v>
      </c>
      <c r="K359" t="str">
        <v>13:01:06</v>
      </c>
      <c r="L359">
        <v>-12.316727</v>
      </c>
      <c r="M359">
        <v>-76.82513</v>
      </c>
      <c r="N359">
        <f>HYPERLINK("https://www.google.com/maps/search/?api=1&amp;query=-12.316727,-76.82513","Punta Hermosa, Lima")</f>
      </c>
      <c r="O359" t="str">
        <v>Acelerado y giro brusco</v>
      </c>
      <c r="P359" t="str">
        <v/>
      </c>
      <c r="Q359">
        <v>2137.9</v>
      </c>
      <c r="R359" t="str">
        <v/>
      </c>
      <c r="S359">
        <v>4.4</v>
      </c>
      <c r="T359">
        <v>82.38</v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>
        <v>93</v>
      </c>
      <c r="AC359" t="str">
        <v>01/10/2026</v>
      </c>
      <c r="AD359" t="str">
        <v>13:01:04</v>
      </c>
      <c r="AE359">
        <f>IF("ONLINE"="NOGPS","GPS Antiguo","En línea")</f>
      </c>
      <c r="AF359">
        <f>IF(0=0,"Sin atender", IF(0=1,"Atendida","Atendida y Reportada"))</f>
      </c>
      <c r="AG359" t="str">
        <v/>
      </c>
      <c r="AH359" t="str">
        <v/>
      </c>
      <c r="AI359" t="str">
        <v/>
      </c>
      <c r="AJ359" t="str">
        <v/>
      </c>
      <c r="AK359" t="str">
        <v>01/10/2026 13:01:26</v>
      </c>
      <c r="AL359" t="str">
        <v>13:01:26</v>
      </c>
      <c r="AM359" t="str">
        <v/>
      </c>
    </row>
    <row r="360">
      <c r="A360">
        <v>359</v>
      </c>
      <c r="B360" t="str">
        <v>MASS BSF</v>
      </c>
      <c r="C360" t="str">
        <v>F8R-810</v>
      </c>
      <c r="D360" t="str">
        <v>F8R-810</v>
      </c>
      <c r="E360" t="str">
        <v/>
      </c>
      <c r="F360" t="str">
        <v>867806078868827</v>
      </c>
      <c r="G360" t="str">
        <v>TBD</v>
      </c>
      <c r="H360" t="str">
        <v/>
      </c>
      <c r="I360" t="str">
        <v/>
      </c>
      <c r="J360" t="str">
        <v>01/10/2026</v>
      </c>
      <c r="K360" t="str">
        <v>13:01:06</v>
      </c>
      <c r="L360">
        <v>-12.316727</v>
      </c>
      <c r="M360">
        <v>-76.82513</v>
      </c>
      <c r="N360">
        <f>HYPERLINK("https://www.google.com/maps/search/?api=1&amp;query=-12.316727,-76.82513","Punta Hermosa, Lima")</f>
      </c>
      <c r="O360" t="str">
        <v>Acelerado y giro brusco</v>
      </c>
      <c r="P360" t="str">
        <v/>
      </c>
      <c r="Q360">
        <v>2137.9</v>
      </c>
      <c r="R360" t="str">
        <v/>
      </c>
      <c r="S360">
        <v>4.4</v>
      </c>
      <c r="T360">
        <v>82.38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>
        <v>93</v>
      </c>
      <c r="AC360" t="str">
        <v>01/10/2026</v>
      </c>
      <c r="AD360" t="str">
        <v>13:01:04</v>
      </c>
      <c r="AE360">
        <f>IF("ONLINE"="NOGPS","GPS Antiguo","En línea")</f>
      </c>
      <c r="AF360">
        <f>IF(0=0,"Sin atender", IF(0=1,"Atendida","Atendida y Reportada"))</f>
      </c>
      <c r="AG360" t="str">
        <v/>
      </c>
      <c r="AH360" t="str">
        <v/>
      </c>
      <c r="AI360" t="str">
        <v/>
      </c>
      <c r="AJ360" t="str">
        <v/>
      </c>
      <c r="AK360" t="str">
        <v>01/10/2026 13:02:05</v>
      </c>
      <c r="AL360" t="str">
        <v>13:02:05</v>
      </c>
      <c r="AM360" t="str">
        <v/>
      </c>
    </row>
    <row r="361">
      <c r="A361">
        <v>360</v>
      </c>
      <c r="B361" t="str">
        <v>MASS BSF</v>
      </c>
      <c r="C361" t="str">
        <v>F8R-810</v>
      </c>
      <c r="D361" t="str">
        <v>F8R-810</v>
      </c>
      <c r="E361" t="str">
        <v/>
      </c>
      <c r="F361" t="str">
        <v>867806078868827</v>
      </c>
      <c r="G361" t="str">
        <v>TBD</v>
      </c>
      <c r="H361" t="str">
        <v/>
      </c>
      <c r="I361" t="str">
        <v/>
      </c>
      <c r="J361" t="str">
        <v>01/10/2026</v>
      </c>
      <c r="K361" t="str">
        <v>13:01:17</v>
      </c>
      <c r="L361">
        <v>-12.31652</v>
      </c>
      <c r="M361">
        <v>-76.82513</v>
      </c>
      <c r="N361">
        <f>HYPERLINK("https://www.google.com/maps/search/?api=1&amp;query=-12.31652,-76.82513","Punta Hermosa, Lima")</f>
      </c>
      <c r="O361" t="str">
        <v>Aceleración brusca</v>
      </c>
      <c r="P361" t="str">
        <v>CMT-910</v>
      </c>
      <c r="Q361">
        <v>2137.9</v>
      </c>
      <c r="R361" t="str">
        <v/>
      </c>
      <c r="S361">
        <v>10.1</v>
      </c>
      <c r="T361">
        <v>82.38</v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>
        <v>93</v>
      </c>
      <c r="AC361" t="str">
        <v>01/10/2026</v>
      </c>
      <c r="AD361" t="str">
        <v>13:01:15</v>
      </c>
      <c r="AE361">
        <f>IF("ONLINE"="NOGPS","GPS Antiguo","En línea")</f>
      </c>
      <c r="AF361">
        <f>IF(0=0,"Sin atender", IF(0=1,"Atendida","Atendida y Reportada"))</f>
      </c>
      <c r="AG361" t="str">
        <v/>
      </c>
      <c r="AH361" t="str">
        <v/>
      </c>
      <c r="AI361" t="str">
        <v/>
      </c>
      <c r="AJ361" t="str">
        <v/>
      </c>
      <c r="AK361" t="str">
        <v>01/10/2026 13:02:12</v>
      </c>
      <c r="AL361" t="str">
        <v>13:02:12</v>
      </c>
      <c r="AM361" t="str">
        <v/>
      </c>
    </row>
    <row r="362">
      <c r="A362">
        <v>361</v>
      </c>
      <c r="B362" t="str">
        <v>MASS BSF</v>
      </c>
      <c r="C362" t="str">
        <v>F8R-810</v>
      </c>
      <c r="D362" t="str">
        <v>F8R-810</v>
      </c>
      <c r="E362" t="str">
        <v/>
      </c>
      <c r="F362" t="str">
        <v>867806078868827</v>
      </c>
      <c r="G362" t="str">
        <v>TBD</v>
      </c>
      <c r="H362" t="str">
        <v/>
      </c>
      <c r="I362" t="str">
        <v/>
      </c>
      <c r="J362" t="str">
        <v>01/10/2026</v>
      </c>
      <c r="K362" t="str">
        <v>13:02:56</v>
      </c>
      <c r="L362">
        <v>-12.315454</v>
      </c>
      <c r="M362">
        <v>-76.82632</v>
      </c>
      <c r="N362">
        <f>HYPERLINK("https://www.google.com/maps/search/?api=1&amp;query=-12.315454,-76.82632","Punta Hermosa, Lima")</f>
      </c>
      <c r="O362" t="str">
        <v>Aceleración brusca</v>
      </c>
      <c r="P362" t="str">
        <v>CMT-910</v>
      </c>
      <c r="Q362">
        <v>2138.1</v>
      </c>
      <c r="R362" t="str">
        <v/>
      </c>
      <c r="S362">
        <v>11.6</v>
      </c>
      <c r="T362">
        <v>82.38</v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>
        <v>91</v>
      </c>
      <c r="AC362" t="str">
        <v>01/10/2026</v>
      </c>
      <c r="AD362" t="str">
        <v>13:02:54</v>
      </c>
      <c r="AE362">
        <f>IF("ONLINE"="NOGPS","GPS Antiguo","En línea")</f>
      </c>
      <c r="AF362">
        <f>IF(0=0,"Sin atender", IF(0=1,"Atendida","Atendida y Reportada"))</f>
      </c>
      <c r="AG362" t="str">
        <v/>
      </c>
      <c r="AH362" t="str">
        <v/>
      </c>
      <c r="AI362" t="str">
        <v/>
      </c>
      <c r="AJ362" t="str">
        <v/>
      </c>
      <c r="AK362" t="str">
        <v>01/10/2026 13:03:18</v>
      </c>
      <c r="AL362" t="str">
        <v>13:03:18</v>
      </c>
      <c r="AM362" t="str">
        <v/>
      </c>
    </row>
    <row r="363">
      <c r="A363">
        <v>362</v>
      </c>
      <c r="B363" t="str">
        <v>MASS BSF</v>
      </c>
      <c r="C363" t="str">
        <v>F8R-810</v>
      </c>
      <c r="D363" t="str">
        <v>F8R-810</v>
      </c>
      <c r="E363" t="str">
        <v/>
      </c>
      <c r="F363" t="str">
        <v>867806078868827</v>
      </c>
      <c r="G363" t="str">
        <v>TBD</v>
      </c>
      <c r="H363" t="str">
        <v/>
      </c>
      <c r="I363" t="str">
        <v/>
      </c>
      <c r="J363" t="str">
        <v>01/10/2026</v>
      </c>
      <c r="K363" t="str">
        <v>13:03:14</v>
      </c>
      <c r="L363">
        <v>-12.315773</v>
      </c>
      <c r="M363">
        <v>-76.82677</v>
      </c>
      <c r="N363">
        <f>HYPERLINK("https://www.google.com/maps/search/?api=1&amp;query=-12.315773,-76.82677","Punta Hermosa, Lima")</f>
      </c>
      <c r="O363" t="str">
        <v>Acelerado y giro brusco</v>
      </c>
      <c r="P363" t="str">
        <v/>
      </c>
      <c r="Q363">
        <v>2138.1</v>
      </c>
      <c r="R363" t="str">
        <v/>
      </c>
      <c r="S363">
        <v>12.4</v>
      </c>
      <c r="T363">
        <v>82.38</v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>
        <v>91</v>
      </c>
      <c r="AC363" t="str">
        <v>01/10/2026</v>
      </c>
      <c r="AD363" t="str">
        <v>13:03:12</v>
      </c>
      <c r="AE363">
        <f>IF("ONLINE"="NOGPS","GPS Antiguo","En línea")</f>
      </c>
      <c r="AF363">
        <f>IF(0=0,"Sin atender", IF(0=1,"Atendida","Atendida y Reportada"))</f>
      </c>
      <c r="AG363" t="str">
        <v/>
      </c>
      <c r="AH363" t="str">
        <v/>
      </c>
      <c r="AI363" t="str">
        <v/>
      </c>
      <c r="AJ363" t="str">
        <v/>
      </c>
      <c r="AK363" t="str">
        <v>01/10/2026 13:03:17</v>
      </c>
      <c r="AL363" t="str">
        <v>13:03:17</v>
      </c>
      <c r="AM363" t="str">
        <v/>
      </c>
    </row>
    <row r="364">
      <c r="A364">
        <v>363</v>
      </c>
      <c r="B364" t="str">
        <v>MASS BSF</v>
      </c>
      <c r="C364" t="str">
        <v>F8R-810</v>
      </c>
      <c r="D364" t="str">
        <v>F8R-810</v>
      </c>
      <c r="E364" t="str">
        <v/>
      </c>
      <c r="F364" t="str">
        <v>867806078868827</v>
      </c>
      <c r="G364" t="str">
        <v>TBD</v>
      </c>
      <c r="H364" t="str">
        <v/>
      </c>
      <c r="I364" t="str">
        <v/>
      </c>
      <c r="J364" t="str">
        <v>01/10/2026</v>
      </c>
      <c r="K364" t="str">
        <v>13:03:30</v>
      </c>
      <c r="L364">
        <v>-12.316025</v>
      </c>
      <c r="M364">
        <v>-76.82719</v>
      </c>
      <c r="N364">
        <f>HYPERLINK("https://www.google.com/maps/search/?api=1&amp;query=-12.316025,-76.82719","Punta Hermosa, Lima")</f>
      </c>
      <c r="O364" t="str">
        <v>Acelerado y giro brusco</v>
      </c>
      <c r="P364" t="str">
        <v/>
      </c>
      <c r="Q364">
        <v>2138.2</v>
      </c>
      <c r="R364" t="str">
        <v/>
      </c>
      <c r="S364">
        <v>13.7</v>
      </c>
      <c r="T364">
        <v>82.38</v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>
        <v>91</v>
      </c>
      <c r="AC364" t="str">
        <v>01/10/2026</v>
      </c>
      <c r="AD364" t="str">
        <v>13:03:28</v>
      </c>
      <c r="AE364">
        <f>IF("ONLINE"="NOGPS","GPS Antiguo","En línea")</f>
      </c>
      <c r="AF364">
        <f>IF(0=0,"Sin atender", IF(0=1,"Atendida","Atendida y Reportada"))</f>
      </c>
      <c r="AG364" t="str">
        <v/>
      </c>
      <c r="AH364" t="str">
        <v/>
      </c>
      <c r="AI364" t="str">
        <v/>
      </c>
      <c r="AJ364" t="str">
        <v/>
      </c>
      <c r="AK364" t="str">
        <v>01/10/2026 13:03:39</v>
      </c>
      <c r="AL364" t="str">
        <v>13:03:39</v>
      </c>
      <c r="AM364" t="str">
        <v/>
      </c>
    </row>
    <row r="365">
      <c r="A365">
        <v>364</v>
      </c>
      <c r="B365" t="str">
        <v>MASS BSF</v>
      </c>
      <c r="C365" t="str">
        <v>F8R-810</v>
      </c>
      <c r="D365" t="str">
        <v>F8R-810</v>
      </c>
      <c r="E365" t="str">
        <v/>
      </c>
      <c r="F365" t="str">
        <v>867806078868827</v>
      </c>
      <c r="G365" t="str">
        <v>TBD</v>
      </c>
      <c r="H365" t="str">
        <v/>
      </c>
      <c r="I365" t="str">
        <v/>
      </c>
      <c r="J365" t="str">
        <v>01/10/2026</v>
      </c>
      <c r="K365" t="str">
        <v>13:03:34</v>
      </c>
      <c r="L365">
        <v>-12.316071</v>
      </c>
      <c r="M365">
        <v>-76.82728</v>
      </c>
      <c r="N365">
        <f>HYPERLINK("https://www.google.com/maps/search/?api=1&amp;query=-12.316071,-76.82728","Punta Hermosa, Lima")</f>
      </c>
      <c r="O365" t="str">
        <v>Aceleración brusca</v>
      </c>
      <c r="P365" t="str">
        <v>CMT-910</v>
      </c>
      <c r="Q365">
        <v>2138.2</v>
      </c>
      <c r="R365" t="str">
        <v/>
      </c>
      <c r="S365">
        <v>13.5</v>
      </c>
      <c r="T365">
        <v>82.38</v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>
        <v>91</v>
      </c>
      <c r="AC365" t="str">
        <v>01/10/2026</v>
      </c>
      <c r="AD365" t="str">
        <v>13:03:31</v>
      </c>
      <c r="AE365">
        <f>IF("ONLINE"="NOGPS","GPS Antiguo","En línea")</f>
      </c>
      <c r="AF365">
        <f>IF(0=0,"Sin atender", IF(0=1,"Atendida","Atendida y Reportada"))</f>
      </c>
      <c r="AG365" t="str">
        <v/>
      </c>
      <c r="AH365" t="str">
        <v/>
      </c>
      <c r="AI365" t="str">
        <v/>
      </c>
      <c r="AJ365" t="str">
        <v/>
      </c>
      <c r="AK365" t="str">
        <v>01/10/2026 13:03:48</v>
      </c>
      <c r="AL365" t="str">
        <v>13:03:48</v>
      </c>
      <c r="AM365" t="str">
        <v/>
      </c>
    </row>
    <row r="366">
      <c r="A366">
        <v>365</v>
      </c>
      <c r="B366" t="str">
        <v>MASS BSF</v>
      </c>
      <c r="C366" t="str">
        <v>F8R-810</v>
      </c>
      <c r="D366" t="str">
        <v>F8R-810</v>
      </c>
      <c r="E366" t="str">
        <v/>
      </c>
      <c r="F366" t="str">
        <v>867806078868827</v>
      </c>
      <c r="G366" t="str">
        <v>TBD</v>
      </c>
      <c r="H366" t="str">
        <v/>
      </c>
      <c r="I366" t="str">
        <v/>
      </c>
      <c r="J366" t="str">
        <v>01/10/2026</v>
      </c>
      <c r="K366" t="str">
        <v>13:04:07</v>
      </c>
      <c r="L366">
        <v>-12.3166</v>
      </c>
      <c r="M366">
        <v>-76.82813</v>
      </c>
      <c r="N366">
        <f>HYPERLINK("https://www.google.com/maps/search/?api=1&amp;query=-12.3166,-76.82813","Punta Hermosa, Lima")</f>
      </c>
      <c r="O366" t="str">
        <v>Aceleración brusca</v>
      </c>
      <c r="P366" t="str">
        <v>CMT-910</v>
      </c>
      <c r="Q366">
        <v>2138.3</v>
      </c>
      <c r="R366" t="str">
        <v/>
      </c>
      <c r="S366">
        <v>12.4</v>
      </c>
      <c r="T366">
        <v>82.38</v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>
        <v>91</v>
      </c>
      <c r="AC366" t="str">
        <v>01/10/2026</v>
      </c>
      <c r="AD366" t="str">
        <v>13:04:04</v>
      </c>
      <c r="AE366">
        <f>IF("ONLINE"="NOGPS","GPS Antiguo","En línea")</f>
      </c>
      <c r="AF366">
        <f>IF(0=0,"Sin atender", IF(0=1,"Atendida","Atendida y Reportada"))</f>
      </c>
      <c r="AG366" t="str">
        <v/>
      </c>
      <c r="AH366" t="str">
        <v/>
      </c>
      <c r="AI366" t="str">
        <v/>
      </c>
      <c r="AJ366" t="str">
        <v/>
      </c>
      <c r="AK366" t="str">
        <v>01/10/2026 13:04:13</v>
      </c>
      <c r="AL366" t="str">
        <v>13:04:13</v>
      </c>
      <c r="AM366" t="str">
        <v/>
      </c>
    </row>
    <row r="367">
      <c r="A367">
        <v>366</v>
      </c>
      <c r="B367" t="str">
        <v>MASS BSF</v>
      </c>
      <c r="C367" t="str">
        <v>F8R-810</v>
      </c>
      <c r="D367" t="str">
        <v>F8R-810</v>
      </c>
      <c r="E367" t="str">
        <v/>
      </c>
      <c r="F367" t="str">
        <v>867806078868827</v>
      </c>
      <c r="G367" t="str">
        <v>TBD</v>
      </c>
      <c r="H367" t="str">
        <v/>
      </c>
      <c r="I367" t="str">
        <v/>
      </c>
      <c r="J367" t="str">
        <v>01/10/2026</v>
      </c>
      <c r="K367" t="str">
        <v>13:05:17</v>
      </c>
      <c r="L367">
        <v>-12.31743</v>
      </c>
      <c r="M367">
        <v>-76.82945</v>
      </c>
      <c r="N367">
        <f>HYPERLINK("https://www.google.com/maps/search/?api=1&amp;query=-12.31743,-76.82945","Punta Hermosa, Lima")</f>
      </c>
      <c r="O367" t="str">
        <v>Acelerado y giro brusco</v>
      </c>
      <c r="P367" t="str">
        <v/>
      </c>
      <c r="Q367">
        <v>2138.5</v>
      </c>
      <c r="R367" t="str">
        <v/>
      </c>
      <c r="S367">
        <v>8.8</v>
      </c>
      <c r="T367">
        <v>82.38</v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>
        <v>85</v>
      </c>
      <c r="AC367" t="str">
        <v>01/10/2026</v>
      </c>
      <c r="AD367" t="str">
        <v>13:05:15</v>
      </c>
      <c r="AE367">
        <f>IF("ONLINE"="NOGPS","GPS Antiguo","En línea")</f>
      </c>
      <c r="AF367">
        <f>IF(0=0,"Sin atender", IF(0=1,"Atendida","Atendida y Reportada"))</f>
      </c>
      <c r="AG367" t="str">
        <v/>
      </c>
      <c r="AH367" t="str">
        <v/>
      </c>
      <c r="AI367" t="str">
        <v/>
      </c>
      <c r="AJ367" t="str">
        <v/>
      </c>
      <c r="AK367" t="str">
        <v>01/10/2026 13:05:28</v>
      </c>
      <c r="AL367" t="str">
        <v>13:05:28</v>
      </c>
      <c r="AM367" t="str">
        <v/>
      </c>
    </row>
    <row r="368">
      <c r="A368">
        <v>367</v>
      </c>
      <c r="B368" t="str">
        <v>MASS BSF</v>
      </c>
      <c r="C368" t="str">
        <v>F8R-810</v>
      </c>
      <c r="D368" t="str">
        <v>F8R-810</v>
      </c>
      <c r="E368" t="str">
        <v/>
      </c>
      <c r="F368" t="str">
        <v>867806078868827</v>
      </c>
      <c r="G368" t="str">
        <v>TBD</v>
      </c>
      <c r="H368" t="str">
        <v/>
      </c>
      <c r="I368" t="str">
        <v/>
      </c>
      <c r="J368" t="str">
        <v>01/10/2026</v>
      </c>
      <c r="K368" t="str">
        <v>13:05:45</v>
      </c>
      <c r="L368">
        <v>-12.317563</v>
      </c>
      <c r="M368">
        <v>-76.829735</v>
      </c>
      <c r="N368">
        <f>HYPERLINK("https://www.google.com/maps/search/?api=1&amp;query=-12.317563,-76.829735","Punta Hermosa, Lima")</f>
      </c>
      <c r="O368" t="str">
        <v>Acelerado y giro brusco</v>
      </c>
      <c r="P368" t="str">
        <v/>
      </c>
      <c r="Q368">
        <v>2138.5</v>
      </c>
      <c r="R368" t="str">
        <v/>
      </c>
      <c r="S368">
        <v>9.8</v>
      </c>
      <c r="T368">
        <v>82.38</v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>
        <v>85</v>
      </c>
      <c r="AC368" t="str">
        <v>01/10/2026</v>
      </c>
      <c r="AD368" t="str">
        <v>13:05:42</v>
      </c>
      <c r="AE368">
        <f>IF("ONLINE"="NOGPS","GPS Antiguo","En línea")</f>
      </c>
      <c r="AF368">
        <f>IF(0=0,"Sin atender", IF(0=1,"Atendida","Atendida y Reportada"))</f>
      </c>
      <c r="AG368" t="str">
        <v/>
      </c>
      <c r="AH368" t="str">
        <v/>
      </c>
      <c r="AI368" t="str">
        <v/>
      </c>
      <c r="AJ368" t="str">
        <v/>
      </c>
      <c r="AK368" t="str">
        <v>01/10/2026 13:05:53</v>
      </c>
      <c r="AL368" t="str">
        <v>13:05:53</v>
      </c>
      <c r="AM368" t="str">
        <v/>
      </c>
    </row>
    <row r="369">
      <c r="A369">
        <v>368</v>
      </c>
      <c r="B369" t="str">
        <v>MASS BSF</v>
      </c>
      <c r="C369" t="str">
        <v>F8R-810</v>
      </c>
      <c r="D369" t="str">
        <v>F8R-810</v>
      </c>
      <c r="E369" t="str">
        <v/>
      </c>
      <c r="F369" t="str">
        <v>867806078868827</v>
      </c>
      <c r="G369" t="str">
        <v>TBD</v>
      </c>
      <c r="H369" t="str">
        <v/>
      </c>
      <c r="I369" t="str">
        <v xml:space="preserve"> </v>
      </c>
      <c r="J369" t="str">
        <v>01/10/2026</v>
      </c>
      <c r="K369" t="str">
        <v>13:05:49</v>
      </c>
      <c r="L369">
        <v>-12.317596</v>
      </c>
      <c r="M369">
        <v>-76.82984</v>
      </c>
      <c r="N369">
        <f>HYPERLINK("https://www.google.com/maps/search/?api=1&amp;query=-12.317596,-76.82984","Punta Hermosa, Lima")</f>
      </c>
      <c r="O369" t="str">
        <v>Salió de zona</v>
      </c>
      <c r="P369" t="str">
        <v/>
      </c>
      <c r="Q369">
        <v>2138.5</v>
      </c>
      <c r="R369" t="str">
        <v>MASS BSF 1</v>
      </c>
      <c r="S369">
        <v>9.8</v>
      </c>
      <c r="T369">
        <v>82.38</v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>
        <v>92</v>
      </c>
      <c r="AC369" t="str">
        <v>01/10/2026</v>
      </c>
      <c r="AD369" t="str">
        <v>13:05:47</v>
      </c>
      <c r="AE369">
        <f>IF("ONLINE"="NOGPS","GPS Antiguo","En línea")</f>
      </c>
      <c r="AF369">
        <f>IF(0=0,"Sin atender", IF(0=1,"Atendida","Atendida y Reportada"))</f>
      </c>
      <c r="AG369" t="str">
        <v/>
      </c>
      <c r="AH369" t="str">
        <v/>
      </c>
      <c r="AI369" t="str">
        <v/>
      </c>
      <c r="AJ369" t="str">
        <v/>
      </c>
      <c r="AK369" t="str">
        <v>01/10/2026 13:05:53</v>
      </c>
      <c r="AL369" t="str">
        <v>13:05:53</v>
      </c>
      <c r="AM369" t="str">
        <v/>
      </c>
    </row>
    <row r="370">
      <c r="A370">
        <v>369</v>
      </c>
      <c r="B370" t="str">
        <v>MASS BSF</v>
      </c>
      <c r="C370" t="str">
        <v>F8R-810</v>
      </c>
      <c r="D370" t="str">
        <v>F8R-810</v>
      </c>
      <c r="E370" t="str">
        <v/>
      </c>
      <c r="F370" t="str">
        <v>867806078868827</v>
      </c>
      <c r="G370" t="str">
        <v>TBD</v>
      </c>
      <c r="H370" t="str">
        <v/>
      </c>
      <c r="I370" t="str">
        <v/>
      </c>
      <c r="J370" t="str">
        <v>01/10/2026</v>
      </c>
      <c r="K370" t="str">
        <v>13:05:50</v>
      </c>
      <c r="L370">
        <v>-12.317596</v>
      </c>
      <c r="M370">
        <v>-76.82984</v>
      </c>
      <c r="N370">
        <f>HYPERLINK("https://www.google.com/maps/search/?api=1&amp;query=-12.317596,-76.82984","Punta Hermosa, Lima")</f>
      </c>
      <c r="O370" t="str">
        <v>Acelerado y giro brusco</v>
      </c>
      <c r="P370" t="str">
        <v/>
      </c>
      <c r="Q370">
        <v>2138.5</v>
      </c>
      <c r="R370" t="str">
        <v/>
      </c>
      <c r="S370">
        <v>9.8</v>
      </c>
      <c r="T370">
        <v>82.38</v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>
        <v>85</v>
      </c>
      <c r="AC370" t="str">
        <v>01/10/2026</v>
      </c>
      <c r="AD370" t="str">
        <v>13:05:47</v>
      </c>
      <c r="AE370">
        <f>IF("ONLINE"="NOGPS","GPS Antiguo","En línea")</f>
      </c>
      <c r="AF370">
        <f>IF(0=0,"Sin atender", IF(0=1,"Atendida","Atendida y Reportada"))</f>
      </c>
      <c r="AG370" t="str">
        <v/>
      </c>
      <c r="AH370" t="str">
        <v/>
      </c>
      <c r="AI370" t="str">
        <v/>
      </c>
      <c r="AJ370" t="str">
        <v/>
      </c>
      <c r="AK370" t="str">
        <v>01/10/2026 13:06:06</v>
      </c>
      <c r="AL370" t="str">
        <v>13:06:06</v>
      </c>
      <c r="AM370" t="str">
        <v/>
      </c>
    </row>
    <row r="371">
      <c r="A371">
        <v>370</v>
      </c>
      <c r="B371" t="str">
        <v>MASS BSF</v>
      </c>
      <c r="C371" t="str">
        <v>F8R-810</v>
      </c>
      <c r="D371" t="str">
        <v>F8R-810</v>
      </c>
      <c r="E371" t="str">
        <v/>
      </c>
      <c r="F371" t="str">
        <v>867806078868827</v>
      </c>
      <c r="G371" t="str">
        <v>TBD</v>
      </c>
      <c r="H371" t="str">
        <v/>
      </c>
      <c r="I371" t="str">
        <v/>
      </c>
      <c r="J371" t="str">
        <v>01/10/2026</v>
      </c>
      <c r="K371" t="str">
        <v>13:06:10</v>
      </c>
      <c r="L371">
        <v>-12.317322</v>
      </c>
      <c r="M371">
        <v>-76.83041</v>
      </c>
      <c r="N371">
        <f>HYPERLINK("https://www.google.com/maps/search/?api=1&amp;query=-12.317322,-76.83041","Carretera Panamericana Sur, Punta Hermosa, Lima")</f>
      </c>
      <c r="O371" t="str">
        <v>Acelerado y giro brusco</v>
      </c>
      <c r="P371" t="str">
        <v/>
      </c>
      <c r="Q371">
        <v>2138.6</v>
      </c>
      <c r="R371" t="str">
        <v/>
      </c>
      <c r="S371">
        <v>13.8</v>
      </c>
      <c r="T371">
        <v>82.38</v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>
        <v>85</v>
      </c>
      <c r="AC371" t="str">
        <v>01/10/2026</v>
      </c>
      <c r="AD371" t="str">
        <v>13:06:08</v>
      </c>
      <c r="AE371">
        <f>IF("ONLINE"="NOGPS","GPS Antiguo","En línea")</f>
      </c>
      <c r="AF371">
        <f>IF(0=0,"Sin atender", IF(0=1,"Atendida","Atendida y Reportada"))</f>
      </c>
      <c r="AG371" t="str">
        <v/>
      </c>
      <c r="AH371" t="str">
        <v/>
      </c>
      <c r="AI371" t="str">
        <v/>
      </c>
      <c r="AJ371" t="str">
        <v/>
      </c>
      <c r="AK371" t="str">
        <v>01/10/2026 13:06:18</v>
      </c>
      <c r="AL371" t="str">
        <v>13:06:18</v>
      </c>
      <c r="AM371" t="str">
        <v/>
      </c>
    </row>
    <row r="372">
      <c r="A372">
        <v>371</v>
      </c>
      <c r="B372" t="str">
        <v>MASS BSF</v>
      </c>
      <c r="C372" t="str">
        <v>F8R-810</v>
      </c>
      <c r="D372" t="str">
        <v>F8R-810</v>
      </c>
      <c r="E372" t="str">
        <v/>
      </c>
      <c r="F372" t="str">
        <v>867806078868827</v>
      </c>
      <c r="G372" t="str">
        <v>TBD</v>
      </c>
      <c r="H372" t="str">
        <v/>
      </c>
      <c r="I372" t="str">
        <v/>
      </c>
      <c r="J372" t="str">
        <v>01/10/2026</v>
      </c>
      <c r="K372" t="str">
        <v>13:06:41</v>
      </c>
      <c r="L372">
        <v>-12.315659</v>
      </c>
      <c r="M372">
        <v>-76.8317</v>
      </c>
      <c r="N372">
        <f>HYPERLINK("https://www.google.com/maps/search/?api=1&amp;query=-12.315659,-76.8317","Carretera Panamericana Sur, Punta Hermosa, Lima")</f>
      </c>
      <c r="O372" t="str">
        <v>Acelerado y giro brusco</v>
      </c>
      <c r="P372" t="str">
        <v/>
      </c>
      <c r="Q372">
        <v>2138.8</v>
      </c>
      <c r="R372" t="str">
        <v/>
      </c>
      <c r="S372">
        <v>43.5</v>
      </c>
      <c r="T372">
        <v>82.38</v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>
        <v>92</v>
      </c>
      <c r="AC372" t="str">
        <v>01/10/2026</v>
      </c>
      <c r="AD372" t="str">
        <v>13:06:38</v>
      </c>
      <c r="AE372">
        <f>IF("ONLINE"="NOGPS","GPS Antiguo","En línea")</f>
      </c>
      <c r="AF372">
        <f>IF(0=0,"Sin atender", IF(0=1,"Atendida","Atendida y Reportada"))</f>
      </c>
      <c r="AG372" t="str">
        <v/>
      </c>
      <c r="AH372" t="str">
        <v/>
      </c>
      <c r="AI372" t="str">
        <v/>
      </c>
      <c r="AJ372" t="str">
        <v/>
      </c>
      <c r="AK372" t="str">
        <v>01/10/2026 13:06:54</v>
      </c>
      <c r="AL372" t="str">
        <v>13:06:54</v>
      </c>
      <c r="AM372" t="str">
        <v/>
      </c>
    </row>
    <row r="373">
      <c r="A373">
        <v>372</v>
      </c>
      <c r="B373" t="str">
        <v>MASS BSF</v>
      </c>
      <c r="C373" t="str">
        <v>F8R-810</v>
      </c>
      <c r="D373" t="str">
        <v>F8R-810</v>
      </c>
      <c r="E373" t="str">
        <v/>
      </c>
      <c r="F373" t="str">
        <v>867806078868827</v>
      </c>
      <c r="G373" t="str">
        <v>TBD</v>
      </c>
      <c r="H373" t="str">
        <v/>
      </c>
      <c r="I373" t="str">
        <v/>
      </c>
      <c r="J373" t="str">
        <v>01/10/2026</v>
      </c>
      <c r="K373" t="str">
        <v>13:06:48</v>
      </c>
      <c r="L373">
        <v>-12.314914</v>
      </c>
      <c r="M373">
        <v>-76.83221</v>
      </c>
      <c r="N373">
        <f>HYPERLINK("https://www.google.com/maps/search/?api=1&amp;query=-12.314914,-76.83221","Carretera Panamericana Sur, Punta Hermosa, Lima")</f>
      </c>
      <c r="O373" t="str">
        <v>Aceleración brusca</v>
      </c>
      <c r="P373" t="str">
        <v>CMT-910</v>
      </c>
      <c r="Q373">
        <v>2138.9</v>
      </c>
      <c r="R373" t="str">
        <v/>
      </c>
      <c r="S373">
        <v>43.7</v>
      </c>
      <c r="T373">
        <v>82.38</v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>
        <v>92</v>
      </c>
      <c r="AC373" t="str">
        <v>01/10/2026</v>
      </c>
      <c r="AD373" t="str">
        <v>13:06:46</v>
      </c>
      <c r="AE373">
        <f>IF("ONLINE"="NOGPS","GPS Antiguo","En línea")</f>
      </c>
      <c r="AF373">
        <f>IF(0=0,"Sin atender", IF(0=1,"Atendida","Atendida y Reportada"))</f>
      </c>
      <c r="AG373" t="str">
        <v/>
      </c>
      <c r="AH373" t="str">
        <v/>
      </c>
      <c r="AI373" t="str">
        <v/>
      </c>
      <c r="AJ373" t="str">
        <v/>
      </c>
      <c r="AK373" t="str">
        <v>01/10/2026 13:06:54</v>
      </c>
      <c r="AL373" t="str">
        <v>13:06:54</v>
      </c>
      <c r="AM373" t="str">
        <v/>
      </c>
    </row>
    <row r="374">
      <c r="A374">
        <v>373</v>
      </c>
      <c r="B374" t="str">
        <v>MASS BSF</v>
      </c>
      <c r="C374" t="str">
        <v>F8R-810</v>
      </c>
      <c r="D374" t="str">
        <v>F8R-810</v>
      </c>
      <c r="E374" t="str">
        <v/>
      </c>
      <c r="F374" t="str">
        <v>867806078868827</v>
      </c>
      <c r="G374" t="str">
        <v>TBD</v>
      </c>
      <c r="H374" t="str">
        <v/>
      </c>
      <c r="I374" t="str">
        <v/>
      </c>
      <c r="J374" t="str">
        <v>01/10/2026</v>
      </c>
      <c r="K374" t="str">
        <v>13:06:51</v>
      </c>
      <c r="L374">
        <v>-12.31473</v>
      </c>
      <c r="M374">
        <v>-76.83233</v>
      </c>
      <c r="N374">
        <f>HYPERLINK("https://www.google.com/maps/search/?api=1&amp;query=-12.31473,-76.83233","Carretera Panamericana Sur, Punta Hermosa, Lima")</f>
      </c>
      <c r="O374" t="str">
        <v>Acelerado y giro brusco</v>
      </c>
      <c r="P374" t="str">
        <v/>
      </c>
      <c r="Q374">
        <v>2138.9</v>
      </c>
      <c r="R374" t="str">
        <v/>
      </c>
      <c r="S374">
        <v>43.7</v>
      </c>
      <c r="T374">
        <v>82.38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>
        <v>92</v>
      </c>
      <c r="AC374" t="str">
        <v>01/10/2026</v>
      </c>
      <c r="AD374" t="str">
        <v>13:06:48</v>
      </c>
      <c r="AE374">
        <f>IF("ONLINE"="NOGPS","GPS Antiguo","En línea")</f>
      </c>
      <c r="AF374">
        <f>IF(0=0,"Sin atender", IF(0=1,"Atendida","Atendida y Reportada"))</f>
      </c>
      <c r="AG374" t="str">
        <v/>
      </c>
      <c r="AH374" t="str">
        <v/>
      </c>
      <c r="AI374" t="str">
        <v/>
      </c>
      <c r="AJ374" t="str">
        <v/>
      </c>
      <c r="AK374" t="str">
        <v>01/10/2026 13:07:14</v>
      </c>
      <c r="AL374" t="str">
        <v>13:07:14</v>
      </c>
      <c r="AM374" t="str">
        <v/>
      </c>
    </row>
    <row r="375">
      <c r="A375">
        <v>374</v>
      </c>
      <c r="B375" t="str">
        <v>MASS BSF</v>
      </c>
      <c r="C375" t="str">
        <v>F8R-810</v>
      </c>
      <c r="D375" t="str">
        <v>F8R-810</v>
      </c>
      <c r="E375" t="str">
        <v/>
      </c>
      <c r="F375" t="str">
        <v>867806078868827</v>
      </c>
      <c r="G375" t="str">
        <v>TBD</v>
      </c>
      <c r="H375" t="str">
        <v/>
      </c>
      <c r="I375" t="str">
        <v/>
      </c>
      <c r="J375" t="str">
        <v>01/10/2026</v>
      </c>
      <c r="K375" t="str">
        <v>13:07:17</v>
      </c>
      <c r="L375">
        <v>-12.311947</v>
      </c>
      <c r="M375">
        <v>-76.83419</v>
      </c>
      <c r="N375">
        <f>HYPERLINK("https://www.google.com/maps/search/?api=1&amp;query=-12.311947,-76.83419","Carretera Panamericana Sur, Punta Hermosa, Lima")</f>
      </c>
      <c r="O375" t="str">
        <v>Aceleración brusca</v>
      </c>
      <c r="P375" t="str">
        <v>CMT-910</v>
      </c>
      <c r="Q375">
        <v>2139.3</v>
      </c>
      <c r="R375" t="str">
        <v/>
      </c>
      <c r="S375">
        <v>52.9</v>
      </c>
      <c r="T375">
        <v>82.38</v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>
        <v>92</v>
      </c>
      <c r="AC375" t="str">
        <v>01/10/2026</v>
      </c>
      <c r="AD375" t="str">
        <v>13:07:15</v>
      </c>
      <c r="AE375">
        <f>IF("ONLINE"="NOGPS","GPS Antiguo","En línea")</f>
      </c>
      <c r="AF375">
        <f>IF(0=0,"Sin atender", IF(0=1,"Atendida","Atendida y Reportada"))</f>
      </c>
      <c r="AG375" t="str">
        <v/>
      </c>
      <c r="AH375" t="str">
        <v/>
      </c>
      <c r="AI375" t="str">
        <v/>
      </c>
      <c r="AJ375" t="str">
        <v/>
      </c>
      <c r="AK375" t="str">
        <v>01/10/2026 13:07:31</v>
      </c>
      <c r="AL375" t="str">
        <v>13:07:31</v>
      </c>
      <c r="AM375" t="str">
        <v/>
      </c>
    </row>
    <row r="376">
      <c r="A376">
        <v>375</v>
      </c>
      <c r="B376" t="str">
        <v>MASS BSF</v>
      </c>
      <c r="C376" t="str">
        <v>F8R-810</v>
      </c>
      <c r="D376" t="str">
        <v>F8R-810</v>
      </c>
      <c r="E376" t="str">
        <v/>
      </c>
      <c r="F376" t="str">
        <v>867806078868827</v>
      </c>
      <c r="G376" t="str">
        <v>TBD</v>
      </c>
      <c r="H376" t="str">
        <v/>
      </c>
      <c r="I376" t="str">
        <v/>
      </c>
      <c r="J376" t="str">
        <v>01/10/2026</v>
      </c>
      <c r="K376" t="str">
        <v>13:08:36</v>
      </c>
      <c r="L376">
        <v>-12.303371</v>
      </c>
      <c r="M376">
        <v>-76.8418</v>
      </c>
      <c r="N376">
        <f>HYPERLINK("https://www.google.com/maps/search/?api=1&amp;query=-12.303371,-76.8418","Carretera Panamericana Sur, Lurín, Lima")</f>
      </c>
      <c r="O376" t="str">
        <v>Acelerado y giro brusco</v>
      </c>
      <c r="P376" t="str">
        <v/>
      </c>
      <c r="Q376">
        <v>2140.6</v>
      </c>
      <c r="R376" t="str">
        <v/>
      </c>
      <c r="S376">
        <v>58.3</v>
      </c>
      <c r="T376">
        <v>82.38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>
        <v>87</v>
      </c>
      <c r="AC376" t="str">
        <v>01/10/2026</v>
      </c>
      <c r="AD376" t="str">
        <v>13:08:34</v>
      </c>
      <c r="AE376">
        <f>IF("ONLINE"="NOGPS","GPS Antiguo","En línea")</f>
      </c>
      <c r="AF376">
        <f>IF(0=0,"Sin atender", IF(0=1,"Atendida","Atendida y Reportada"))</f>
      </c>
      <c r="AG376" t="str">
        <v/>
      </c>
      <c r="AH376" t="str">
        <v/>
      </c>
      <c r="AI376" t="str">
        <v/>
      </c>
      <c r="AJ376" t="str">
        <v/>
      </c>
      <c r="AK376" t="str">
        <v>01/10/2026 13:09:02</v>
      </c>
      <c r="AL376" t="str">
        <v>13:09:02</v>
      </c>
      <c r="AM376" t="str">
        <v/>
      </c>
    </row>
    <row r="377">
      <c r="A377">
        <v>376</v>
      </c>
      <c r="B377" t="str">
        <v>MASS BSF</v>
      </c>
      <c r="C377" t="str">
        <v>F8R-810</v>
      </c>
      <c r="D377" t="str">
        <v>F8R-810</v>
      </c>
      <c r="E377" t="str">
        <v/>
      </c>
      <c r="F377" t="str">
        <v>867806078868827</v>
      </c>
      <c r="G377" t="str">
        <v>TBD</v>
      </c>
      <c r="H377" t="str">
        <v/>
      </c>
      <c r="I377" t="str">
        <v/>
      </c>
      <c r="J377" t="str">
        <v>01/10/2026</v>
      </c>
      <c r="K377" t="str">
        <v>13:11:18</v>
      </c>
      <c r="L377">
        <v>-12.292633</v>
      </c>
      <c r="M377">
        <v>-76.863335</v>
      </c>
      <c r="N377">
        <f>HYPERLINK("https://www.google.com/maps/search/?api=1&amp;query=-12.292633,-76.863335","Carretera Panamericana Sur, Lurín, Lima")</f>
      </c>
      <c r="O377" t="str">
        <v>Aceleración brusca</v>
      </c>
      <c r="P377" t="str">
        <v>CMT-910</v>
      </c>
      <c r="Q377">
        <v>2143.2</v>
      </c>
      <c r="R377" t="str">
        <v/>
      </c>
      <c r="S377">
        <v>68.3</v>
      </c>
      <c r="T377">
        <v>82.38</v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>
        <v>88</v>
      </c>
      <c r="AC377" t="str">
        <v>01/10/2026</v>
      </c>
      <c r="AD377" t="str">
        <v>13:11:15</v>
      </c>
      <c r="AE377">
        <f>IF("ONLINE"="NOGPS","GPS Antiguo","En línea")</f>
      </c>
      <c r="AF377">
        <f>IF(0=0,"Sin atender", IF(0=1,"Atendida","Atendida y Reportada"))</f>
      </c>
      <c r="AG377" t="str">
        <v/>
      </c>
      <c r="AH377" t="str">
        <v/>
      </c>
      <c r="AI377" t="str">
        <v/>
      </c>
      <c r="AJ377" t="str">
        <v/>
      </c>
      <c r="AK377" t="str">
        <v>01/10/2026 13:11:30</v>
      </c>
      <c r="AL377" t="str">
        <v>13:11:30</v>
      </c>
      <c r="AM377" t="str">
        <v/>
      </c>
    </row>
    <row r="378">
      <c r="A378">
        <v>377</v>
      </c>
      <c r="B378" t="str">
        <v>MASS BSF</v>
      </c>
      <c r="C378" t="str">
        <v>F8R-810</v>
      </c>
      <c r="D378" t="str">
        <v>F8R-810</v>
      </c>
      <c r="E378" t="str">
        <v/>
      </c>
      <c r="F378" t="str">
        <v>867806078868827</v>
      </c>
      <c r="G378" t="str">
        <v>TBD</v>
      </c>
      <c r="H378" t="str">
        <v/>
      </c>
      <c r="I378" t="str">
        <v/>
      </c>
      <c r="J378" t="str">
        <v>01/10/2026</v>
      </c>
      <c r="K378" t="str">
        <v>13:12:09</v>
      </c>
      <c r="L378">
        <v>-12.287933</v>
      </c>
      <c r="M378">
        <v>-76.870834</v>
      </c>
      <c r="N378">
        <f>HYPERLINK("https://www.google.com/maps/search/?api=1&amp;query=-12.287933,-76.870834","Carretera Panamericana Sur, Lurín, Lima")</f>
      </c>
      <c r="O378" t="str">
        <v>Acelerado y giro brusco</v>
      </c>
      <c r="P378" t="str">
        <v/>
      </c>
      <c r="Q378">
        <v>2144.1</v>
      </c>
      <c r="R378" t="str">
        <v/>
      </c>
      <c r="S378">
        <v>69</v>
      </c>
      <c r="T378">
        <v>82.38</v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>
        <v>88</v>
      </c>
      <c r="AC378" t="str">
        <v>01/10/2026</v>
      </c>
      <c r="AD378" t="str">
        <v>13:12:07</v>
      </c>
      <c r="AE378">
        <f>IF("ONLINE"="NOGPS","GPS Antiguo","En línea")</f>
      </c>
      <c r="AF378">
        <f>IF(0=0,"Sin atender", IF(0=1,"Atendida","Atendida y Reportada"))</f>
      </c>
      <c r="AG378" t="str">
        <v/>
      </c>
      <c r="AH378" t="str">
        <v/>
      </c>
      <c r="AI378" t="str">
        <v/>
      </c>
      <c r="AJ378" t="str">
        <v/>
      </c>
      <c r="AK378" t="str">
        <v>01/10/2026 13:12:25</v>
      </c>
      <c r="AL378" t="str">
        <v>13:12:25</v>
      </c>
      <c r="AM378" t="str">
        <v/>
      </c>
    </row>
    <row r="379">
      <c r="A379">
        <v>378</v>
      </c>
      <c r="B379" t="str">
        <v>MASS BSF</v>
      </c>
      <c r="C379" t="str">
        <v>F8R-810</v>
      </c>
      <c r="D379" t="str">
        <v>F8R-810</v>
      </c>
      <c r="E379" t="str">
        <v/>
      </c>
      <c r="F379" t="str">
        <v>867806078868827</v>
      </c>
      <c r="G379" t="str">
        <v>TBD</v>
      </c>
      <c r="H379" t="str">
        <v/>
      </c>
      <c r="I379" t="str">
        <v/>
      </c>
      <c r="J379" t="str">
        <v>01/10/2026</v>
      </c>
      <c r="K379" t="str">
        <v>13:12:19</v>
      </c>
      <c r="L379">
        <v>-12.286999</v>
      </c>
      <c r="M379">
        <v>-76.87232</v>
      </c>
      <c r="N379">
        <f>HYPERLINK("https://www.google.com/maps/search/?api=1&amp;query=-12.286999,-76.87232","Carretera Panamericana Sur, Lurín, Lima")</f>
      </c>
      <c r="O379" t="str">
        <v>Aceleración brusca</v>
      </c>
      <c r="P379" t="str">
        <v>CMT-910</v>
      </c>
      <c r="Q379">
        <v>2144.3</v>
      </c>
      <c r="R379" t="str">
        <v/>
      </c>
      <c r="S379">
        <v>69.4</v>
      </c>
      <c r="T379">
        <v>82.38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>
        <v>88</v>
      </c>
      <c r="AC379" t="str">
        <v>01/10/2026</v>
      </c>
      <c r="AD379" t="str">
        <v>13:12:17</v>
      </c>
      <c r="AE379">
        <f>IF("ONLINE"="NOGPS","GPS Antiguo","En línea")</f>
      </c>
      <c r="AF379">
        <f>IF(0=0,"Sin atender", IF(0=1,"Atendida","Atendida y Reportada"))</f>
      </c>
      <c r="AG379" t="str">
        <v/>
      </c>
      <c r="AH379" t="str">
        <v/>
      </c>
      <c r="AI379" t="str">
        <v/>
      </c>
      <c r="AJ379" t="str">
        <v/>
      </c>
      <c r="AK379" t="str">
        <v>01/10/2026 13:12:33</v>
      </c>
      <c r="AL379" t="str">
        <v>13:12:33</v>
      </c>
      <c r="AM379" t="str">
        <v/>
      </c>
    </row>
    <row r="380">
      <c r="A380">
        <v>379</v>
      </c>
      <c r="B380" t="str">
        <v>MASS BSF</v>
      </c>
      <c r="C380" t="str">
        <v>F8R-810</v>
      </c>
      <c r="D380" t="str">
        <v>F8R-810</v>
      </c>
      <c r="E380" t="str">
        <v/>
      </c>
      <c r="F380" t="str">
        <v>867806078868827</v>
      </c>
      <c r="G380" t="str">
        <v>TBD</v>
      </c>
      <c r="H380" t="str">
        <v/>
      </c>
      <c r="I380" t="str">
        <v/>
      </c>
      <c r="J380" t="str">
        <v>01/10/2026</v>
      </c>
      <c r="K380" t="str">
        <v>13:12:54</v>
      </c>
      <c r="L380">
        <v>-12.283715</v>
      </c>
      <c r="M380">
        <v>-76.87756</v>
      </c>
      <c r="N380">
        <f>HYPERLINK("https://www.google.com/maps/search/?api=1&amp;query=-12.283715,-76.87756","Carretera Panamericana Sur, Lurín, Lima")</f>
      </c>
      <c r="O380" t="str">
        <v>Aceleración brusca</v>
      </c>
      <c r="P380" t="str">
        <v>CMT-910</v>
      </c>
      <c r="Q380">
        <v>2145</v>
      </c>
      <c r="R380" t="str">
        <v/>
      </c>
      <c r="S380">
        <v>69.8</v>
      </c>
      <c r="T380">
        <v>82.38</v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>
        <v>88</v>
      </c>
      <c r="AC380" t="str">
        <v>01/10/2026</v>
      </c>
      <c r="AD380" t="str">
        <v>13:12:52</v>
      </c>
      <c r="AE380">
        <f>IF("ONLINE"="NOGPS","GPS Antiguo","En línea")</f>
      </c>
      <c r="AF380">
        <f>IF(0=0,"Sin atender", IF(0=1,"Atendida","Atendida y Reportada"))</f>
      </c>
      <c r="AG380" t="str">
        <v/>
      </c>
      <c r="AH380" t="str">
        <v/>
      </c>
      <c r="AI380" t="str">
        <v/>
      </c>
      <c r="AJ380" t="str">
        <v/>
      </c>
      <c r="AK380" t="str">
        <v>01/10/2026 13:13:15</v>
      </c>
      <c r="AL380" t="str">
        <v>13:13:15</v>
      </c>
      <c r="AM380" t="str">
        <v/>
      </c>
    </row>
    <row r="381">
      <c r="A381">
        <v>380</v>
      </c>
      <c r="B381" t="str">
        <v>MASS BSF</v>
      </c>
      <c r="C381" t="str">
        <v>F8R-810</v>
      </c>
      <c r="D381" t="str">
        <v>F8R-810</v>
      </c>
      <c r="E381" t="str">
        <v/>
      </c>
      <c r="F381" t="str">
        <v>867806078868827</v>
      </c>
      <c r="G381" t="str">
        <v>TBD</v>
      </c>
      <c r="H381" t="str">
        <v/>
      </c>
      <c r="I381" t="str">
        <v/>
      </c>
      <c r="J381" t="str">
        <v>01/10/2026</v>
      </c>
      <c r="K381" t="str">
        <v>13:16:43</v>
      </c>
      <c r="L381">
        <v>-12.264564</v>
      </c>
      <c r="M381">
        <v>-76.908066</v>
      </c>
      <c r="N381">
        <f>HYPERLINK("https://www.google.com/maps/search/?api=1&amp;query=-12.264564,-76.908066","Carretera Panamericana Sur, Lurín, Lima")</f>
      </c>
      <c r="O381" t="str">
        <v>Acelerado y giro brusco</v>
      </c>
      <c r="P381" t="str">
        <v/>
      </c>
      <c r="Q381">
        <v>2148.9</v>
      </c>
      <c r="R381" t="str">
        <v/>
      </c>
      <c r="S381">
        <v>61.4</v>
      </c>
      <c r="T381">
        <v>82.38</v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>
        <v>86</v>
      </c>
      <c r="AC381" t="str">
        <v>01/10/2026</v>
      </c>
      <c r="AD381" t="str">
        <v>13:16:41</v>
      </c>
      <c r="AE381">
        <f>IF("ONLINE"="NOGPS","GPS Antiguo","En línea")</f>
      </c>
      <c r="AF381">
        <f>IF(0=0,"Sin atender", IF(0=1,"Atendida","Atendida y Reportada"))</f>
      </c>
      <c r="AG381" t="str">
        <v/>
      </c>
      <c r="AH381" t="str">
        <v/>
      </c>
      <c r="AI381" t="str">
        <v/>
      </c>
      <c r="AJ381" t="str">
        <v/>
      </c>
      <c r="AK381" t="str">
        <v>01/10/2026 13:17:06</v>
      </c>
      <c r="AL381" t="str">
        <v>13:17:06</v>
      </c>
      <c r="AM381" t="str">
        <v/>
      </c>
    </row>
    <row r="382">
      <c r="A382">
        <v>381</v>
      </c>
      <c r="B382" t="str">
        <v>MASS BSF</v>
      </c>
      <c r="C382" t="str">
        <v>F8R-810</v>
      </c>
      <c r="D382" t="str">
        <v>F8R-810</v>
      </c>
      <c r="E382" t="str">
        <v/>
      </c>
      <c r="F382" t="str">
        <v>867806078868827</v>
      </c>
      <c r="G382" t="str">
        <v>TBD</v>
      </c>
      <c r="H382" t="str">
        <v/>
      </c>
      <c r="I382" t="str">
        <v/>
      </c>
      <c r="J382" t="str">
        <v>01/10/2026</v>
      </c>
      <c r="K382" t="str">
        <v>13:17:38</v>
      </c>
      <c r="L382">
        <v>-12.2607</v>
      </c>
      <c r="M382">
        <v>-76.9142</v>
      </c>
      <c r="N382">
        <f>HYPERLINK("https://www.google.com/maps/search/?api=1&amp;query=-12.2607,-76.9142","Carretera Panamericana Sur, Lurín, Lima")</f>
      </c>
      <c r="O382" t="str">
        <v>Aceleración brusca</v>
      </c>
      <c r="P382" t="str">
        <v>CMT-910</v>
      </c>
      <c r="Q382">
        <v>2149.7</v>
      </c>
      <c r="R382" t="str">
        <v/>
      </c>
      <c r="S382">
        <v>47.2</v>
      </c>
      <c r="T382">
        <v>82.38</v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>
        <v>86</v>
      </c>
      <c r="AC382" t="str">
        <v>01/10/2026</v>
      </c>
      <c r="AD382" t="str">
        <v>13:17:36</v>
      </c>
      <c r="AE382">
        <f>IF("ONLINE"="NOGPS","GPS Antiguo","En línea")</f>
      </c>
      <c r="AF382">
        <f>IF(0=0,"Sin atender", IF(0=1,"Atendida","Atendida y Reportada"))</f>
      </c>
      <c r="AG382" t="str">
        <v/>
      </c>
      <c r="AH382" t="str">
        <v/>
      </c>
      <c r="AI382" t="str">
        <v/>
      </c>
      <c r="AJ382" t="str">
        <v/>
      </c>
      <c r="AK382" t="str">
        <v>01/10/2026 13:17:40</v>
      </c>
      <c r="AL382" t="str">
        <v>13:17:40</v>
      </c>
      <c r="AM382" t="str">
        <v/>
      </c>
    </row>
    <row r="383">
      <c r="A383">
        <v>382</v>
      </c>
      <c r="B383" t="str">
        <v>MASS BSF</v>
      </c>
      <c r="C383" t="str">
        <v>F8R-810</v>
      </c>
      <c r="D383" t="str">
        <v>F8R-810</v>
      </c>
      <c r="E383" t="str">
        <v/>
      </c>
      <c r="F383" t="str">
        <v>867806078868827</v>
      </c>
      <c r="G383" t="str">
        <v>TBD</v>
      </c>
      <c r="H383" t="str">
        <v/>
      </c>
      <c r="I383" t="str">
        <v/>
      </c>
      <c r="J383" t="str">
        <v>01/10/2026</v>
      </c>
      <c r="K383" t="str">
        <v>13:19:52</v>
      </c>
      <c r="L383">
        <v>-12.25178</v>
      </c>
      <c r="M383">
        <v>-76.92864</v>
      </c>
      <c r="N383">
        <f>HYPERLINK("https://www.google.com/maps/search/?api=1&amp;query=-12.25178,-76.92864","Carretera Panamericana Sur, Lurín, Lima")</f>
      </c>
      <c r="O383" t="str">
        <v>Acelerado y giro brusco</v>
      </c>
      <c r="P383" t="str">
        <v/>
      </c>
      <c r="Q383">
        <v>2151.6</v>
      </c>
      <c r="R383" t="str">
        <v/>
      </c>
      <c r="S383">
        <v>32</v>
      </c>
      <c r="T383">
        <v>82.38</v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>
        <v>86</v>
      </c>
      <c r="AC383" t="str">
        <v>01/10/2026</v>
      </c>
      <c r="AD383" t="str">
        <v>13:19:49</v>
      </c>
      <c r="AE383">
        <f>IF("ONLINE"="NOGPS","GPS Antiguo","En línea")</f>
      </c>
      <c r="AF383">
        <f>IF(0=0,"Sin atender", IF(0=1,"Atendida","Atendida y Reportada"))</f>
      </c>
      <c r="AG383" t="str">
        <v/>
      </c>
      <c r="AH383" t="str">
        <v/>
      </c>
      <c r="AI383" t="str">
        <v/>
      </c>
      <c r="AJ383" t="str">
        <v/>
      </c>
      <c r="AK383" t="str">
        <v>01/10/2026 13:20:08</v>
      </c>
      <c r="AL383" t="str">
        <v>13:20:08</v>
      </c>
      <c r="AM383" t="str">
        <v/>
      </c>
    </row>
    <row r="384">
      <c r="A384">
        <v>383</v>
      </c>
      <c r="B384" t="str">
        <v>MASS BSF</v>
      </c>
      <c r="C384" t="str">
        <v>F8R-810</v>
      </c>
      <c r="D384" t="str">
        <v>F8R-810</v>
      </c>
      <c r="E384" t="str">
        <v/>
      </c>
      <c r="F384" t="str">
        <v>867806078868827</v>
      </c>
      <c r="G384" t="str">
        <v>TBD</v>
      </c>
      <c r="H384" t="str">
        <v/>
      </c>
      <c r="I384" t="str">
        <v/>
      </c>
      <c r="J384" t="str">
        <v>01/10/2026</v>
      </c>
      <c r="K384" t="str">
        <v>13:21:07</v>
      </c>
      <c r="L384">
        <v>-12.245785</v>
      </c>
      <c r="M384">
        <v>-76.93735</v>
      </c>
      <c r="N384">
        <f>HYPERLINK("https://www.google.com/maps/search/?api=1&amp;query=-12.245785,-76.93735","Carretera Panamericana Sur, Lurín, Lima")</f>
      </c>
      <c r="O384" t="str">
        <v>Aceleración brusca</v>
      </c>
      <c r="P384" t="str">
        <v>CMT-910</v>
      </c>
      <c r="Q384">
        <v>2152.7</v>
      </c>
      <c r="R384" t="str">
        <v/>
      </c>
      <c r="S384">
        <v>63.5</v>
      </c>
      <c r="T384">
        <v>82.38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>
        <v>85</v>
      </c>
      <c r="AC384" t="str">
        <v>01/10/2026</v>
      </c>
      <c r="AD384" t="str">
        <v>13:21:04</v>
      </c>
      <c r="AE384">
        <f>IF("ONLINE"="NOGPS","GPS Antiguo","En línea")</f>
      </c>
      <c r="AF384">
        <f>IF(0=0,"Sin atender", IF(0=1,"Atendida","Atendida y Reportada"))</f>
      </c>
      <c r="AG384" t="str">
        <v/>
      </c>
      <c r="AH384" t="str">
        <v/>
      </c>
      <c r="AI384" t="str">
        <v/>
      </c>
      <c r="AJ384" t="str">
        <v/>
      </c>
      <c r="AK384" t="str">
        <v>01/10/2026 13:21:23</v>
      </c>
      <c r="AL384" t="str">
        <v>13:21:23</v>
      </c>
      <c r="AM384" t="str">
        <v/>
      </c>
    </row>
    <row r="385">
      <c r="A385">
        <v>384</v>
      </c>
      <c r="B385" t="str">
        <v>MASS BSF</v>
      </c>
      <c r="C385" t="str">
        <v>F8R-810</v>
      </c>
      <c r="D385" t="str">
        <v>F8R-810</v>
      </c>
      <c r="E385" t="str">
        <v/>
      </c>
      <c r="F385" t="str">
        <v>867806078868827</v>
      </c>
      <c r="G385" t="str">
        <v>TBD</v>
      </c>
      <c r="H385" t="str">
        <v/>
      </c>
      <c r="I385" t="str">
        <v/>
      </c>
      <c r="J385" t="str">
        <v>01/10/2026</v>
      </c>
      <c r="K385" t="str">
        <v>13:21:32</v>
      </c>
      <c r="L385">
        <v>-12.243863</v>
      </c>
      <c r="M385">
        <v>-76.94106</v>
      </c>
      <c r="N385">
        <f>HYPERLINK("https://www.google.com/maps/search/?api=1&amp;query=-12.243863,-76.94106","Carretera Panamericana Sur, Villa El Salvador, Lima")</f>
      </c>
      <c r="O385" t="str">
        <v>Aceleración brusca</v>
      </c>
      <c r="P385" t="str">
        <v>CMT-910</v>
      </c>
      <c r="Q385">
        <v>2153.2</v>
      </c>
      <c r="R385" t="str">
        <v/>
      </c>
      <c r="S385">
        <v>66.1</v>
      </c>
      <c r="T385">
        <v>82.38</v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>
        <v>86</v>
      </c>
      <c r="AC385" t="str">
        <v>01/10/2026</v>
      </c>
      <c r="AD385" t="str">
        <v>13:21:30</v>
      </c>
      <c r="AE385">
        <f>IF("ONLINE"="NOGPS","GPS Antiguo","En línea")</f>
      </c>
      <c r="AF385">
        <f>IF(0=0,"Sin atender", IF(0=1,"Atendida","Atendida y Reportada"))</f>
      </c>
      <c r="AG385" t="str">
        <v/>
      </c>
      <c r="AH385" t="str">
        <v/>
      </c>
      <c r="AI385" t="str">
        <v/>
      </c>
      <c r="AJ385" t="str">
        <v/>
      </c>
      <c r="AK385" t="str">
        <v>01/10/2026 13:21:42</v>
      </c>
      <c r="AL385" t="str">
        <v>13:21:42</v>
      </c>
      <c r="AM385" t="str">
        <v/>
      </c>
    </row>
    <row r="386">
      <c r="A386">
        <v>385</v>
      </c>
      <c r="B386" t="str">
        <v>MASS BSF</v>
      </c>
      <c r="C386" t="str">
        <v>F8R-810</v>
      </c>
      <c r="D386" t="str">
        <v>F8R-810</v>
      </c>
      <c r="E386" t="str">
        <v/>
      </c>
      <c r="F386" t="str">
        <v>867806078868827</v>
      </c>
      <c r="G386" t="str">
        <v>TBD</v>
      </c>
      <c r="H386" t="str">
        <v/>
      </c>
      <c r="I386" t="str">
        <v/>
      </c>
      <c r="J386" t="str">
        <v>01/10/2026</v>
      </c>
      <c r="K386" t="str">
        <v>13:23:34</v>
      </c>
      <c r="L386">
        <v>-12.235515</v>
      </c>
      <c r="M386">
        <v>-76.957085</v>
      </c>
      <c r="N386">
        <f>HYPERLINK("https://www.google.com/maps/search/?api=1&amp;query=-12.235515,-76.957085","Carretera Panamericana Sur, Villa El Salvador, Lima")</f>
      </c>
      <c r="O386" t="str">
        <v>Aceleración brusca</v>
      </c>
      <c r="P386" t="str">
        <v>CMT-910</v>
      </c>
      <c r="Q386">
        <v>2155.1</v>
      </c>
      <c r="R386" t="str">
        <v/>
      </c>
      <c r="S386">
        <v>59</v>
      </c>
      <c r="T386">
        <v>82.38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>
        <v>89</v>
      </c>
      <c r="AC386" t="str">
        <v>01/10/2026</v>
      </c>
      <c r="AD386" t="str">
        <v>13:23:32</v>
      </c>
      <c r="AE386">
        <f>IF("ONLINE"="NOGPS","GPS Antiguo","En línea")</f>
      </c>
      <c r="AF386">
        <f>IF(0=0,"Sin atender", IF(0=1,"Atendida","Atendida y Reportada"))</f>
      </c>
      <c r="AG386" t="str">
        <v/>
      </c>
      <c r="AH386" t="str">
        <v/>
      </c>
      <c r="AI386" t="str">
        <v/>
      </c>
      <c r="AJ386" t="str">
        <v/>
      </c>
      <c r="AK386" t="str">
        <v>01/10/2026 13:23:53</v>
      </c>
      <c r="AL386" t="str">
        <v>13:23:53</v>
      </c>
      <c r="AM386" t="str">
        <v/>
      </c>
    </row>
    <row r="387">
      <c r="A387">
        <v>386</v>
      </c>
      <c r="B387" t="str">
        <v>MASS BSF</v>
      </c>
      <c r="C387" t="str">
        <v>F8R-810</v>
      </c>
      <c r="D387" t="str">
        <v>F8R-810</v>
      </c>
      <c r="E387" t="str">
        <v/>
      </c>
      <c r="F387" t="str">
        <v>867806078868827</v>
      </c>
      <c r="G387" t="str">
        <v>TBD</v>
      </c>
      <c r="H387" t="str">
        <v/>
      </c>
      <c r="I387" t="str">
        <v/>
      </c>
      <c r="J387" t="str">
        <v>01/10/2026</v>
      </c>
      <c r="K387" t="str">
        <v>13:24:59</v>
      </c>
      <c r="L387">
        <v>-12.228117</v>
      </c>
      <c r="M387">
        <v>-76.96896</v>
      </c>
      <c r="N387">
        <f>HYPERLINK("https://www.google.com/maps/search/?api=1&amp;query=-12.228117,-76.96896","Carretera Panamericana Sur, Villa El Salvador, Lima")</f>
      </c>
      <c r="O387" t="str">
        <v>Acelerado y giro brusco</v>
      </c>
      <c r="P387" t="str">
        <v/>
      </c>
      <c r="Q387">
        <v>2156.7</v>
      </c>
      <c r="R387" t="str">
        <v/>
      </c>
      <c r="S387">
        <v>64.2</v>
      </c>
      <c r="T387">
        <v>82.38</v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>
        <v>86</v>
      </c>
      <c r="AC387" t="str">
        <v>01/10/2026</v>
      </c>
      <c r="AD387" t="str">
        <v>13:24:56</v>
      </c>
      <c r="AE387">
        <f>IF("ONLINE"="NOGPS","GPS Antiguo","En línea")</f>
      </c>
      <c r="AF387">
        <f>IF(0=0,"Sin atender", IF(0=1,"Atendida","Atendida y Reportada"))</f>
      </c>
      <c r="AG387" t="str">
        <v/>
      </c>
      <c r="AH387" t="str">
        <v/>
      </c>
      <c r="AI387" t="str">
        <v/>
      </c>
      <c r="AJ387" t="str">
        <v/>
      </c>
      <c r="AK387" t="str">
        <v>01/10/2026 13:25:09</v>
      </c>
      <c r="AL387" t="str">
        <v>13:25:09</v>
      </c>
      <c r="AM387" t="str">
        <v/>
      </c>
    </row>
    <row r="388">
      <c r="A388">
        <v>387</v>
      </c>
      <c r="B388" t="str">
        <v>MASS BSF</v>
      </c>
      <c r="C388" t="str">
        <v>F8R-810</v>
      </c>
      <c r="D388" t="str">
        <v>F8R-810</v>
      </c>
      <c r="E388" t="str">
        <v/>
      </c>
      <c r="F388" t="str">
        <v>867806078868827</v>
      </c>
      <c r="G388" t="str">
        <v>TBD</v>
      </c>
      <c r="H388" t="str">
        <v/>
      </c>
      <c r="I388" t="str">
        <v/>
      </c>
      <c r="J388" t="str">
        <v>01/10/2026</v>
      </c>
      <c r="K388" t="str">
        <v>13:25:13</v>
      </c>
      <c r="L388">
        <v>-12.226483</v>
      </c>
      <c r="M388">
        <v>-76.97048</v>
      </c>
      <c r="N388">
        <f>HYPERLINK("https://www.google.com/maps/search/?api=1&amp;query=-12.226483,-76.97048","Carretera Panamericana Sur, Villa El Salvador, Lima")</f>
      </c>
      <c r="O388" t="str">
        <v>Acelerado y giro brusco</v>
      </c>
      <c r="P388" t="str">
        <v/>
      </c>
      <c r="Q388">
        <v>2156.9</v>
      </c>
      <c r="R388" t="str">
        <v/>
      </c>
      <c r="S388">
        <v>63.1</v>
      </c>
      <c r="T388">
        <v>82.38</v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>
        <v>86</v>
      </c>
      <c r="AC388" t="str">
        <v>01/10/2026</v>
      </c>
      <c r="AD388" t="str">
        <v>13:25:10</v>
      </c>
      <c r="AE388">
        <f>IF("ONLINE"="NOGPS","GPS Antiguo","En línea")</f>
      </c>
      <c r="AF388">
        <f>IF(0=0,"Sin atender", IF(0=1,"Atendida","Atendida y Reportada"))</f>
      </c>
      <c r="AG388" t="str">
        <v/>
      </c>
      <c r="AH388" t="str">
        <v/>
      </c>
      <c r="AI388" t="str">
        <v/>
      </c>
      <c r="AJ388" t="str">
        <v/>
      </c>
      <c r="AK388" t="str">
        <v>01/10/2026 13:25:22</v>
      </c>
      <c r="AL388" t="str">
        <v>13:25:22</v>
      </c>
      <c r="AM388" t="str">
        <v/>
      </c>
    </row>
    <row r="389">
      <c r="A389">
        <v>388</v>
      </c>
      <c r="B389" t="str">
        <v>MASS BSF</v>
      </c>
      <c r="C389" t="str">
        <v>F8R-810</v>
      </c>
      <c r="D389" t="str">
        <v>F8R-810</v>
      </c>
      <c r="E389" t="str">
        <v/>
      </c>
      <c r="F389" t="str">
        <v>867806078868827</v>
      </c>
      <c r="G389" t="str">
        <v>TBD</v>
      </c>
      <c r="H389" t="str">
        <v/>
      </c>
      <c r="I389" t="str">
        <v/>
      </c>
      <c r="J389" t="str">
        <v>01/10/2026</v>
      </c>
      <c r="K389" t="str">
        <v>13:25:26</v>
      </c>
      <c r="L389">
        <v>-12.225061</v>
      </c>
      <c r="M389">
        <v>-76.971985</v>
      </c>
      <c r="N389">
        <f>HYPERLINK("https://www.google.com/maps/search/?api=1&amp;query=-12.225061,-76.971985","Carretera Panamericana Sur, Villa El Salvador, Lima")</f>
      </c>
      <c r="O389" t="str">
        <v>Aceleración brusca</v>
      </c>
      <c r="P389" t="str">
        <v>CMT-910</v>
      </c>
      <c r="Q389">
        <v>2157.1</v>
      </c>
      <c r="R389" t="str">
        <v/>
      </c>
      <c r="S389">
        <v>61.8</v>
      </c>
      <c r="T389">
        <v>82.38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>
        <v>86</v>
      </c>
      <c r="AC389" t="str">
        <v>01/10/2026</v>
      </c>
      <c r="AD389" t="str">
        <v>13:25:23</v>
      </c>
      <c r="AE389">
        <f>IF("ONLINE"="NOGPS","GPS Antiguo","En línea")</f>
      </c>
      <c r="AF389">
        <f>IF(0=0,"Sin atender", IF(0=1,"Atendida","Atendida y Reportada"))</f>
      </c>
      <c r="AG389" t="str">
        <v/>
      </c>
      <c r="AH389" t="str">
        <v/>
      </c>
      <c r="AI389" t="str">
        <v/>
      </c>
      <c r="AJ389" t="str">
        <v/>
      </c>
      <c r="AK389" t="str">
        <v>01/10/2026 13:25:40</v>
      </c>
      <c r="AL389" t="str">
        <v>13:25:40</v>
      </c>
      <c r="AM389" t="str">
        <v/>
      </c>
    </row>
    <row r="390">
      <c r="A390">
        <v>389</v>
      </c>
      <c r="B390" t="str">
        <v>MASS BSF</v>
      </c>
      <c r="C390" t="str">
        <v>F8R-810</v>
      </c>
      <c r="D390" t="str">
        <v>F8R-810</v>
      </c>
      <c r="E390" t="str">
        <v/>
      </c>
      <c r="F390" t="str">
        <v>867806078868827</v>
      </c>
      <c r="G390" t="str">
        <v>TBD</v>
      </c>
      <c r="H390" t="str">
        <v/>
      </c>
      <c r="I390" t="str">
        <v/>
      </c>
      <c r="J390" t="str">
        <v>01/10/2026</v>
      </c>
      <c r="K390" t="str">
        <v>13:30:06</v>
      </c>
      <c r="L390">
        <v>-12.190516</v>
      </c>
      <c r="M390">
        <v>-76.972885</v>
      </c>
      <c r="N390">
        <f>HYPERLINK("https://www.google.com/maps/search/?api=1&amp;query=-12.190516,-76.972885","Carretera Panamericana Sur, San Juan de Miraflores, Lima")</f>
      </c>
      <c r="O390" t="str">
        <v>Aceleración brusca</v>
      </c>
      <c r="P390" t="str">
        <v>CMT-910</v>
      </c>
      <c r="Q390">
        <v>2161.2</v>
      </c>
      <c r="R390" t="str">
        <v/>
      </c>
      <c r="S390">
        <v>32.9</v>
      </c>
      <c r="T390">
        <v>82.38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>
        <v>93</v>
      </c>
      <c r="AC390" t="str">
        <v>01/10/2026</v>
      </c>
      <c r="AD390" t="str">
        <v>13:30:03</v>
      </c>
      <c r="AE390">
        <f>IF("ONLINE"="NOGPS","GPS Antiguo","En línea")</f>
      </c>
      <c r="AF390">
        <f>IF(0=0,"Sin atender", IF(0=1,"Atendida","Atendida y Reportada"))</f>
      </c>
      <c r="AG390" t="str">
        <v/>
      </c>
      <c r="AH390" t="str">
        <v/>
      </c>
      <c r="AI390" t="str">
        <v/>
      </c>
      <c r="AJ390" t="str">
        <v/>
      </c>
      <c r="AK390" t="str">
        <v>01/10/2026 13:30:15</v>
      </c>
      <c r="AL390" t="str">
        <v>13:30:15</v>
      </c>
      <c r="AM390" t="str">
        <v/>
      </c>
    </row>
    <row r="391">
      <c r="A391">
        <v>390</v>
      </c>
      <c r="B391" t="str">
        <v>MASS BSF</v>
      </c>
      <c r="C391" t="str">
        <v>F8R-810</v>
      </c>
      <c r="D391" t="str">
        <v>F8R-810</v>
      </c>
      <c r="E391" t="str">
        <v/>
      </c>
      <c r="F391" t="str">
        <v>867806078868827</v>
      </c>
      <c r="G391" t="str">
        <v>TBD</v>
      </c>
      <c r="H391" t="str">
        <v/>
      </c>
      <c r="I391" t="str">
        <v/>
      </c>
      <c r="J391" t="str">
        <v>01/10/2026</v>
      </c>
      <c r="K391" t="str">
        <v>13:30:52</v>
      </c>
      <c r="L391">
        <v>-12.189272</v>
      </c>
      <c r="M391">
        <v>-76.97327</v>
      </c>
      <c r="N391">
        <f>HYPERLINK("https://www.google.com/maps/search/?api=1&amp;query=-12.189272,-76.97327","Carretera Panamericana Sur, San Juan de Miraflores, Lima")</f>
      </c>
      <c r="O391" t="str">
        <v>Acelerado y giro brusco</v>
      </c>
      <c r="P391" t="str">
        <v/>
      </c>
      <c r="Q391">
        <v>2161.3</v>
      </c>
      <c r="R391" t="str">
        <v/>
      </c>
      <c r="S391">
        <v>8.1</v>
      </c>
      <c r="T391">
        <v>82.38</v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>
        <v>86</v>
      </c>
      <c r="AC391" t="str">
        <v>01/10/2026</v>
      </c>
      <c r="AD391" t="str">
        <v>13:30:50</v>
      </c>
      <c r="AE391">
        <f>IF("ONLINE"="NOGPS","GPS Antiguo","En línea")</f>
      </c>
      <c r="AF391">
        <f>IF(0=0,"Sin atender", IF(0=1,"Atendida","Atendida y Reportada"))</f>
      </c>
      <c r="AG391" t="str">
        <v/>
      </c>
      <c r="AH391" t="str">
        <v/>
      </c>
      <c r="AI391" t="str">
        <v/>
      </c>
      <c r="AJ391" t="str">
        <v/>
      </c>
      <c r="AK391" t="str">
        <v>01/10/2026 13:30:59</v>
      </c>
      <c r="AL391" t="str">
        <v>13:30:59</v>
      </c>
      <c r="AM391" t="str">
        <v/>
      </c>
    </row>
    <row r="392">
      <c r="A392">
        <v>391</v>
      </c>
      <c r="B392" t="str">
        <v>MASS BSF</v>
      </c>
      <c r="C392" t="str">
        <v>F8R-810</v>
      </c>
      <c r="D392" t="str">
        <v>F8R-810</v>
      </c>
      <c r="E392" t="str">
        <v/>
      </c>
      <c r="F392" t="str">
        <v>867806078868827</v>
      </c>
      <c r="G392" t="str">
        <v>TBD</v>
      </c>
      <c r="H392" t="str">
        <v/>
      </c>
      <c r="I392" t="str">
        <v/>
      </c>
      <c r="J392" t="str">
        <v>01/10/2026</v>
      </c>
      <c r="K392" t="str">
        <v>13:31:02</v>
      </c>
      <c r="L392">
        <v>-12.188855</v>
      </c>
      <c r="M392">
        <v>-76.9734</v>
      </c>
      <c r="N392">
        <f>HYPERLINK("https://www.google.com/maps/search/?api=1&amp;query=-12.188855,-76.9734","Carretera Panamericana Sur, San Juan de Miraflores, Lima")</f>
      </c>
      <c r="O392" t="str">
        <v>Acelerado y giro brusco</v>
      </c>
      <c r="P392" t="str">
        <v/>
      </c>
      <c r="Q392">
        <v>2161.4</v>
      </c>
      <c r="R392" t="str">
        <v/>
      </c>
      <c r="S392">
        <v>25.1</v>
      </c>
      <c r="T392">
        <v>82.38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>
        <v>86</v>
      </c>
      <c r="AC392" t="str">
        <v>01/10/2026</v>
      </c>
      <c r="AD392" t="str">
        <v>13:31:00</v>
      </c>
      <c r="AE392">
        <f>IF("ONLINE"="NOGPS","GPS Antiguo","En línea")</f>
      </c>
      <c r="AF392">
        <f>IF(0=0,"Sin atender", IF(0=1,"Atendida","Atendida y Reportada"))</f>
      </c>
      <c r="AG392" t="str">
        <v/>
      </c>
      <c r="AH392" t="str">
        <v/>
      </c>
      <c r="AI392" t="str">
        <v/>
      </c>
      <c r="AJ392" t="str">
        <v/>
      </c>
      <c r="AK392" t="str">
        <v>01/10/2026 13:31:11</v>
      </c>
      <c r="AL392" t="str">
        <v>13:31:11</v>
      </c>
      <c r="AM392" t="str">
        <v/>
      </c>
    </row>
    <row r="393">
      <c r="A393">
        <v>392</v>
      </c>
      <c r="B393" t="str">
        <v>MASS BSF</v>
      </c>
      <c r="C393" t="str">
        <v>F8R-810</v>
      </c>
      <c r="D393" t="str">
        <v>F8R-810</v>
      </c>
      <c r="E393" t="str">
        <v/>
      </c>
      <c r="F393" t="str">
        <v>867806078868827</v>
      </c>
      <c r="G393" t="str">
        <v>TBD</v>
      </c>
      <c r="H393" t="str">
        <v/>
      </c>
      <c r="I393" t="str">
        <v/>
      </c>
      <c r="J393" t="str">
        <v>01/10/2026</v>
      </c>
      <c r="K393" t="str">
        <v>13:31:24</v>
      </c>
      <c r="L393">
        <v>-12.18777</v>
      </c>
      <c r="M393">
        <v>-76.97374</v>
      </c>
      <c r="N393">
        <f>HYPERLINK("https://www.google.com/maps/search/?api=1&amp;query=-12.18777,-76.97374","Avenida Panamericana Sur, San Juan de Miraflores, Lima")</f>
      </c>
      <c r="O393" t="str">
        <v>Aceleración brusca</v>
      </c>
      <c r="P393" t="str">
        <v>CMT-910</v>
      </c>
      <c r="Q393">
        <v>2161.5</v>
      </c>
      <c r="R393" t="str">
        <v/>
      </c>
      <c r="S393">
        <v>22</v>
      </c>
      <c r="T393">
        <v>82.38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>
        <v>86</v>
      </c>
      <c r="AC393" t="str">
        <v>01/10/2026</v>
      </c>
      <c r="AD393" t="str">
        <v>13:31:22</v>
      </c>
      <c r="AE393">
        <f>IF("ONLINE"="NOGPS","GPS Antiguo","En línea")</f>
      </c>
      <c r="AF393">
        <f>IF(0=0,"Sin atender", IF(0=1,"Atendida","Atendida y Reportada"))</f>
      </c>
      <c r="AG393" t="str">
        <v/>
      </c>
      <c r="AH393" t="str">
        <v/>
      </c>
      <c r="AI393" t="str">
        <v/>
      </c>
      <c r="AJ393" t="str">
        <v/>
      </c>
      <c r="AK393" t="str">
        <v>01/10/2026 13:31:44</v>
      </c>
      <c r="AL393" t="str">
        <v>13:31:44</v>
      </c>
      <c r="AM393" t="str">
        <v/>
      </c>
    </row>
    <row r="394">
      <c r="A394">
        <v>393</v>
      </c>
      <c r="B394" t="str">
        <v>MASS BSF</v>
      </c>
      <c r="C394" t="str">
        <v>F8R-810</v>
      </c>
      <c r="D394" t="str">
        <v>F8R-810</v>
      </c>
      <c r="E394" t="str">
        <v/>
      </c>
      <c r="F394" t="str">
        <v>867806078868827</v>
      </c>
      <c r="G394" t="str">
        <v>TBD</v>
      </c>
      <c r="H394" t="str">
        <v/>
      </c>
      <c r="I394" t="str">
        <v/>
      </c>
      <c r="J394" t="str">
        <v>01/10/2026</v>
      </c>
      <c r="K394" t="str">
        <v>13:33:05</v>
      </c>
      <c r="L394">
        <v>-12.182963</v>
      </c>
      <c r="M394">
        <v>-76.97526</v>
      </c>
      <c r="N394">
        <f>HYPERLINK("https://www.google.com/maps/search/?api=1&amp;query=-12.182963,-76.97526","Avenida Panamericana Sur, San Juan de Miraflores, Lima")</f>
      </c>
      <c r="O394" t="str">
        <v>Aceleración brusca</v>
      </c>
      <c r="P394" t="str">
        <v>CMT-910</v>
      </c>
      <c r="Q394">
        <v>2162</v>
      </c>
      <c r="R394" t="str">
        <v/>
      </c>
      <c r="S394">
        <v>23.3</v>
      </c>
      <c r="T394">
        <v>82.38</v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>
        <v>88</v>
      </c>
      <c r="AC394" t="str">
        <v>01/10/2026</v>
      </c>
      <c r="AD394" t="str">
        <v>13:33:03</v>
      </c>
      <c r="AE394">
        <f>IF("ONLINE"="NOGPS","GPS Antiguo","En línea")</f>
      </c>
      <c r="AF394">
        <f>IF(0=0,"Sin atender", IF(0=1,"Atendida","Atendida y Reportada"))</f>
      </c>
      <c r="AG394" t="str">
        <v/>
      </c>
      <c r="AH394" t="str">
        <v/>
      </c>
      <c r="AI394" t="str">
        <v/>
      </c>
      <c r="AJ394" t="str">
        <v/>
      </c>
      <c r="AK394" t="str">
        <v>01/10/2026 13:33:11</v>
      </c>
      <c r="AL394" t="str">
        <v>13:33:11</v>
      </c>
      <c r="AM394" t="str">
        <v/>
      </c>
    </row>
    <row r="395">
      <c r="A395">
        <v>394</v>
      </c>
      <c r="B395" t="str">
        <v>MASS BSF</v>
      </c>
      <c r="C395" t="str">
        <v>F8R-810</v>
      </c>
      <c r="D395" t="str">
        <v>F8R-810</v>
      </c>
      <c r="E395" t="str">
        <v/>
      </c>
      <c r="F395" t="str">
        <v>867806078868827</v>
      </c>
      <c r="G395" t="str">
        <v>TBD</v>
      </c>
      <c r="H395" t="str">
        <v/>
      </c>
      <c r="I395" t="str">
        <v/>
      </c>
      <c r="J395" t="str">
        <v>01/10/2026</v>
      </c>
      <c r="K395" t="str">
        <v>13:33:23</v>
      </c>
      <c r="L395">
        <v>-12.181915</v>
      </c>
      <c r="M395">
        <v>-76.97559</v>
      </c>
      <c r="N395">
        <f>HYPERLINK("https://www.google.com/maps/search/?api=1&amp;query=-12.181915,-76.97559","Avenida Panamericana Sur, San Juan de Miraflores, Lima")</f>
      </c>
      <c r="O395" t="str">
        <v>Aceleración brusca</v>
      </c>
      <c r="P395" t="str">
        <v>CMT-910</v>
      </c>
      <c r="Q395">
        <v>2162.2</v>
      </c>
      <c r="R395" t="str">
        <v/>
      </c>
      <c r="S395">
        <v>28.3</v>
      </c>
      <c r="T395">
        <v>82.38</v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>
        <v>88</v>
      </c>
      <c r="AC395" t="str">
        <v>01/10/2026</v>
      </c>
      <c r="AD395" t="str">
        <v>13:33:21</v>
      </c>
      <c r="AE395">
        <f>IF("ONLINE"="NOGPS","GPS Antiguo","En línea")</f>
      </c>
      <c r="AF395">
        <f>IF(0=0,"Sin atender", IF(0=1,"Atendida","Atendida y Reportada"))</f>
      </c>
      <c r="AG395" t="str">
        <v/>
      </c>
      <c r="AH395" t="str">
        <v/>
      </c>
      <c r="AI395" t="str">
        <v/>
      </c>
      <c r="AJ395" t="str">
        <v/>
      </c>
      <c r="AK395" t="str">
        <v>01/10/2026 13:33:34</v>
      </c>
      <c r="AL395" t="str">
        <v>13:33:34</v>
      </c>
      <c r="AM395" t="str">
        <v/>
      </c>
    </row>
    <row r="396">
      <c r="A396">
        <v>395</v>
      </c>
      <c r="B396" t="str">
        <v>MASS BSF</v>
      </c>
      <c r="C396" t="str">
        <v>F8R-810</v>
      </c>
      <c r="D396" t="str">
        <v>F8R-810</v>
      </c>
      <c r="E396" t="str">
        <v/>
      </c>
      <c r="F396" t="str">
        <v>867806078868827</v>
      </c>
      <c r="G396" t="str">
        <v>TBD</v>
      </c>
      <c r="H396" t="str">
        <v/>
      </c>
      <c r="I396" t="str">
        <v/>
      </c>
      <c r="J396" t="str">
        <v>01/10/2026</v>
      </c>
      <c r="K396" t="str">
        <v>13:33:48</v>
      </c>
      <c r="L396">
        <v>-12.179707</v>
      </c>
      <c r="M396">
        <v>-76.97628</v>
      </c>
      <c r="N396">
        <f>HYPERLINK("https://www.google.com/maps/search/?api=1&amp;query=-12.179707,-76.97628","Avenida Panamericana Sur, San Juan de Miraflores, Lima")</f>
      </c>
      <c r="O396" t="str">
        <v>Aceleración brusca</v>
      </c>
      <c r="P396" t="str">
        <v>CMT-910</v>
      </c>
      <c r="Q396">
        <v>2162.4</v>
      </c>
      <c r="R396" t="str">
        <v/>
      </c>
      <c r="S396">
        <v>43.3</v>
      </c>
      <c r="T396">
        <v>82.38</v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>
        <v>88</v>
      </c>
      <c r="AC396" t="str">
        <v>01/10/2026</v>
      </c>
      <c r="AD396" t="str">
        <v>13:33:45</v>
      </c>
      <c r="AE396">
        <f>IF("ONLINE"="NOGPS","GPS Antiguo","En línea")</f>
      </c>
      <c r="AF396">
        <f>IF(0=0,"Sin atender", IF(0=1,"Atendida","Atendida y Reportada"))</f>
      </c>
      <c r="AG396" t="str">
        <v/>
      </c>
      <c r="AH396" t="str">
        <v/>
      </c>
      <c r="AI396" t="str">
        <v/>
      </c>
      <c r="AJ396" t="str">
        <v/>
      </c>
      <c r="AK396" t="str">
        <v>01/10/2026 13:34:11</v>
      </c>
      <c r="AL396" t="str">
        <v>13:34:11</v>
      </c>
      <c r="AM396" t="str">
        <v/>
      </c>
    </row>
    <row r="397">
      <c r="A397">
        <v>396</v>
      </c>
      <c r="B397" t="str">
        <v>MASS BSF</v>
      </c>
      <c r="C397" t="str">
        <v>F8R-810</v>
      </c>
      <c r="D397" t="str">
        <v>F8R-810</v>
      </c>
      <c r="E397" t="str">
        <v/>
      </c>
      <c r="F397" t="str">
        <v>867806078868827</v>
      </c>
      <c r="G397" t="str">
        <v>TBD</v>
      </c>
      <c r="H397" t="str">
        <v/>
      </c>
      <c r="I397" t="str">
        <v/>
      </c>
      <c r="J397" t="str">
        <v>01/10/2026</v>
      </c>
      <c r="K397" t="str">
        <v>13:34:09</v>
      </c>
      <c r="L397">
        <v>-12.177114</v>
      </c>
      <c r="M397">
        <v>-76.97709</v>
      </c>
      <c r="N397">
        <f>HYPERLINK("https://www.google.com/maps/search/?api=1&amp;query=-12.177114,-76.97709","Avenida Panamericana Sur, San Juan de Miraflores, Lima")</f>
      </c>
      <c r="O397" t="str">
        <v>Acelerado y giro brusco</v>
      </c>
      <c r="P397" t="str">
        <v/>
      </c>
      <c r="Q397">
        <v>2162.7</v>
      </c>
      <c r="R397" t="str">
        <v/>
      </c>
      <c r="S397">
        <v>48.8</v>
      </c>
      <c r="T397">
        <v>82.38</v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>
        <v>88</v>
      </c>
      <c r="AC397" t="str">
        <v>01/10/2026</v>
      </c>
      <c r="AD397" t="str">
        <v>13:34:07</v>
      </c>
      <c r="AE397">
        <f>IF("ONLINE"="NOGPS","GPS Antiguo","En línea")</f>
      </c>
      <c r="AF397">
        <f>IF(0=0,"Sin atender", IF(0=1,"Atendida","Atendida y Reportada"))</f>
      </c>
      <c r="AG397" t="str">
        <v/>
      </c>
      <c r="AH397" t="str">
        <v/>
      </c>
      <c r="AI397" t="str">
        <v/>
      </c>
      <c r="AJ397" t="str">
        <v/>
      </c>
      <c r="AK397" t="str">
        <v>01/10/2026 13:34:24</v>
      </c>
      <c r="AL397" t="str">
        <v>13:34:24</v>
      </c>
      <c r="AM397" t="str">
        <v/>
      </c>
    </row>
    <row r="398">
      <c r="A398">
        <v>397</v>
      </c>
      <c r="B398" t="str">
        <v>MASS BSF</v>
      </c>
      <c r="C398" t="str">
        <v>F8R-810</v>
      </c>
      <c r="D398" t="str">
        <v>F8R-810</v>
      </c>
      <c r="E398" t="str">
        <v/>
      </c>
      <c r="F398" t="str">
        <v>867806078868827</v>
      </c>
      <c r="G398" t="str">
        <v>TBD</v>
      </c>
      <c r="H398" t="str">
        <v/>
      </c>
      <c r="I398" t="str">
        <v/>
      </c>
      <c r="J398" t="str">
        <v>01/10/2026</v>
      </c>
      <c r="K398" t="str">
        <v>13:34:28</v>
      </c>
      <c r="L398">
        <v>-12.174935</v>
      </c>
      <c r="M398">
        <v>-76.977776</v>
      </c>
      <c r="N398">
        <f>HYPERLINK("https://www.google.com/maps/search/?api=1&amp;query=-12.174935,-76.977776","Avenida Panamericana Sur, San Juan de Miraflores, Lima")</f>
      </c>
      <c r="O398" t="str">
        <v>Aceleración brusca</v>
      </c>
      <c r="P398" t="str">
        <v>CMT-910</v>
      </c>
      <c r="Q398">
        <v>2163</v>
      </c>
      <c r="R398" t="str">
        <v/>
      </c>
      <c r="S398">
        <v>49.6</v>
      </c>
      <c r="T398">
        <v>82.38</v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>
        <v>90</v>
      </c>
      <c r="AC398" t="str">
        <v>01/10/2026</v>
      </c>
      <c r="AD398" t="str">
        <v>13:34:26</v>
      </c>
      <c r="AE398">
        <f>IF("ONLINE"="NOGPS","GPS Antiguo","En línea")</f>
      </c>
      <c r="AF398">
        <f>IF(0=0,"Sin atender", IF(0=1,"Atendida","Atendida y Reportada"))</f>
      </c>
      <c r="AG398" t="str">
        <v/>
      </c>
      <c r="AH398" t="str">
        <v/>
      </c>
      <c r="AI398" t="str">
        <v/>
      </c>
      <c r="AJ398" t="str">
        <v/>
      </c>
      <c r="AK398" t="str">
        <v>01/10/2026 13:34:39</v>
      </c>
      <c r="AL398" t="str">
        <v>13:34:39</v>
      </c>
      <c r="AM398" t="str">
        <v/>
      </c>
    </row>
    <row r="399">
      <c r="A399">
        <v>398</v>
      </c>
      <c r="B399" t="str">
        <v>MASS BSF</v>
      </c>
      <c r="C399" t="str">
        <v>F8R-810</v>
      </c>
      <c r="D399" t="str">
        <v>F8R-810</v>
      </c>
      <c r="E399" t="str">
        <v/>
      </c>
      <c r="F399" t="str">
        <v>867806078868827</v>
      </c>
      <c r="G399" t="str">
        <v>TBD</v>
      </c>
      <c r="H399" t="str">
        <v/>
      </c>
      <c r="I399" t="str">
        <v/>
      </c>
      <c r="J399" t="str">
        <v>01/10/2026</v>
      </c>
      <c r="K399" t="str">
        <v>13:34:41</v>
      </c>
      <c r="L399">
        <v>-12.173609</v>
      </c>
      <c r="M399">
        <v>-76.97813</v>
      </c>
      <c r="N399">
        <f>HYPERLINK("https://www.google.com/maps/search/?api=1&amp;query=-12.173609,-76.97813","Panamericana Sur, San Juan de Miraflores, Lima")</f>
      </c>
      <c r="O399" t="str">
        <v>Acelerado y giro brusco</v>
      </c>
      <c r="P399" t="str">
        <v/>
      </c>
      <c r="Q399">
        <v>2163.1</v>
      </c>
      <c r="R399" t="str">
        <v/>
      </c>
      <c r="S399">
        <v>40.7</v>
      </c>
      <c r="T399">
        <v>82.38</v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>
        <v>90</v>
      </c>
      <c r="AC399" t="str">
        <v>01/10/2026</v>
      </c>
      <c r="AD399" t="str">
        <v>13:34:38</v>
      </c>
      <c r="AE399">
        <f>IF("ONLINE"="NOGPS","GPS Antiguo","En línea")</f>
      </c>
      <c r="AF399">
        <f>IF(0=0,"Sin atender", IF(0=1,"Atendida","Atendida y Reportada"))</f>
      </c>
      <c r="AG399" t="str">
        <v/>
      </c>
      <c r="AH399" t="str">
        <v/>
      </c>
      <c r="AI399" t="str">
        <v/>
      </c>
      <c r="AJ399" t="str">
        <v/>
      </c>
      <c r="AK399" t="str">
        <v>01/10/2026 13:34:51</v>
      </c>
      <c r="AL399" t="str">
        <v>13:34:51</v>
      </c>
      <c r="AM399" t="str">
        <v/>
      </c>
    </row>
    <row r="400">
      <c r="A400">
        <v>399</v>
      </c>
      <c r="B400" t="str">
        <v>MASS BSF</v>
      </c>
      <c r="C400" t="str">
        <v>F8R-810</v>
      </c>
      <c r="D400" t="str">
        <v>F8R-810</v>
      </c>
      <c r="E400" t="str">
        <v/>
      </c>
      <c r="F400" t="str">
        <v>867806078868827</v>
      </c>
      <c r="G400" t="str">
        <v>TBD</v>
      </c>
      <c r="H400" t="str">
        <v/>
      </c>
      <c r="I400" t="str">
        <v/>
      </c>
      <c r="J400" t="str">
        <v>01/10/2026</v>
      </c>
      <c r="K400" t="str">
        <v>13:34:47</v>
      </c>
      <c r="L400">
        <v>-12.173025</v>
      </c>
      <c r="M400">
        <v>-76.97832</v>
      </c>
      <c r="N400">
        <f>HYPERLINK("https://www.google.com/maps/search/?api=1&amp;query=-12.173025,-76.97832","Panamericana Sur, San Juan de Miraflores, Lima")</f>
      </c>
      <c r="O400" t="str">
        <v>Exceso de velocidad en segmento vial</v>
      </c>
      <c r="P400" t="str">
        <v/>
      </c>
      <c r="Q400">
        <v>2163.2</v>
      </c>
      <c r="R400" t="str">
        <v/>
      </c>
      <c r="S400">
        <v>40.9</v>
      </c>
      <c r="T400">
        <v>82.38</v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>
        <v>90</v>
      </c>
      <c r="AC400" t="str">
        <v>01/10/2026</v>
      </c>
      <c r="AD400" t="str">
        <v>13:34:44</v>
      </c>
      <c r="AE400">
        <f>IF("ONLINE"="NOGPS","GPS Antiguo","En línea")</f>
      </c>
      <c r="AF400">
        <f>IF(0=0,"Sin atender", IF(0=1,"Atendida","Atendida y Reportada"))</f>
      </c>
      <c r="AG400" t="str">
        <v/>
      </c>
      <c r="AH400" t="str">
        <v/>
      </c>
      <c r="AI400" t="str">
        <v/>
      </c>
      <c r="AJ400" t="str">
        <v/>
      </c>
      <c r="AK400" t="str">
        <v>01/10/2026 13:35:07</v>
      </c>
      <c r="AL400" t="str">
        <v>13:35:07</v>
      </c>
      <c r="AM400" t="str">
        <v/>
      </c>
    </row>
    <row r="401">
      <c r="A401">
        <v>400</v>
      </c>
      <c r="B401" t="str">
        <v>MASS BSF</v>
      </c>
      <c r="C401" t="str">
        <v>F8R-810</v>
      </c>
      <c r="D401" t="str">
        <v>F8R-810</v>
      </c>
      <c r="E401" t="str">
        <v/>
      </c>
      <c r="F401" t="str">
        <v>867806078868827</v>
      </c>
      <c r="G401" t="str">
        <v>TBD</v>
      </c>
      <c r="H401" t="str">
        <v/>
      </c>
      <c r="I401" t="str">
        <v/>
      </c>
      <c r="J401" t="str">
        <v>01/10/2026</v>
      </c>
      <c r="K401" t="str">
        <v>13:35:50</v>
      </c>
      <c r="L401">
        <v>-12.168692</v>
      </c>
      <c r="M401">
        <v>-76.97905</v>
      </c>
      <c r="N401">
        <f>HYPERLINK("https://www.google.com/maps/search/?api=1&amp;query=-12.168692,-76.97905","Panamericana Sur, San Juan de Miraflores, Lima")</f>
      </c>
      <c r="O401" t="str">
        <v>Acelerado y giro brusco</v>
      </c>
      <c r="P401" t="str">
        <v/>
      </c>
      <c r="Q401">
        <v>2163.7</v>
      </c>
      <c r="R401" t="str">
        <v/>
      </c>
      <c r="S401">
        <v>21.6</v>
      </c>
      <c r="T401">
        <v>82.38</v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>
        <v>86</v>
      </c>
      <c r="AC401" t="str">
        <v>01/10/2026</v>
      </c>
      <c r="AD401" t="str">
        <v>13:35:47</v>
      </c>
      <c r="AE401">
        <f>IF("ONLINE"="NOGPS","GPS Antiguo","En línea")</f>
      </c>
      <c r="AF401">
        <f>IF(0=0,"Sin atender", IF(0=1,"Atendida","Atendida y Reportada"))</f>
      </c>
      <c r="AG401" t="str">
        <v/>
      </c>
      <c r="AH401" t="str">
        <v/>
      </c>
      <c r="AI401" t="str">
        <v/>
      </c>
      <c r="AJ401" t="str">
        <v/>
      </c>
      <c r="AK401" t="str">
        <v>01/10/2026 13:35:58</v>
      </c>
      <c r="AL401" t="str">
        <v>13:35:58</v>
      </c>
      <c r="AM401" t="str">
        <v/>
      </c>
    </row>
    <row r="402">
      <c r="A402">
        <v>401</v>
      </c>
      <c r="B402" t="str">
        <v>MASS BSF</v>
      </c>
      <c r="C402" t="str">
        <v>F8R-810</v>
      </c>
      <c r="D402" t="str">
        <v>F8R-810</v>
      </c>
      <c r="E402" t="str">
        <v/>
      </c>
      <c r="F402" t="str">
        <v>867806078868827</v>
      </c>
      <c r="G402" t="str">
        <v>TBD</v>
      </c>
      <c r="H402" t="str">
        <v/>
      </c>
      <c r="I402" t="str">
        <v/>
      </c>
      <c r="J402" t="str">
        <v>01/10/2026</v>
      </c>
      <c r="K402" t="str">
        <v>13:36:07</v>
      </c>
      <c r="L402">
        <v>-12.167802</v>
      </c>
      <c r="M402">
        <v>-76.978775</v>
      </c>
      <c r="N402">
        <f>HYPERLINK("https://www.google.com/maps/search/?api=1&amp;query=-12.167802,-76.978775","Panamericana Sur, San Juan de Miraflores, Lima")</f>
      </c>
      <c r="O402" t="str">
        <v>Acelerado y giro brusco</v>
      </c>
      <c r="P402" t="str">
        <v/>
      </c>
      <c r="Q402">
        <v>2163.8</v>
      </c>
      <c r="R402" t="str">
        <v/>
      </c>
      <c r="S402">
        <v>22.4</v>
      </c>
      <c r="T402">
        <v>82.38</v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>
        <v>86</v>
      </c>
      <c r="AC402" t="str">
        <v>01/10/2026</v>
      </c>
      <c r="AD402" t="str">
        <v>13:36:04</v>
      </c>
      <c r="AE402">
        <f>IF("ONLINE"="NOGPS","GPS Antiguo","En línea")</f>
      </c>
      <c r="AF402">
        <f>IF(0=0,"Sin atender", IF(0=1,"Atendida","Atendida y Reportada"))</f>
      </c>
      <c r="AG402" t="str">
        <v/>
      </c>
      <c r="AH402" t="str">
        <v/>
      </c>
      <c r="AI402" t="str">
        <v/>
      </c>
      <c r="AJ402" t="str">
        <v/>
      </c>
      <c r="AK402" t="str">
        <v>01/10/2026 13:36:22</v>
      </c>
      <c r="AL402" t="str">
        <v>13:36:22</v>
      </c>
      <c r="AM402" t="str">
        <v/>
      </c>
    </row>
    <row r="403">
      <c r="A403">
        <v>402</v>
      </c>
      <c r="B403" t="str">
        <v>MASS BSF</v>
      </c>
      <c r="C403" t="str">
        <v>F8R-810</v>
      </c>
      <c r="D403" t="str">
        <v>F8R-810</v>
      </c>
      <c r="E403" t="str">
        <v/>
      </c>
      <c r="F403" t="str">
        <v>867806078868827</v>
      </c>
      <c r="G403" t="str">
        <v>TBD</v>
      </c>
      <c r="H403" t="str">
        <v/>
      </c>
      <c r="I403" t="str">
        <v/>
      </c>
      <c r="J403" t="str">
        <v>01/10/2026</v>
      </c>
      <c r="K403" t="str">
        <v>13:36:21</v>
      </c>
      <c r="L403">
        <v>-12.167535</v>
      </c>
      <c r="M403">
        <v>-76.97863</v>
      </c>
      <c r="N403">
        <f>HYPERLINK("https://www.google.com/maps/search/?api=1&amp;query=-12.167535,-76.97863","Avenida Alipio Ponce, San Juan de Miraflores, Lima")</f>
      </c>
      <c r="O403" t="str">
        <v>Acelerado y giro brusco</v>
      </c>
      <c r="P403" t="str">
        <v/>
      </c>
      <c r="Q403">
        <v>2163.8</v>
      </c>
      <c r="R403" t="str">
        <v/>
      </c>
      <c r="S403">
        <v>2.5</v>
      </c>
      <c r="T403">
        <v>82.38</v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>
        <v>86</v>
      </c>
      <c r="AC403" t="str">
        <v>01/10/2026</v>
      </c>
      <c r="AD403" t="str">
        <v>13:36:18</v>
      </c>
      <c r="AE403">
        <f>IF("ONLINE"="NOGPS","GPS Antiguo","En línea")</f>
      </c>
      <c r="AF403">
        <f>IF(0=0,"Sin atender", IF(0=1,"Atendida","Atendida y Reportada"))</f>
      </c>
      <c r="AG403" t="str">
        <v/>
      </c>
      <c r="AH403" t="str">
        <v/>
      </c>
      <c r="AI403" t="str">
        <v/>
      </c>
      <c r="AJ403" t="str">
        <v/>
      </c>
      <c r="AK403" t="str">
        <v>01/10/2026 13:36:23</v>
      </c>
      <c r="AL403" t="str">
        <v>13:36:23</v>
      </c>
      <c r="AM403" t="str">
        <v/>
      </c>
    </row>
    <row r="404">
      <c r="A404">
        <v>403</v>
      </c>
      <c r="B404" t="str">
        <v>MASS BSF</v>
      </c>
      <c r="C404" t="str">
        <v>F8R-810</v>
      </c>
      <c r="D404" t="str">
        <v>F8R-810</v>
      </c>
      <c r="E404" t="str">
        <v/>
      </c>
      <c r="F404" t="str">
        <v>867806078868827</v>
      </c>
      <c r="G404" t="str">
        <v>TBD</v>
      </c>
      <c r="H404" t="str">
        <v/>
      </c>
      <c r="I404" t="str">
        <v/>
      </c>
      <c r="J404" t="str">
        <v>01/10/2026</v>
      </c>
      <c r="K404" t="str">
        <v>13:36:33</v>
      </c>
      <c r="L404">
        <v>-12.167495</v>
      </c>
      <c r="M404">
        <v>-76.9786</v>
      </c>
      <c r="N404">
        <f>HYPERLINK("https://www.google.com/maps/search/?api=1&amp;query=-12.167495,-76.9786","Avenida Alipio Ponce, San Juan de Miraflores, Lima")</f>
      </c>
      <c r="O404" t="str">
        <v>Acelerado y giro brusco</v>
      </c>
      <c r="P404" t="str">
        <v/>
      </c>
      <c r="Q404">
        <v>2163.8</v>
      </c>
      <c r="R404" t="str">
        <v/>
      </c>
      <c r="S404">
        <v>3.5</v>
      </c>
      <c r="T404">
        <v>82.38</v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>
        <v>86</v>
      </c>
      <c r="AC404" t="str">
        <v>01/10/2026</v>
      </c>
      <c r="AD404" t="str">
        <v>13:36:30</v>
      </c>
      <c r="AE404">
        <f>IF("ONLINE"="NOGPS","GPS Antiguo","En línea")</f>
      </c>
      <c r="AF404">
        <f>IF(0=0,"Sin atender", IF(0=1,"Atendida","Atendida y Reportada"))</f>
      </c>
      <c r="AG404" t="str">
        <v/>
      </c>
      <c r="AH404" t="str">
        <v/>
      </c>
      <c r="AI404" t="str">
        <v/>
      </c>
      <c r="AJ404" t="str">
        <v/>
      </c>
      <c r="AK404" t="str">
        <v>01/10/2026 13:36:35</v>
      </c>
      <c r="AL404" t="str">
        <v>13:36:35</v>
      </c>
      <c r="AM404" t="str">
        <v/>
      </c>
    </row>
    <row r="405">
      <c r="A405">
        <v>404</v>
      </c>
      <c r="B405" t="str">
        <v>MASS BSF</v>
      </c>
      <c r="C405" t="str">
        <v>F8R-810</v>
      </c>
      <c r="D405" t="str">
        <v>F8R-810</v>
      </c>
      <c r="E405" t="str">
        <v/>
      </c>
      <c r="F405" t="str">
        <v>867806078868827</v>
      </c>
      <c r="G405" t="str">
        <v>TBD</v>
      </c>
      <c r="H405" t="str">
        <v/>
      </c>
      <c r="I405" t="str">
        <v/>
      </c>
      <c r="J405" t="str">
        <v>01/10/2026</v>
      </c>
      <c r="K405" t="str">
        <v>13:36:37</v>
      </c>
      <c r="L405">
        <v>-12.167438</v>
      </c>
      <c r="M405">
        <v>-76.9786</v>
      </c>
      <c r="N405">
        <f>HYPERLINK("https://www.google.com/maps/search/?api=1&amp;query=-12.167438,-76.9786","Avenida Alipio Ponce, San Juan de Miraflores, Lima")</f>
      </c>
      <c r="O405" t="str">
        <v>Giro brusco</v>
      </c>
      <c r="P405" t="str">
        <v/>
      </c>
      <c r="Q405">
        <v>2163.8</v>
      </c>
      <c r="R405" t="str">
        <v/>
      </c>
      <c r="S405">
        <v>7.2</v>
      </c>
      <c r="T405">
        <v>82.38</v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>
        <v>86</v>
      </c>
      <c r="AC405" t="str">
        <v>01/10/2026</v>
      </c>
      <c r="AD405" t="str">
        <v>13:36:35</v>
      </c>
      <c r="AE405">
        <f>IF("ONLINE"="NOGPS","GPS Antiguo","En línea")</f>
      </c>
      <c r="AF405">
        <f>IF(0=0,"Sin atender", IF(0=1,"Atendida","Atendida y Reportada"))</f>
      </c>
      <c r="AG405" t="str">
        <v/>
      </c>
      <c r="AH405" t="str">
        <v/>
      </c>
      <c r="AI405" t="str">
        <v/>
      </c>
      <c r="AJ405" t="str">
        <v/>
      </c>
      <c r="AK405" t="str">
        <v>01/10/2026 13:36:50</v>
      </c>
      <c r="AL405" t="str">
        <v>13:36:50</v>
      </c>
      <c r="AM405" t="str">
        <v/>
      </c>
    </row>
    <row r="406">
      <c r="A406">
        <v>405</v>
      </c>
      <c r="B406" t="str">
        <v>MASS BSF</v>
      </c>
      <c r="C406" t="str">
        <v>F8R-810</v>
      </c>
      <c r="D406" t="str">
        <v>F8R-810</v>
      </c>
      <c r="E406" t="str">
        <v/>
      </c>
      <c r="F406" t="str">
        <v>867806078868827</v>
      </c>
      <c r="G406" t="str">
        <v>TBD</v>
      </c>
      <c r="H406" t="str">
        <v/>
      </c>
      <c r="I406" t="str">
        <v/>
      </c>
      <c r="J406" t="str">
        <v>01/10/2026</v>
      </c>
      <c r="K406" t="str">
        <v>13:36:41</v>
      </c>
      <c r="L406">
        <v>-12.167358</v>
      </c>
      <c r="M406">
        <v>-76.9786</v>
      </c>
      <c r="N406">
        <f>HYPERLINK("https://www.google.com/maps/search/?api=1&amp;query=-12.167358,-76.9786","Avenida Alipio Ponce, San Juan de Miraflores, Lima")</f>
      </c>
      <c r="O406" t="str">
        <v>Aceleración brusca</v>
      </c>
      <c r="P406" t="str">
        <v>CMT-910</v>
      </c>
      <c r="Q406">
        <v>2163.8</v>
      </c>
      <c r="R406" t="str">
        <v/>
      </c>
      <c r="S406">
        <v>15.1</v>
      </c>
      <c r="T406">
        <v>82.38</v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>
        <v>86</v>
      </c>
      <c r="AC406" t="str">
        <v>01/10/2026</v>
      </c>
      <c r="AD406" t="str">
        <v>13:36:38</v>
      </c>
      <c r="AE406">
        <f>IF("ONLINE"="NOGPS","GPS Antiguo","En línea")</f>
      </c>
      <c r="AF406">
        <f>IF(0=0,"Sin atender", IF(0=1,"Atendida","Atendida y Reportada"))</f>
      </c>
      <c r="AG406" t="str">
        <v/>
      </c>
      <c r="AH406" t="str">
        <v/>
      </c>
      <c r="AI406" t="str">
        <v/>
      </c>
      <c r="AJ406" t="str">
        <v/>
      </c>
      <c r="AK406" t="str">
        <v>01/10/2026 13:37:02</v>
      </c>
      <c r="AL406" t="str">
        <v>13:37:02</v>
      </c>
      <c r="AM406" t="str">
        <v/>
      </c>
    </row>
    <row r="407">
      <c r="A407">
        <v>406</v>
      </c>
      <c r="B407" t="str">
        <v>MASS BSF</v>
      </c>
      <c r="C407" t="str">
        <v>F8R-810</v>
      </c>
      <c r="D407" t="str">
        <v>F8R-810</v>
      </c>
      <c r="E407" t="str">
        <v/>
      </c>
      <c r="F407" t="str">
        <v>867806078868827</v>
      </c>
      <c r="G407" t="str">
        <v>TBD</v>
      </c>
      <c r="H407" t="str">
        <v/>
      </c>
      <c r="I407" t="str">
        <v/>
      </c>
      <c r="J407" t="str">
        <v>01/10/2026</v>
      </c>
      <c r="K407" t="str">
        <v>13:36:51</v>
      </c>
      <c r="L407">
        <v>-12.16688</v>
      </c>
      <c r="M407">
        <v>-76.9783</v>
      </c>
      <c r="N407">
        <f>HYPERLINK("https://www.google.com/maps/search/?api=1&amp;query=-12.16688,-76.9783","Avenida Pedro Miotta, San Juan de Miraflores, Lima")</f>
      </c>
      <c r="O407" t="str">
        <v>Acelerado y giro brusco</v>
      </c>
      <c r="P407" t="str">
        <v/>
      </c>
      <c r="Q407">
        <v>2163.9</v>
      </c>
      <c r="R407" t="str">
        <v/>
      </c>
      <c r="S407">
        <v>27.7</v>
      </c>
      <c r="T407">
        <v>82.38</v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>
        <v>86</v>
      </c>
      <c r="AC407" t="str">
        <v>01/10/2026</v>
      </c>
      <c r="AD407" t="str">
        <v>13:36:48</v>
      </c>
      <c r="AE407">
        <f>IF("ONLINE"="NOGPS","GPS Antiguo","En línea")</f>
      </c>
      <c r="AF407">
        <f>IF(0=0,"Sin atender", IF(0=1,"Atendida","Atendida y Reportada"))</f>
      </c>
      <c r="AG407" t="str">
        <v/>
      </c>
      <c r="AH407" t="str">
        <v/>
      </c>
      <c r="AI407" t="str">
        <v/>
      </c>
      <c r="AJ407" t="str">
        <v/>
      </c>
      <c r="AK407" t="str">
        <v>01/10/2026 13:37:09</v>
      </c>
      <c r="AL407" t="str">
        <v>13:37:09</v>
      </c>
      <c r="AM407" t="str">
        <v/>
      </c>
    </row>
    <row r="408">
      <c r="A408">
        <v>407</v>
      </c>
      <c r="B408" t="str">
        <v>MASS BSF</v>
      </c>
      <c r="C408" t="str">
        <v>F8R-810</v>
      </c>
      <c r="D408" t="str">
        <v>F8R-810</v>
      </c>
      <c r="E408" t="str">
        <v/>
      </c>
      <c r="F408" t="str">
        <v>867806078868827</v>
      </c>
      <c r="G408" t="str">
        <v>TBD</v>
      </c>
      <c r="H408" t="str">
        <v/>
      </c>
      <c r="I408" t="str">
        <v/>
      </c>
      <c r="J408" t="str">
        <v>01/10/2026</v>
      </c>
      <c r="K408" t="str">
        <v>13:37:39</v>
      </c>
      <c r="L408">
        <v>-12.165952</v>
      </c>
      <c r="M408">
        <v>-76.975365</v>
      </c>
      <c r="N408">
        <f>HYPERLINK("https://www.google.com/maps/search/?api=1&amp;query=-12.165952,-76.975365","Avenida Ramón Vargas Machuca, San Juan de Miraflores, Lima")</f>
      </c>
      <c r="O408" t="str">
        <v>Acelerado y giro brusco</v>
      </c>
      <c r="P408" t="str">
        <v/>
      </c>
      <c r="Q408">
        <v>2164.2</v>
      </c>
      <c r="R408" t="str">
        <v/>
      </c>
      <c r="S408">
        <v>21.4</v>
      </c>
      <c r="T408">
        <v>82.38</v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>
        <v>86</v>
      </c>
      <c r="AC408" t="str">
        <v>01/10/2026</v>
      </c>
      <c r="AD408" t="str">
        <v>13:37:37</v>
      </c>
      <c r="AE408">
        <f>IF("ONLINE"="NOGPS","GPS Antiguo","En línea")</f>
      </c>
      <c r="AF408">
        <f>IF(0=0,"Sin atender", IF(0=1,"Atendida","Atendida y Reportada"))</f>
      </c>
      <c r="AG408" t="str">
        <v/>
      </c>
      <c r="AH408" t="str">
        <v/>
      </c>
      <c r="AI408" t="str">
        <v/>
      </c>
      <c r="AJ408" t="str">
        <v/>
      </c>
      <c r="AK408" t="str">
        <v>01/10/2026 13:37:44</v>
      </c>
      <c r="AL408" t="str">
        <v>13:37:44</v>
      </c>
      <c r="AM408" t="str">
        <v/>
      </c>
    </row>
    <row r="409">
      <c r="A409">
        <v>408</v>
      </c>
      <c r="B409" t="str">
        <v>MASS BSF</v>
      </c>
      <c r="C409" t="str">
        <v>F8R-810</v>
      </c>
      <c r="D409" t="str">
        <v>F8R-810</v>
      </c>
      <c r="E409" t="str">
        <v/>
      </c>
      <c r="F409" t="str">
        <v>867806078868827</v>
      </c>
      <c r="G409" t="str">
        <v>TBD</v>
      </c>
      <c r="H409" t="str">
        <v/>
      </c>
      <c r="I409" t="str">
        <v/>
      </c>
      <c r="J409" t="str">
        <v>01/10/2026</v>
      </c>
      <c r="K409" t="str">
        <v>13:38:01</v>
      </c>
      <c r="L409">
        <v>-12.165855</v>
      </c>
      <c r="M409">
        <v>-76.97496</v>
      </c>
      <c r="N409">
        <f>HYPERLINK("https://www.google.com/maps/search/?api=1&amp;query=-12.165855,-76.97496","Avenida Ramón Vargas Machuca, San Juan de Miraflores, Lima")</f>
      </c>
      <c r="O409" t="str">
        <v>Acelerado y giro brusco</v>
      </c>
      <c r="P409" t="str">
        <v/>
      </c>
      <c r="Q409">
        <v>2164.3</v>
      </c>
      <c r="R409" t="str">
        <v/>
      </c>
      <c r="S409">
        <v>5.1</v>
      </c>
      <c r="T409">
        <v>82.38</v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>
        <v>86</v>
      </c>
      <c r="AC409" t="str">
        <v>01/10/2026</v>
      </c>
      <c r="AD409" t="str">
        <v>13:37:59</v>
      </c>
      <c r="AE409">
        <f>IF("ONLINE"="NOGPS","GPS Antiguo","En línea")</f>
      </c>
      <c r="AF409">
        <f>IF(0=0,"Sin atender", IF(0=1,"Atendida","Atendida y Reportada"))</f>
      </c>
      <c r="AG409" t="str">
        <v/>
      </c>
      <c r="AH409" t="str">
        <v/>
      </c>
      <c r="AI409" t="str">
        <v/>
      </c>
      <c r="AJ409" t="str">
        <v/>
      </c>
      <c r="AK409" t="str">
        <v>01/10/2026 13:38:23</v>
      </c>
      <c r="AL409" t="str">
        <v>13:38:23</v>
      </c>
      <c r="AM409" t="str">
        <v/>
      </c>
    </row>
    <row r="410">
      <c r="A410">
        <v>409</v>
      </c>
      <c r="B410" t="str">
        <v>MASS BSF</v>
      </c>
      <c r="C410" t="str">
        <v>F8R-810</v>
      </c>
      <c r="D410" t="str">
        <v>F8R-810</v>
      </c>
      <c r="E410" t="str">
        <v/>
      </c>
      <c r="F410" t="str">
        <v>867806078868827</v>
      </c>
      <c r="G410" t="str">
        <v>TBD</v>
      </c>
      <c r="H410" t="str">
        <v/>
      </c>
      <c r="I410" t="str">
        <v/>
      </c>
      <c r="J410" t="str">
        <v>01/10/2026</v>
      </c>
      <c r="K410" t="str">
        <v>13:38:08</v>
      </c>
      <c r="L410">
        <v>-12.165853</v>
      </c>
      <c r="M410">
        <v>-76.974945</v>
      </c>
      <c r="N410">
        <f>HYPERLINK("https://www.google.com/maps/search/?api=1&amp;query=-12.165853,-76.974945","Avenida Ramón Vargas Machuca, San Juan de Miraflores, Lima")</f>
      </c>
      <c r="O410" t="str">
        <v>Acelerado y giro brusco</v>
      </c>
      <c r="P410" t="str">
        <v/>
      </c>
      <c r="Q410">
        <v>2164.3</v>
      </c>
      <c r="R410" t="str">
        <v/>
      </c>
      <c r="S410">
        <v>0</v>
      </c>
      <c r="T410">
        <v>82.38</v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>
        <v>86</v>
      </c>
      <c r="AC410" t="str">
        <v>01/10/2026</v>
      </c>
      <c r="AD410" t="str">
        <v>13:38:05</v>
      </c>
      <c r="AE410">
        <f>IF("ONLINE"="NOGPS","GPS Antiguo","En línea")</f>
      </c>
      <c r="AF410">
        <f>IF(0=0,"Sin atender", IF(0=1,"Atendida","Atendida y Reportada"))</f>
      </c>
      <c r="AG410" t="str">
        <v/>
      </c>
      <c r="AH410" t="str">
        <v/>
      </c>
      <c r="AI410" t="str">
        <v/>
      </c>
      <c r="AJ410" t="str">
        <v/>
      </c>
      <c r="AK410" t="str">
        <v>01/10/2026 13:38:30</v>
      </c>
      <c r="AL410" t="str">
        <v>13:38:30</v>
      </c>
      <c r="AM410" t="str">
        <v/>
      </c>
    </row>
    <row r="411">
      <c r="A411">
        <v>410</v>
      </c>
      <c r="B411" t="str">
        <v>MASS BSF</v>
      </c>
      <c r="C411" t="str">
        <v>F8R-810</v>
      </c>
      <c r="D411" t="str">
        <v>F8R-810</v>
      </c>
      <c r="E411" t="str">
        <v/>
      </c>
      <c r="F411" t="str">
        <v>867806078868827</v>
      </c>
      <c r="G411" t="str">
        <v>TBD</v>
      </c>
      <c r="H411" t="str">
        <v/>
      </c>
      <c r="I411" t="str">
        <v/>
      </c>
      <c r="J411" t="str">
        <v>01/10/2026</v>
      </c>
      <c r="K411" t="str">
        <v>13:38:13</v>
      </c>
      <c r="L411">
        <v>-12.165823</v>
      </c>
      <c r="M411">
        <v>-76.97484</v>
      </c>
      <c r="N411">
        <f>HYPERLINK("https://www.google.com/maps/search/?api=1&amp;query=-12.165823,-76.97484","Avenida Ramón Vargas Machuca, San Juan de Miraflores, Lima")</f>
      </c>
      <c r="O411" t="str">
        <v>Acelerado y giro brusco</v>
      </c>
      <c r="P411" t="str">
        <v/>
      </c>
      <c r="Q411">
        <v>2164.3</v>
      </c>
      <c r="R411" t="str">
        <v/>
      </c>
      <c r="S411">
        <v>10</v>
      </c>
      <c r="T411">
        <v>82.38</v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>
        <v>86</v>
      </c>
      <c r="AC411" t="str">
        <v>01/10/2026</v>
      </c>
      <c r="AD411" t="str">
        <v>13:38:11</v>
      </c>
      <c r="AE411">
        <f>IF("ONLINE"="NOGPS","GPS Antiguo","En línea")</f>
      </c>
      <c r="AF411">
        <f>IF(0=0,"Sin atender", IF(0=1,"Atendida","Atendida y Reportada"))</f>
      </c>
      <c r="AG411" t="str">
        <v/>
      </c>
      <c r="AH411" t="str">
        <v/>
      </c>
      <c r="AI411" t="str">
        <v/>
      </c>
      <c r="AJ411" t="str">
        <v/>
      </c>
      <c r="AK411" t="str">
        <v>01/10/2026 13:38:21</v>
      </c>
      <c r="AL411" t="str">
        <v>13:38:21</v>
      </c>
      <c r="AM411" t="str">
        <v/>
      </c>
    </row>
    <row r="412">
      <c r="A412">
        <v>411</v>
      </c>
      <c r="B412" t="str">
        <v>MASS BSF</v>
      </c>
      <c r="C412" t="str">
        <v>F8R-810</v>
      </c>
      <c r="D412" t="str">
        <v>F8R-810</v>
      </c>
      <c r="E412" t="str">
        <v/>
      </c>
      <c r="F412" t="str">
        <v>867806078868827</v>
      </c>
      <c r="G412" t="str">
        <v>TBD</v>
      </c>
      <c r="H412" t="str">
        <v/>
      </c>
      <c r="I412" t="str">
        <v/>
      </c>
      <c r="J412" t="str">
        <v>01/10/2026</v>
      </c>
      <c r="K412" t="str">
        <v>13:38:28</v>
      </c>
      <c r="L412">
        <v>-12.165687</v>
      </c>
      <c r="M412">
        <v>-76.97431</v>
      </c>
      <c r="N412">
        <f>HYPERLINK("https://www.google.com/maps/search/?api=1&amp;query=-12.165687,-76.97431","Avenida Ramón Vargas Machuca, San Juan de Miraflores, Lima")</f>
      </c>
      <c r="O412" t="str">
        <v>Aceleración brusca</v>
      </c>
      <c r="P412" t="str">
        <v>CMT-910</v>
      </c>
      <c r="Q412">
        <v>2164.3</v>
      </c>
      <c r="R412" t="str">
        <v/>
      </c>
      <c r="S412">
        <v>18.1</v>
      </c>
      <c r="T412">
        <v>82.38</v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>
        <v>86</v>
      </c>
      <c r="AC412" t="str">
        <v>01/10/2026</v>
      </c>
      <c r="AD412" t="str">
        <v>13:38:25</v>
      </c>
      <c r="AE412">
        <f>IF("ONLINE"="NOGPS","GPS Antiguo","En línea")</f>
      </c>
      <c r="AF412">
        <f>IF(0=0,"Sin atender", IF(0=1,"Atendida","Atendida y Reportada"))</f>
      </c>
      <c r="AG412" t="str">
        <v/>
      </c>
      <c r="AH412" t="str">
        <v/>
      </c>
      <c r="AI412" t="str">
        <v/>
      </c>
      <c r="AJ412" t="str">
        <v/>
      </c>
      <c r="AK412" t="str">
        <v>01/10/2026 13:38:37</v>
      </c>
      <c r="AL412" t="str">
        <v>13:38:37</v>
      </c>
      <c r="AM412" t="str">
        <v/>
      </c>
    </row>
    <row r="413">
      <c r="A413">
        <v>412</v>
      </c>
      <c r="B413" t="str">
        <v>MASS BSF</v>
      </c>
      <c r="C413" t="str">
        <v>F8R-810</v>
      </c>
      <c r="D413" t="str">
        <v>F8R-810</v>
      </c>
      <c r="E413" t="str">
        <v/>
      </c>
      <c r="F413" t="str">
        <v>867806078868827</v>
      </c>
      <c r="G413" t="str">
        <v>TBD</v>
      </c>
      <c r="H413" t="str">
        <v/>
      </c>
      <c r="I413" t="str">
        <v/>
      </c>
      <c r="J413" t="str">
        <v>01/10/2026</v>
      </c>
      <c r="K413" t="str">
        <v>13:38:42</v>
      </c>
      <c r="L413">
        <v>-12.165586</v>
      </c>
      <c r="M413">
        <v>-76.973885</v>
      </c>
      <c r="N413">
        <f>HYPERLINK("https://www.google.com/maps/search/?api=1&amp;query=-12.165586,-76.973885","Avenida Ramón Vargas Machuca, San Juan de Miraflores, Lima")</f>
      </c>
      <c r="O413" t="str">
        <v>Acelerado y giro brusco</v>
      </c>
      <c r="P413" t="str">
        <v/>
      </c>
      <c r="Q413">
        <v>2164.4</v>
      </c>
      <c r="R413" t="str">
        <v/>
      </c>
      <c r="S413">
        <v>0.5</v>
      </c>
      <c r="T413">
        <v>82.38</v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>
        <v>86</v>
      </c>
      <c r="AC413" t="str">
        <v>01/10/2026</v>
      </c>
      <c r="AD413" t="str">
        <v>13:38:39</v>
      </c>
      <c r="AE413">
        <f>IF("ONLINE"="NOGPS","GPS Antiguo","En línea")</f>
      </c>
      <c r="AF413">
        <f>IF(0=0,"Sin atender", IF(0=1,"Atendida","Atendida y Reportada"))</f>
      </c>
      <c r="AG413" t="str">
        <v/>
      </c>
      <c r="AH413" t="str">
        <v/>
      </c>
      <c r="AI413" t="str">
        <v/>
      </c>
      <c r="AJ413" t="str">
        <v/>
      </c>
      <c r="AK413" t="str">
        <v>01/10/2026 13:38:52</v>
      </c>
      <c r="AL413" t="str">
        <v>13:38:52</v>
      </c>
      <c r="AM413" t="str">
        <v/>
      </c>
    </row>
    <row r="414">
      <c r="A414">
        <v>413</v>
      </c>
      <c r="B414" t="str">
        <v>MASS BSF</v>
      </c>
      <c r="C414" t="str">
        <v>F8R-810</v>
      </c>
      <c r="D414" t="str">
        <v>F8R-810</v>
      </c>
      <c r="E414" t="str">
        <v/>
      </c>
      <c r="F414" t="str">
        <v>867806078868827</v>
      </c>
      <c r="G414" t="str">
        <v>TBD</v>
      </c>
      <c r="H414" t="str">
        <v/>
      </c>
      <c r="I414" t="str">
        <v xml:space="preserve"> </v>
      </c>
      <c r="J414" t="str">
        <v>01/10/2026</v>
      </c>
      <c r="K414" t="str">
        <v>13:38:42</v>
      </c>
      <c r="L414">
        <v>-12.165586</v>
      </c>
      <c r="M414">
        <v>-76.973885</v>
      </c>
      <c r="N414">
        <f>HYPERLINK("https://www.google.com/maps/search/?api=1&amp;query=-12.165586,-76.973885","Avenida Ramón Vargas Machuca, San Juan de Miraflores, Lima")</f>
      </c>
      <c r="O414" t="str">
        <v>Llegó a la zona</v>
      </c>
      <c r="P414" t="str">
        <v/>
      </c>
      <c r="Q414">
        <v>2164.2</v>
      </c>
      <c r="R414" t="str">
        <v>40-VARGAS MACHUCA</v>
      </c>
      <c r="S414">
        <v>0.5</v>
      </c>
      <c r="T414">
        <v>82.38</v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>
        <v>85</v>
      </c>
      <c r="AC414" t="str">
        <v>01/10/2026</v>
      </c>
      <c r="AD414" t="str">
        <v>13:38:39</v>
      </c>
      <c r="AE414">
        <f>IF("ONLINE"="NOGPS","GPS Antiguo","En línea")</f>
      </c>
      <c r="AF414">
        <f>IF(0=0,"Sin atender", IF(0=1,"Atendida","Atendida y Reportada"))</f>
      </c>
      <c r="AG414" t="str">
        <v/>
      </c>
      <c r="AH414" t="str">
        <v/>
      </c>
      <c r="AI414" t="str">
        <v/>
      </c>
      <c r="AJ414" t="str">
        <v/>
      </c>
      <c r="AK414" t="str">
        <v>01/10/2026 13:38:58</v>
      </c>
      <c r="AL414" t="str">
        <v>13:38:58</v>
      </c>
      <c r="AM414" t="str">
        <v/>
      </c>
    </row>
    <row r="415">
      <c r="A415">
        <v>414</v>
      </c>
      <c r="B415" t="str">
        <v>MASS BSF</v>
      </c>
      <c r="C415" t="str">
        <v>F8R-810</v>
      </c>
      <c r="D415" t="str">
        <v>F8R-810</v>
      </c>
      <c r="E415" t="str">
        <v/>
      </c>
      <c r="F415" t="str">
        <v>867806078868827</v>
      </c>
      <c r="G415" t="str">
        <v>TBD</v>
      </c>
      <c r="H415" t="str">
        <v/>
      </c>
      <c r="I415" t="str">
        <v xml:space="preserve"> </v>
      </c>
      <c r="J415" t="str">
        <v>01/10/2026</v>
      </c>
      <c r="K415" t="str">
        <v>13:38:51</v>
      </c>
      <c r="L415">
        <v>-12.165564</v>
      </c>
      <c r="M415">
        <v>-76.97376</v>
      </c>
      <c r="N415">
        <f>HYPERLINK("https://www.google.com/maps/search/?api=1&amp;query=-12.165564,-76.97376","Avenida Ramón Vargas Machuca, San Juan de Miraflores, Lima")</f>
      </c>
      <c r="O415" t="str">
        <v>Salió de zona</v>
      </c>
      <c r="P415" t="str">
        <v/>
      </c>
      <c r="Q415">
        <v>2164.4</v>
      </c>
      <c r="R415" t="str">
        <v>40-VARGAS MACHUCA</v>
      </c>
      <c r="S415">
        <v>10.7</v>
      </c>
      <c r="T415">
        <v>82.38</v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>
        <v>86</v>
      </c>
      <c r="AC415" t="str">
        <v>01/10/2026</v>
      </c>
      <c r="AD415" t="str">
        <v>13:38:49</v>
      </c>
      <c r="AE415">
        <f>IF("ONLINE"="NOGPS","GPS Antiguo","En línea")</f>
      </c>
      <c r="AF415">
        <f>IF(0=0,"Sin atender", IF(0=1,"Atendida","Atendida y Reportada"))</f>
      </c>
      <c r="AG415" t="str">
        <v/>
      </c>
      <c r="AH415" t="str">
        <v/>
      </c>
      <c r="AI415" t="str">
        <v/>
      </c>
      <c r="AJ415" t="str">
        <v/>
      </c>
      <c r="AK415" t="str">
        <v>01/10/2026 13:38:58</v>
      </c>
      <c r="AL415" t="str">
        <v>13:38:58</v>
      </c>
      <c r="AM415" t="str">
        <v/>
      </c>
    </row>
    <row r="416">
      <c r="A416">
        <v>415</v>
      </c>
      <c r="B416" t="str">
        <v>MASS BSF</v>
      </c>
      <c r="C416" t="str">
        <v>F8R-810</v>
      </c>
      <c r="D416" t="str">
        <v>F8R-810</v>
      </c>
      <c r="E416" t="str">
        <v/>
      </c>
      <c r="F416" t="str">
        <v>867806078868827</v>
      </c>
      <c r="G416" t="str">
        <v>TBD</v>
      </c>
      <c r="H416" t="str">
        <v/>
      </c>
      <c r="I416" t="str">
        <v/>
      </c>
      <c r="J416" t="str">
        <v>01/10/2026</v>
      </c>
      <c r="K416" t="str">
        <v>13:39:37</v>
      </c>
      <c r="L416">
        <v>-12.165399</v>
      </c>
      <c r="M416">
        <v>-76.97319</v>
      </c>
      <c r="N416">
        <f>HYPERLINK("https://www.google.com/maps/search/?api=1&amp;query=-12.165399,-76.97319","Avenida Ramón Vargas Machuca, San Juan de Miraflores, Lima")</f>
      </c>
      <c r="O416" t="str">
        <v>Aceleración brusca</v>
      </c>
      <c r="P416" t="str">
        <v>CMT-910</v>
      </c>
      <c r="Q416">
        <v>2164.4</v>
      </c>
      <c r="R416" t="str">
        <v/>
      </c>
      <c r="S416">
        <v>8.3</v>
      </c>
      <c r="T416">
        <v>82.38</v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>
        <v>86</v>
      </c>
      <c r="AC416" t="str">
        <v>01/10/2026</v>
      </c>
      <c r="AD416" t="str">
        <v>13:39:34</v>
      </c>
      <c r="AE416">
        <f>IF("ONLINE"="NOGPS","GPS Antiguo","En línea")</f>
      </c>
      <c r="AF416">
        <f>IF(0=0,"Sin atender", IF(0=1,"Atendida","Atendida y Reportada"))</f>
      </c>
      <c r="AG416" t="str">
        <v/>
      </c>
      <c r="AH416" t="str">
        <v/>
      </c>
      <c r="AI416" t="str">
        <v/>
      </c>
      <c r="AJ416" t="str">
        <v/>
      </c>
      <c r="AK416" t="str">
        <v>01/10/2026 13:39:48</v>
      </c>
      <c r="AL416" t="str">
        <v>13:39:48</v>
      </c>
      <c r="AM416" t="str">
        <v/>
      </c>
    </row>
    <row r="417">
      <c r="A417">
        <v>416</v>
      </c>
      <c r="B417" t="str">
        <v>MASS BSF</v>
      </c>
      <c r="C417" t="str">
        <v>F8R-810</v>
      </c>
      <c r="D417" t="str">
        <v>F8R-810</v>
      </c>
      <c r="E417" t="str">
        <v/>
      </c>
      <c r="F417" t="str">
        <v>867806078868827</v>
      </c>
      <c r="G417" t="str">
        <v>TBD</v>
      </c>
      <c r="H417" t="str">
        <v/>
      </c>
      <c r="I417" t="str">
        <v/>
      </c>
      <c r="J417" t="str">
        <v>01/10/2026</v>
      </c>
      <c r="K417" t="str">
        <v>13:40:31</v>
      </c>
      <c r="L417">
        <v>-12.165303</v>
      </c>
      <c r="M417">
        <v>-76.97276</v>
      </c>
      <c r="N417">
        <f>HYPERLINK("https://www.google.com/maps/search/?api=1&amp;query=-12.165303,-76.97276","Avenida Ramón Vargas Machuca, San Juan de Miraflores, Lima")</f>
      </c>
      <c r="O417" t="str">
        <v>Aceleración brusca</v>
      </c>
      <c r="P417" t="str">
        <v>CMT-910</v>
      </c>
      <c r="Q417">
        <v>2164.5</v>
      </c>
      <c r="R417" t="str">
        <v/>
      </c>
      <c r="S417">
        <v>13.3</v>
      </c>
      <c r="T417">
        <v>82.38</v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>
        <v>87</v>
      </c>
      <c r="AC417" t="str">
        <v>01/10/2026</v>
      </c>
      <c r="AD417" t="str">
        <v>13:40:28</v>
      </c>
      <c r="AE417">
        <f>IF("ONLINE"="NOGPS","GPS Antiguo","En línea")</f>
      </c>
      <c r="AF417">
        <f>IF(0=0,"Sin atender", IF(0=1,"Atendida","Atendida y Reportada"))</f>
      </c>
      <c r="AG417" t="str">
        <v/>
      </c>
      <c r="AH417" t="str">
        <v/>
      </c>
      <c r="AI417" t="str">
        <v/>
      </c>
      <c r="AJ417" t="str">
        <v/>
      </c>
      <c r="AK417" t="str">
        <v>01/10/2026 13:40:42</v>
      </c>
      <c r="AL417" t="str">
        <v>13:40:42</v>
      </c>
      <c r="AM417" t="str">
        <v/>
      </c>
    </row>
    <row r="418">
      <c r="A418">
        <v>417</v>
      </c>
      <c r="B418" t="str">
        <v>MASS BSF</v>
      </c>
      <c r="C418" t="str">
        <v>F8R-810</v>
      </c>
      <c r="D418" t="str">
        <v>F8R-810</v>
      </c>
      <c r="E418" t="str">
        <v/>
      </c>
      <c r="F418" t="str">
        <v>867806078868827</v>
      </c>
      <c r="G418" t="str">
        <v>TBD</v>
      </c>
      <c r="H418" t="str">
        <v/>
      </c>
      <c r="I418" t="str">
        <v/>
      </c>
      <c r="J418" t="str">
        <v>01/10/2026</v>
      </c>
      <c r="K418" t="str">
        <v>13:40:38</v>
      </c>
      <c r="L418">
        <v>-12.16523</v>
      </c>
      <c r="M418">
        <v>-76.972496</v>
      </c>
      <c r="N418">
        <f>HYPERLINK("https://www.google.com/maps/search/?api=1&amp;query=-12.16523,-76.972496","Avenida Ramón Vargas Machuca, San Juan de Miraflores, Lima")</f>
      </c>
      <c r="O418" t="str">
        <v>Aceleración brusca</v>
      </c>
      <c r="P418" t="str">
        <v>CMT-910</v>
      </c>
      <c r="Q418">
        <v>2164.5</v>
      </c>
      <c r="R418" t="str">
        <v/>
      </c>
      <c r="S418">
        <v>15.3</v>
      </c>
      <c r="T418">
        <v>82.38</v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>
        <v>87</v>
      </c>
      <c r="AC418" t="str">
        <v>01/10/2026</v>
      </c>
      <c r="AD418" t="str">
        <v>13:40:35</v>
      </c>
      <c r="AE418">
        <f>IF("ONLINE"="NOGPS","GPS Antiguo","En línea")</f>
      </c>
      <c r="AF418">
        <f>IF(0=0,"Sin atender", IF(0=1,"Atendida","Atendida y Reportada"))</f>
      </c>
      <c r="AG418" t="str">
        <v/>
      </c>
      <c r="AH418" t="str">
        <v/>
      </c>
      <c r="AI418" t="str">
        <v/>
      </c>
      <c r="AJ418" t="str">
        <v/>
      </c>
      <c r="AK418" t="str">
        <v>01/10/2026 13:40:55</v>
      </c>
      <c r="AL418" t="str">
        <v>13:40:55</v>
      </c>
      <c r="AM418" t="str">
        <v/>
      </c>
    </row>
    <row r="419">
      <c r="A419">
        <v>418</v>
      </c>
      <c r="B419" t="str">
        <v>MASS BSF</v>
      </c>
      <c r="C419" t="str">
        <v>F8R-810</v>
      </c>
      <c r="D419" t="str">
        <v>F8R-810</v>
      </c>
      <c r="E419" t="str">
        <v/>
      </c>
      <c r="F419" t="str">
        <v>867806078868827</v>
      </c>
      <c r="G419" t="str">
        <v>TBD</v>
      </c>
      <c r="H419" t="str">
        <v/>
      </c>
      <c r="I419" t="str">
        <v/>
      </c>
      <c r="J419" t="str">
        <v>01/10/2026</v>
      </c>
      <c r="K419" t="str">
        <v>13:40:59</v>
      </c>
      <c r="L419">
        <v>-12.164895</v>
      </c>
      <c r="M419">
        <v>-76.97121</v>
      </c>
      <c r="N419">
        <f>HYPERLINK("https://www.google.com/maps/search/?api=1&amp;query=-12.164895,-76.97121","Avenida Ramón Vargas Machuca, San Juan de Miraflores, Lima")</f>
      </c>
      <c r="O419" t="str">
        <v>Acelerado y giro brusco</v>
      </c>
      <c r="P419" t="str">
        <v/>
      </c>
      <c r="Q419">
        <v>2164.7</v>
      </c>
      <c r="R419" t="str">
        <v/>
      </c>
      <c r="S419">
        <v>35.7</v>
      </c>
      <c r="T419">
        <v>82.38</v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>
        <v>87</v>
      </c>
      <c r="AC419" t="str">
        <v>01/10/2026</v>
      </c>
      <c r="AD419" t="str">
        <v>13:40:56</v>
      </c>
      <c r="AE419">
        <f>IF("ONLINE"="NOGPS","GPS Antiguo","En línea")</f>
      </c>
      <c r="AF419">
        <f>IF(0=0,"Sin atender", IF(0=1,"Atendida","Atendida y Reportada"))</f>
      </c>
      <c r="AG419" t="str">
        <v/>
      </c>
      <c r="AH419" t="str">
        <v/>
      </c>
      <c r="AI419" t="str">
        <v/>
      </c>
      <c r="AJ419" t="str">
        <v/>
      </c>
      <c r="AK419" t="str">
        <v>01/10/2026 13:41:16</v>
      </c>
      <c r="AL419" t="str">
        <v>13:41:16</v>
      </c>
      <c r="AM419" t="str">
        <v/>
      </c>
    </row>
    <row r="420">
      <c r="A420">
        <v>419</v>
      </c>
      <c r="B420" t="str">
        <v>MASS BSF</v>
      </c>
      <c r="C420" t="str">
        <v>F8R-810</v>
      </c>
      <c r="D420" t="str">
        <v>F8R-810</v>
      </c>
      <c r="E420" t="str">
        <v/>
      </c>
      <c r="F420" t="str">
        <v>867806078868827</v>
      </c>
      <c r="G420" t="str">
        <v>TBD</v>
      </c>
      <c r="H420" t="str">
        <v/>
      </c>
      <c r="I420" t="str">
        <v/>
      </c>
      <c r="J420" t="str">
        <v>01/10/2026</v>
      </c>
      <c r="K420" t="str">
        <v>13:41:21</v>
      </c>
      <c r="L420">
        <v>-12.16468</v>
      </c>
      <c r="M420">
        <v>-76.9695</v>
      </c>
      <c r="N420">
        <f>HYPERLINK("https://www.google.com/maps/search/?api=1&amp;query=-12.16468,-76.9695","Avenida Ramón Vargas Machuca, San Juan de Miraflores, Lima")</f>
      </c>
      <c r="O420" t="str">
        <v>Acelerado y giro brusco</v>
      </c>
      <c r="P420" t="str">
        <v/>
      </c>
      <c r="Q420">
        <v>2164.9</v>
      </c>
      <c r="R420" t="str">
        <v/>
      </c>
      <c r="S420">
        <v>16.6</v>
      </c>
      <c r="T420">
        <v>82.38</v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>
        <v>87</v>
      </c>
      <c r="AC420" t="str">
        <v>01/10/2026</v>
      </c>
      <c r="AD420" t="str">
        <v>13:41:18</v>
      </c>
      <c r="AE420">
        <f>IF("ONLINE"="NOGPS","GPS Antiguo","En línea")</f>
      </c>
      <c r="AF420">
        <f>IF(0=0,"Sin atender", IF(0=1,"Atendida","Atendida y Reportada"))</f>
      </c>
      <c r="AG420" t="str">
        <v/>
      </c>
      <c r="AH420" t="str">
        <v/>
      </c>
      <c r="AI420" t="str">
        <v/>
      </c>
      <c r="AJ420" t="str">
        <v/>
      </c>
      <c r="AK420" t="str">
        <v>01/10/2026 13:41:29</v>
      </c>
      <c r="AL420" t="str">
        <v>13:41:29</v>
      </c>
      <c r="AM420" t="str">
        <v/>
      </c>
    </row>
    <row r="421">
      <c r="A421">
        <v>420</v>
      </c>
      <c r="B421" t="str">
        <v>MASS BSF</v>
      </c>
      <c r="C421" t="str">
        <v>F8R-810</v>
      </c>
      <c r="D421" t="str">
        <v>F8R-810</v>
      </c>
      <c r="E421" t="str">
        <v/>
      </c>
      <c r="F421" t="str">
        <v>867806078868827</v>
      </c>
      <c r="G421" t="str">
        <v>TBD</v>
      </c>
      <c r="H421" t="str">
        <v/>
      </c>
      <c r="I421" t="str">
        <v/>
      </c>
      <c r="J421" t="str">
        <v>01/10/2026</v>
      </c>
      <c r="K421" t="str">
        <v>13:41:28</v>
      </c>
      <c r="L421">
        <v>-12.164679</v>
      </c>
      <c r="M421">
        <v>-76.96924</v>
      </c>
      <c r="N421">
        <f>HYPERLINK("https://www.google.com/maps/search/?api=1&amp;query=-12.164679,-76.96924","Avenida Ramón Vargas Machuca, San Juan de Miraflores, Lima")</f>
      </c>
      <c r="O421" t="str">
        <v>Acelerado y giro brusco</v>
      </c>
      <c r="P421" t="str">
        <v/>
      </c>
      <c r="Q421">
        <v>2164.9</v>
      </c>
      <c r="R421" t="str">
        <v/>
      </c>
      <c r="S421">
        <v>13.3</v>
      </c>
      <c r="T421">
        <v>82.38</v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>
        <v>87</v>
      </c>
      <c r="AC421" t="str">
        <v>01/10/2026</v>
      </c>
      <c r="AD421" t="str">
        <v>13:41:25</v>
      </c>
      <c r="AE421">
        <f>IF("ONLINE"="NOGPS","GPS Antiguo","En línea")</f>
      </c>
      <c r="AF421">
        <f>IF(0=0,"Sin atender", IF(0=1,"Atendida","Atendida y Reportada"))</f>
      </c>
      <c r="AG421" t="str">
        <v/>
      </c>
      <c r="AH421" t="str">
        <v/>
      </c>
      <c r="AI421" t="str">
        <v/>
      </c>
      <c r="AJ421" t="str">
        <v/>
      </c>
      <c r="AK421" t="str">
        <v>01/10/2026 13:41:46</v>
      </c>
      <c r="AL421" t="str">
        <v>13:41:46</v>
      </c>
      <c r="AM421" t="str">
        <v/>
      </c>
    </row>
    <row r="422">
      <c r="A422">
        <v>421</v>
      </c>
      <c r="B422" t="str">
        <v>MASS BSF</v>
      </c>
      <c r="C422" t="str">
        <v>F8R-810</v>
      </c>
      <c r="D422" t="str">
        <v>F8R-810</v>
      </c>
      <c r="E422" t="str">
        <v/>
      </c>
      <c r="F422" t="str">
        <v>867806078868827</v>
      </c>
      <c r="G422" t="str">
        <v>TBD</v>
      </c>
      <c r="H422" t="str">
        <v/>
      </c>
      <c r="I422" t="str">
        <v/>
      </c>
      <c r="J422" t="str">
        <v>01/10/2026</v>
      </c>
      <c r="K422" t="str">
        <v>13:41:44</v>
      </c>
      <c r="L422">
        <v>-12.16386</v>
      </c>
      <c r="M422">
        <v>-76.9691</v>
      </c>
      <c r="N422">
        <f>HYPERLINK("https://www.google.com/maps/search/?api=1&amp;query=-12.16386,-76.9691","Avenida César Canevaro, San Juan de Miraflores, Lima")</f>
      </c>
      <c r="O422" t="str">
        <v>Acelerado y giro brusco</v>
      </c>
      <c r="P422" t="str">
        <v/>
      </c>
      <c r="Q422">
        <v>2165</v>
      </c>
      <c r="R422" t="str">
        <v/>
      </c>
      <c r="S422">
        <v>28.1</v>
      </c>
      <c r="T422">
        <v>82.38</v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>
        <v>87</v>
      </c>
      <c r="AC422" t="str">
        <v>01/10/2026</v>
      </c>
      <c r="AD422" t="str">
        <v>13:41:41</v>
      </c>
      <c r="AE422">
        <f>IF("ONLINE"="NOGPS","GPS Antiguo","En línea")</f>
      </c>
      <c r="AF422">
        <f>IF(0=0,"Sin atender", IF(0=1,"Atendida","Atendida y Reportada"))</f>
      </c>
      <c r="AG422" t="str">
        <v/>
      </c>
      <c r="AH422" t="str">
        <v/>
      </c>
      <c r="AI422" t="str">
        <v/>
      </c>
      <c r="AJ422" t="str">
        <v/>
      </c>
      <c r="AK422" t="str">
        <v>01/10/2026 13:41:55</v>
      </c>
      <c r="AL422" t="str">
        <v>13:41:55</v>
      </c>
      <c r="AM422" t="str">
        <v/>
      </c>
    </row>
    <row r="423">
      <c r="A423">
        <v>422</v>
      </c>
      <c r="B423" t="str">
        <v>MASS BSF</v>
      </c>
      <c r="C423" t="str">
        <v>F8R-810</v>
      </c>
      <c r="D423" t="str">
        <v>F8R-810</v>
      </c>
      <c r="E423" t="str">
        <v/>
      </c>
      <c r="F423" t="str">
        <v>867806078868827</v>
      </c>
      <c r="G423" t="str">
        <v>TBD</v>
      </c>
      <c r="H423" t="str">
        <v/>
      </c>
      <c r="I423" t="str">
        <v xml:space="preserve"> </v>
      </c>
      <c r="J423" t="str">
        <v>01/10/2026</v>
      </c>
      <c r="K423" t="str">
        <v>13:41:44</v>
      </c>
      <c r="L423">
        <v>-12.16386</v>
      </c>
      <c r="M423">
        <v>-76.9691</v>
      </c>
      <c r="N423">
        <f>HYPERLINK("https://www.google.com/maps/search/?api=1&amp;query=-12.16386,-76.9691","Avenida César Canevaro, San Juan de Miraflores, Lima")</f>
      </c>
      <c r="O423" t="str">
        <v>Llegó a la zona</v>
      </c>
      <c r="P423" t="str">
        <v/>
      </c>
      <c r="Q423">
        <v>2165</v>
      </c>
      <c r="R423" t="str">
        <v>793-CANEVARO4SJM MS</v>
      </c>
      <c r="S423">
        <v>28.1</v>
      </c>
      <c r="T423">
        <v>82.38</v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>
        <v>85</v>
      </c>
      <c r="AC423" t="str">
        <v>01/10/2026</v>
      </c>
      <c r="AD423" t="str">
        <v>13:41:41</v>
      </c>
      <c r="AE423">
        <f>IF("ONLINE"="NOGPS","GPS Antiguo","En línea")</f>
      </c>
      <c r="AF423">
        <f>IF(0=0,"Sin atender", IF(0=1,"Atendida","Atendida y Reportada"))</f>
      </c>
      <c r="AG423" t="str">
        <v/>
      </c>
      <c r="AH423" t="str">
        <v/>
      </c>
      <c r="AI423" t="str">
        <v/>
      </c>
      <c r="AJ423" t="str">
        <v/>
      </c>
      <c r="AK423" t="str">
        <v>01/10/2026 13:42:04</v>
      </c>
      <c r="AL423" t="str">
        <v>13:42:04</v>
      </c>
      <c r="AM423" t="str">
        <v/>
      </c>
    </row>
    <row r="424">
      <c r="A424">
        <v>423</v>
      </c>
      <c r="B424" t="str">
        <v>MASS BSF</v>
      </c>
      <c r="C424" t="str">
        <v>F8R-810</v>
      </c>
      <c r="D424" t="str">
        <v>F8R-810</v>
      </c>
      <c r="E424" t="str">
        <v/>
      </c>
      <c r="F424" t="str">
        <v>867806078868827</v>
      </c>
      <c r="G424" t="str">
        <v>TBD</v>
      </c>
      <c r="H424" t="str">
        <v/>
      </c>
      <c r="I424" t="str">
        <v xml:space="preserve"> </v>
      </c>
      <c r="J424" t="str">
        <v>01/10/2026</v>
      </c>
      <c r="K424" t="str">
        <v>13:41:50</v>
      </c>
      <c r="L424">
        <v>-12.163392</v>
      </c>
      <c r="M424">
        <v>-76.96902</v>
      </c>
      <c r="N424">
        <f>HYPERLINK("https://www.google.com/maps/search/?api=1&amp;query=-12.163392,-76.96902","Avenida César Canevaro, San Juan de Miraflores, Lima")</f>
      </c>
      <c r="O424" t="str">
        <v>Salió de zona</v>
      </c>
      <c r="P424" t="str">
        <v/>
      </c>
      <c r="Q424">
        <v>2165</v>
      </c>
      <c r="R424" t="str">
        <v>793-CANEVARO4SJM MS</v>
      </c>
      <c r="S424">
        <v>16.8</v>
      </c>
      <c r="T424">
        <v>82.38</v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>
        <v>85</v>
      </c>
      <c r="AC424" t="str">
        <v>01/10/2026</v>
      </c>
      <c r="AD424" t="str">
        <v>13:41:48</v>
      </c>
      <c r="AE424">
        <f>IF("ONLINE"="NOGPS","GPS Antiguo","En línea")</f>
      </c>
      <c r="AF424">
        <f>IF(0=0,"Sin atender", IF(0=1,"Atendida","Atendida y Reportada"))</f>
      </c>
      <c r="AG424" t="str">
        <v/>
      </c>
      <c r="AH424" t="str">
        <v/>
      </c>
      <c r="AI424" t="str">
        <v/>
      </c>
      <c r="AJ424" t="str">
        <v/>
      </c>
      <c r="AK424" t="str">
        <v>01/10/2026 13:41:59</v>
      </c>
      <c r="AL424" t="str">
        <v>13:41:59</v>
      </c>
      <c r="AM424" t="str">
        <v/>
      </c>
    </row>
    <row r="425">
      <c r="A425">
        <v>424</v>
      </c>
      <c r="B425" t="str">
        <v>MASS BSF</v>
      </c>
      <c r="C425" t="str">
        <v>F8R-810</v>
      </c>
      <c r="D425" t="str">
        <v>F8R-810</v>
      </c>
      <c r="E425" t="str">
        <v/>
      </c>
      <c r="F425" t="str">
        <v>867806078868827</v>
      </c>
      <c r="G425" t="str">
        <v>TBD</v>
      </c>
      <c r="H425" t="str">
        <v/>
      </c>
      <c r="I425" t="str">
        <v/>
      </c>
      <c r="J425" t="str">
        <v>01/10/2026</v>
      </c>
      <c r="K425" t="str">
        <v>13:42:58</v>
      </c>
      <c r="L425">
        <v>-12.16062</v>
      </c>
      <c r="M425">
        <v>-76.968025</v>
      </c>
      <c r="N425">
        <f>HYPERLINK("https://www.google.com/maps/search/?api=1&amp;query=-12.16062,-76.968025","Avenida César Canevaro, San Juan de Miraflores, Lima")</f>
      </c>
      <c r="O425" t="str">
        <v>Aceleración brusca</v>
      </c>
      <c r="P425" t="str">
        <v>CMT-910</v>
      </c>
      <c r="Q425">
        <v>2165.3</v>
      </c>
      <c r="R425" t="str">
        <v/>
      </c>
      <c r="S425">
        <v>8.1</v>
      </c>
      <c r="T425">
        <v>82.38</v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>
        <v>86</v>
      </c>
      <c r="AC425" t="str">
        <v>01/10/2026</v>
      </c>
      <c r="AD425" t="str">
        <v>13:42:55</v>
      </c>
      <c r="AE425">
        <f>IF("ONLINE"="NOGPS","GPS Antiguo","En línea")</f>
      </c>
      <c r="AF425">
        <f>IF(0=0,"Sin atender", IF(0=1,"Atendida","Atendida y Reportada"))</f>
      </c>
      <c r="AG425" t="str">
        <v/>
      </c>
      <c r="AH425" t="str">
        <v/>
      </c>
      <c r="AI425" t="str">
        <v/>
      </c>
      <c r="AJ425" t="str">
        <v/>
      </c>
      <c r="AK425" t="str">
        <v>01/10/2026 13:43:04</v>
      </c>
      <c r="AL425" t="str">
        <v>13:43:04</v>
      </c>
      <c r="AM425" t="str">
        <v/>
      </c>
    </row>
    <row r="426">
      <c r="A426">
        <v>425</v>
      </c>
      <c r="B426" t="str">
        <v>MASS BSF</v>
      </c>
      <c r="C426" t="str">
        <v>F8R-810</v>
      </c>
      <c r="D426" t="str">
        <v>F8R-810</v>
      </c>
      <c r="E426" t="str">
        <v/>
      </c>
      <c r="F426" t="str">
        <v>867806078868827</v>
      </c>
      <c r="G426" t="str">
        <v>TBD</v>
      </c>
      <c r="H426" t="str">
        <v/>
      </c>
      <c r="I426" t="str">
        <v/>
      </c>
      <c r="J426" t="str">
        <v>01/10/2026</v>
      </c>
      <c r="K426" t="str">
        <v>13:43:02</v>
      </c>
      <c r="L426">
        <v>-12.160539</v>
      </c>
      <c r="M426">
        <v>-76.967995</v>
      </c>
      <c r="N426">
        <f>HYPERLINK("https://www.google.com/maps/search/?api=1&amp;query=-12.160539,-76.967995","Avenida César Canevaro, San Juan de Miraflores, Lima")</f>
      </c>
      <c r="O426" t="str">
        <v>Acelerado y giro brusco</v>
      </c>
      <c r="P426" t="str">
        <v/>
      </c>
      <c r="Q426">
        <v>2165.4</v>
      </c>
      <c r="R426" t="str">
        <v/>
      </c>
      <c r="S426">
        <v>8.8</v>
      </c>
      <c r="T426">
        <v>82.38</v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>
        <v>86</v>
      </c>
      <c r="AC426" t="str">
        <v>01/10/2026</v>
      </c>
      <c r="AD426" t="str">
        <v>13:42:59</v>
      </c>
      <c r="AE426">
        <f>IF("ONLINE"="NOGPS","GPS Antiguo","En línea")</f>
      </c>
      <c r="AF426">
        <f>IF(0=0,"Sin atender", IF(0=1,"Atendida","Atendida y Reportada"))</f>
      </c>
      <c r="AG426" t="str">
        <v/>
      </c>
      <c r="AH426" t="str">
        <v/>
      </c>
      <c r="AI426" t="str">
        <v/>
      </c>
      <c r="AJ426" t="str">
        <v/>
      </c>
      <c r="AK426" t="str">
        <v>01/10/2026 13:43:13</v>
      </c>
      <c r="AL426" t="str">
        <v>13:43:13</v>
      </c>
      <c r="AM426" t="str">
        <v/>
      </c>
    </row>
    <row r="427">
      <c r="A427">
        <v>426</v>
      </c>
      <c r="B427" t="str">
        <v>MASS BSF</v>
      </c>
      <c r="C427" t="str">
        <v>F8R-810</v>
      </c>
      <c r="D427" t="str">
        <v>F8R-810</v>
      </c>
      <c r="E427" t="str">
        <v/>
      </c>
      <c r="F427" t="str">
        <v>867806078868827</v>
      </c>
      <c r="G427" t="str">
        <v>TBD</v>
      </c>
      <c r="H427" t="str">
        <v/>
      </c>
      <c r="I427" t="str">
        <v/>
      </c>
      <c r="J427" t="str">
        <v>01/10/2026</v>
      </c>
      <c r="K427" t="str">
        <v>13:43:09</v>
      </c>
      <c r="L427">
        <v>-12.160486</v>
      </c>
      <c r="M427">
        <v>-76.96797</v>
      </c>
      <c r="N427">
        <f>HYPERLINK("https://www.google.com/maps/search/?api=1&amp;query=-12.160486,-76.96797","Avenida Guillermo Billinghurst, San Juan de Miraflores, Lima")</f>
      </c>
      <c r="O427" t="str">
        <v>Acelerado y giro brusco</v>
      </c>
      <c r="P427" t="str">
        <v/>
      </c>
      <c r="Q427">
        <v>2165.4</v>
      </c>
      <c r="R427" t="str">
        <v/>
      </c>
      <c r="S427">
        <v>0.3</v>
      </c>
      <c r="T427">
        <v>82.38</v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>
        <v>86</v>
      </c>
      <c r="AC427" t="str">
        <v>01/10/2026</v>
      </c>
      <c r="AD427" t="str">
        <v>13:43:07</v>
      </c>
      <c r="AE427">
        <f>IF("ONLINE"="NOGPS","GPS Antiguo","En línea")</f>
      </c>
      <c r="AF427">
        <f>IF(0=0,"Sin atender", IF(0=1,"Atendida","Atendida y Reportada"))</f>
      </c>
      <c r="AG427" t="str">
        <v/>
      </c>
      <c r="AH427" t="str">
        <v/>
      </c>
      <c r="AI427" t="str">
        <v/>
      </c>
      <c r="AJ427" t="str">
        <v/>
      </c>
      <c r="AK427" t="str">
        <v>01/10/2026 13:43:23</v>
      </c>
      <c r="AL427" t="str">
        <v>13:43:23</v>
      </c>
      <c r="AM427" t="str">
        <v/>
      </c>
    </row>
    <row r="428">
      <c r="A428">
        <v>427</v>
      </c>
      <c r="B428" t="str">
        <v>MASS BSF</v>
      </c>
      <c r="C428" t="str">
        <v>F8R-810</v>
      </c>
      <c r="D428" t="str">
        <v>F8R-810</v>
      </c>
      <c r="E428" t="str">
        <v/>
      </c>
      <c r="F428" t="str">
        <v>867806078868827</v>
      </c>
      <c r="G428" t="str">
        <v>TBD</v>
      </c>
      <c r="H428" t="str">
        <v/>
      </c>
      <c r="I428" t="str">
        <v/>
      </c>
      <c r="J428" t="str">
        <v>01/10/2026</v>
      </c>
      <c r="K428" t="str">
        <v>13:43:16</v>
      </c>
      <c r="L428">
        <v>-12.160515</v>
      </c>
      <c r="M428">
        <v>-76.96782</v>
      </c>
      <c r="N428">
        <f>HYPERLINK("https://www.google.com/maps/search/?api=1&amp;query=-12.160515,-76.96782","Avenida Guillermo Billinghurst, San Juan de Miraflores, Lima")</f>
      </c>
      <c r="O428" t="str">
        <v>Acelerado y giro brusco</v>
      </c>
      <c r="P428" t="str">
        <v/>
      </c>
      <c r="Q428">
        <v>2165.4</v>
      </c>
      <c r="R428" t="str">
        <v/>
      </c>
      <c r="S428">
        <v>13.5</v>
      </c>
      <c r="T428">
        <v>82.38</v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>
        <v>85</v>
      </c>
      <c r="AC428" t="str">
        <v>01/10/2026</v>
      </c>
      <c r="AD428" t="str">
        <v>13:43:13</v>
      </c>
      <c r="AE428">
        <f>IF("ONLINE"="NOGPS","GPS Antiguo","En línea")</f>
      </c>
      <c r="AF428">
        <f>IF(0=0,"Sin atender", IF(0=1,"Atendida","Atendida y Reportada"))</f>
      </c>
      <c r="AG428" t="str">
        <v/>
      </c>
      <c r="AH428" t="str">
        <v/>
      </c>
      <c r="AI428" t="str">
        <v/>
      </c>
      <c r="AJ428" t="str">
        <v/>
      </c>
      <c r="AK428" t="str">
        <v>01/10/2026 13:43:33</v>
      </c>
      <c r="AL428" t="str">
        <v>13:43:33</v>
      </c>
      <c r="AM428" t="str">
        <v/>
      </c>
    </row>
    <row r="429">
      <c r="A429">
        <v>428</v>
      </c>
      <c r="B429" t="str">
        <v>MASS BSF</v>
      </c>
      <c r="C429" t="str">
        <v>F8R-810</v>
      </c>
      <c r="D429" t="str">
        <v>F8R-810</v>
      </c>
      <c r="E429" t="str">
        <v/>
      </c>
      <c r="F429" t="str">
        <v>867806078868827</v>
      </c>
      <c r="G429" t="str">
        <v>TBD</v>
      </c>
      <c r="H429" t="str">
        <v/>
      </c>
      <c r="I429" t="str">
        <v/>
      </c>
      <c r="J429" t="str">
        <v>01/10/2026</v>
      </c>
      <c r="K429" t="str">
        <v>13:43:26</v>
      </c>
      <c r="L429">
        <v>-12.160715</v>
      </c>
      <c r="M429">
        <v>-76.96732</v>
      </c>
      <c r="N429">
        <f>HYPERLINK("https://www.google.com/maps/search/?api=1&amp;query=-12.160715,-76.96732","Avenida Guillermo Billinghurst, San Juan de Miraflores, Lima")</f>
      </c>
      <c r="O429" t="str">
        <v>Aceleración brusca</v>
      </c>
      <c r="P429" t="str">
        <v>CMT-910</v>
      </c>
      <c r="Q429">
        <v>2165.4</v>
      </c>
      <c r="R429" t="str">
        <v/>
      </c>
      <c r="S429">
        <v>16.6</v>
      </c>
      <c r="T429">
        <v>82.38</v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>
        <v>85</v>
      </c>
      <c r="AC429" t="str">
        <v>01/10/2026</v>
      </c>
      <c r="AD429" t="str">
        <v>13:43:23</v>
      </c>
      <c r="AE429">
        <f>IF("ONLINE"="NOGPS","GPS Antiguo","En línea")</f>
      </c>
      <c r="AF429">
        <f>IF(0=0,"Sin atender", IF(0=1,"Atendida","Atendida y Reportada"))</f>
      </c>
      <c r="AG429" t="str">
        <v/>
      </c>
      <c r="AH429" t="str">
        <v/>
      </c>
      <c r="AI429" t="str">
        <v/>
      </c>
      <c r="AJ429" t="str">
        <v/>
      </c>
      <c r="AK429" t="str">
        <v>01/10/2026 13:43:41</v>
      </c>
      <c r="AL429" t="str">
        <v>13:43:41</v>
      </c>
      <c r="AM429" t="str">
        <v/>
      </c>
    </row>
    <row r="430">
      <c r="A430">
        <v>429</v>
      </c>
      <c r="B430" t="str">
        <v>MASS BSF</v>
      </c>
      <c r="C430" t="str">
        <v>F8R-810</v>
      </c>
      <c r="D430" t="str">
        <v>F8R-810</v>
      </c>
      <c r="E430" t="str">
        <v/>
      </c>
      <c r="F430" t="str">
        <v>867806078868827</v>
      </c>
      <c r="G430" t="str">
        <v>TBD</v>
      </c>
      <c r="H430" t="str">
        <v/>
      </c>
      <c r="I430" t="str">
        <v/>
      </c>
      <c r="J430" t="str">
        <v>01/10/2026</v>
      </c>
      <c r="K430" t="str">
        <v>13:44:18</v>
      </c>
      <c r="L430">
        <v>-12.161821</v>
      </c>
      <c r="M430">
        <v>-76.96461</v>
      </c>
      <c r="N430">
        <f>HYPERLINK("https://www.google.com/maps/search/?api=1&amp;query=-12.161821,-76.96461","Avenida Tomás Guzmán, San Juan de Miraflores, Lima")</f>
      </c>
      <c r="O430" t="str">
        <v>Acelerado y giro brusco</v>
      </c>
      <c r="P430" t="str">
        <v/>
      </c>
      <c r="Q430">
        <v>2165.7</v>
      </c>
      <c r="R430" t="str">
        <v/>
      </c>
      <c r="S430">
        <v>13.5</v>
      </c>
      <c r="T430">
        <v>82.38</v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>
        <v>85</v>
      </c>
      <c r="AC430" t="str">
        <v>01/10/2026</v>
      </c>
      <c r="AD430" t="str">
        <v>13:44:15</v>
      </c>
      <c r="AE430">
        <f>IF("ONLINE"="NOGPS","GPS Antiguo","En línea")</f>
      </c>
      <c r="AF430">
        <f>IF(0=0,"Sin atender", IF(0=1,"Atendida","Atendida y Reportada"))</f>
      </c>
      <c r="AG430" t="str">
        <v/>
      </c>
      <c r="AH430" t="str">
        <v/>
      </c>
      <c r="AI430" t="str">
        <v/>
      </c>
      <c r="AJ430" t="str">
        <v/>
      </c>
      <c r="AK430" t="str">
        <v>01/10/2026 13:44:26</v>
      </c>
      <c r="AL430" t="str">
        <v>13:44:26</v>
      </c>
      <c r="AM430" t="str">
        <v/>
      </c>
    </row>
    <row r="431">
      <c r="A431">
        <v>430</v>
      </c>
      <c r="B431" t="str">
        <v>MASS BSF</v>
      </c>
      <c r="C431" t="str">
        <v>F8R-810</v>
      </c>
      <c r="D431" t="str">
        <v>F8R-810</v>
      </c>
      <c r="E431" t="str">
        <v/>
      </c>
      <c r="F431" t="str">
        <v>867806078868827</v>
      </c>
      <c r="G431" t="str">
        <v>TBD</v>
      </c>
      <c r="H431" t="str">
        <v/>
      </c>
      <c r="I431" t="str">
        <v/>
      </c>
      <c r="J431" t="str">
        <v>01/10/2026</v>
      </c>
      <c r="K431" t="str">
        <v>13:44:26</v>
      </c>
      <c r="L431">
        <v>-12.161966</v>
      </c>
      <c r="M431">
        <v>-76.96425</v>
      </c>
      <c r="N431">
        <f>HYPERLINK("https://www.google.com/maps/search/?api=1&amp;query=-12.161966,-76.96425","Avenida Guillermo Billinghurst, San Juan de Miraflores, Lima")</f>
      </c>
      <c r="O431" t="str">
        <v>Acelerado y giro brusco</v>
      </c>
      <c r="P431" t="str">
        <v/>
      </c>
      <c r="Q431">
        <v>2165.8</v>
      </c>
      <c r="R431" t="str">
        <v/>
      </c>
      <c r="S431">
        <v>24.6</v>
      </c>
      <c r="T431">
        <v>82.38</v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>
        <v>85</v>
      </c>
      <c r="AC431" t="str">
        <v>01/10/2026</v>
      </c>
      <c r="AD431" t="str">
        <v>13:44:23</v>
      </c>
      <c r="AE431">
        <f>IF("ONLINE"="NOGPS","GPS Antiguo","En línea")</f>
      </c>
      <c r="AF431">
        <f>IF(0=0,"Sin atender", IF(0=1,"Atendida","Atendida y Reportada"))</f>
      </c>
      <c r="AG431" t="str">
        <v/>
      </c>
      <c r="AH431" t="str">
        <v/>
      </c>
      <c r="AI431" t="str">
        <v/>
      </c>
      <c r="AJ431" t="str">
        <v/>
      </c>
      <c r="AK431" t="str">
        <v>01/10/2026 13:44:42</v>
      </c>
      <c r="AL431" t="str">
        <v>13:44:42</v>
      </c>
      <c r="AM431" t="str">
        <v/>
      </c>
    </row>
    <row r="432">
      <c r="A432">
        <v>431</v>
      </c>
      <c r="B432" t="str">
        <v>MASS BSF</v>
      </c>
      <c r="C432" t="str">
        <v>F8R-810</v>
      </c>
      <c r="D432" t="str">
        <v>F8R-810</v>
      </c>
      <c r="E432" t="str">
        <v/>
      </c>
      <c r="F432" t="str">
        <v>867806078868827</v>
      </c>
      <c r="G432" t="str">
        <v>TBD</v>
      </c>
      <c r="H432" t="str">
        <v/>
      </c>
      <c r="I432" t="str">
        <v xml:space="preserve"> </v>
      </c>
      <c r="J432" t="str">
        <v>01/10/2026</v>
      </c>
      <c r="K432" t="str">
        <v>13:44:36</v>
      </c>
      <c r="L432">
        <v>-12.16221</v>
      </c>
      <c r="M432">
        <v>-76.96365</v>
      </c>
      <c r="N432">
        <f>HYPERLINK("https://www.google.com/maps/search/?api=1&amp;query=-12.16221,-76.96365","Avenida Guillermo Billinghurst, San Juan de Miraflores, Lima")</f>
      </c>
      <c r="O432" t="str">
        <v>Llegó a la zona</v>
      </c>
      <c r="P432" t="str">
        <v/>
      </c>
      <c r="Q432">
        <v>2165.8</v>
      </c>
      <c r="R432" t="str">
        <v>2003-GUILLERMO10 SJM MS</v>
      </c>
      <c r="S432">
        <v>25.9</v>
      </c>
      <c r="T432">
        <v>82.38</v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>
        <v>86</v>
      </c>
      <c r="AC432" t="str">
        <v>01/10/2026</v>
      </c>
      <c r="AD432" t="str">
        <v>13:44:33</v>
      </c>
      <c r="AE432">
        <f>IF("ONLINE"="NOGPS","GPS Antiguo","En línea")</f>
      </c>
      <c r="AF432">
        <f>IF(0=0,"Sin atender", IF(0=1,"Atendida","Atendida y Reportada"))</f>
      </c>
      <c r="AG432" t="str">
        <v/>
      </c>
      <c r="AH432" t="str">
        <v/>
      </c>
      <c r="AI432" t="str">
        <v/>
      </c>
      <c r="AJ432" t="str">
        <v/>
      </c>
      <c r="AK432" t="str">
        <v>01/10/2026 13:44:58</v>
      </c>
      <c r="AL432" t="str">
        <v>13:44:58</v>
      </c>
      <c r="AM432" t="str">
        <v/>
      </c>
    </row>
    <row r="433">
      <c r="A433">
        <v>432</v>
      </c>
      <c r="B433" t="str">
        <v>MASS BSF</v>
      </c>
      <c r="C433" t="str">
        <v>F8R-810</v>
      </c>
      <c r="D433" t="str">
        <v>F8R-810</v>
      </c>
      <c r="E433" t="str">
        <v/>
      </c>
      <c r="F433" t="str">
        <v>867806078868827</v>
      </c>
      <c r="G433" t="str">
        <v>TBD</v>
      </c>
      <c r="H433" t="str">
        <v/>
      </c>
      <c r="I433" t="str">
        <v/>
      </c>
      <c r="J433" t="str">
        <v>01/10/2026</v>
      </c>
      <c r="K433" t="str">
        <v>13:44:36</v>
      </c>
      <c r="L433">
        <v>-12.16221</v>
      </c>
      <c r="M433">
        <v>-76.96365</v>
      </c>
      <c r="N433">
        <f>HYPERLINK("https://www.google.com/maps/search/?api=1&amp;query=-12.16221,-76.96365","Avenida Guillermo Billinghurst, San Juan de Miraflores, Lima")</f>
      </c>
      <c r="O433" t="str">
        <v>Aceleración brusca</v>
      </c>
      <c r="P433" t="str">
        <v>CMT-910</v>
      </c>
      <c r="Q433">
        <v>2165.9</v>
      </c>
      <c r="R433" t="str">
        <v/>
      </c>
      <c r="S433">
        <v>25.9</v>
      </c>
      <c r="T433">
        <v>82.38</v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>
        <v>85</v>
      </c>
      <c r="AC433" t="str">
        <v>01/10/2026</v>
      </c>
      <c r="AD433" t="str">
        <v>13:44:33</v>
      </c>
      <c r="AE433">
        <f>IF("ONLINE"="NOGPS","GPS Antiguo","En línea")</f>
      </c>
      <c r="AF433">
        <f>IF(0=0,"Sin atender", IF(0=1,"Atendida","Atendida y Reportada"))</f>
      </c>
      <c r="AG433" t="str">
        <v/>
      </c>
      <c r="AH433" t="str">
        <v/>
      </c>
      <c r="AI433" t="str">
        <v/>
      </c>
      <c r="AJ433" t="str">
        <v/>
      </c>
      <c r="AK433" t="str">
        <v>01/10/2026 13:45:00</v>
      </c>
      <c r="AL433" t="str">
        <v>13:45:00</v>
      </c>
      <c r="AM433" t="str">
        <v/>
      </c>
    </row>
    <row r="434">
      <c r="A434">
        <v>433</v>
      </c>
      <c r="B434" t="str">
        <v>MASS BSF</v>
      </c>
      <c r="C434" t="str">
        <v>F8R-810</v>
      </c>
      <c r="D434" t="str">
        <v>F8R-810</v>
      </c>
      <c r="E434" t="str">
        <v/>
      </c>
      <c r="F434" t="str">
        <v>867806078868827</v>
      </c>
      <c r="G434" t="str">
        <v>TBD</v>
      </c>
      <c r="H434" t="str">
        <v/>
      </c>
      <c r="I434" t="str">
        <v xml:space="preserve"> </v>
      </c>
      <c r="J434" t="str">
        <v>01/10/2026</v>
      </c>
      <c r="K434" t="str">
        <v>13:45:01</v>
      </c>
      <c r="L434">
        <v>-12.163005</v>
      </c>
      <c r="M434">
        <v>-76.96166</v>
      </c>
      <c r="N434">
        <f>HYPERLINK("https://www.google.com/maps/search/?api=1&amp;query=-12.163005,-76.96166","Avenida Guillermo Billinghurst, San Juan de Miraflores, Lima")</f>
      </c>
      <c r="O434" t="str">
        <v>Salió de zona</v>
      </c>
      <c r="P434" t="str">
        <v/>
      </c>
      <c r="Q434">
        <v>2165.8</v>
      </c>
      <c r="R434" t="str">
        <v>2003-GUILLERMO10 SJM MS</v>
      </c>
      <c r="S434">
        <v>34.8</v>
      </c>
      <c r="T434">
        <v>82.38</v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>
        <v>86</v>
      </c>
      <c r="AC434" t="str">
        <v>01/10/2026</v>
      </c>
      <c r="AD434" t="str">
        <v>13:44:59</v>
      </c>
      <c r="AE434">
        <f>IF("ONLINE"="NOGPS","GPS Antiguo","En línea")</f>
      </c>
      <c r="AF434">
        <f>IF(0=0,"Sin atender", IF(0=1,"Atendida","Atendida y Reportada"))</f>
      </c>
      <c r="AG434" t="str">
        <v/>
      </c>
      <c r="AH434" t="str">
        <v/>
      </c>
      <c r="AI434" t="str">
        <v/>
      </c>
      <c r="AJ434" t="str">
        <v/>
      </c>
      <c r="AK434" t="str">
        <v>01/10/2026 13:45:29</v>
      </c>
      <c r="AL434" t="str">
        <v>13:45:29</v>
      </c>
      <c r="AM434" t="str">
        <v/>
      </c>
    </row>
    <row r="435">
      <c r="A435">
        <v>434</v>
      </c>
      <c r="B435" t="str">
        <v>MASS BSF</v>
      </c>
      <c r="C435" t="str">
        <v>F8R-810</v>
      </c>
      <c r="D435" t="str">
        <v>F8R-810</v>
      </c>
      <c r="E435" t="str">
        <v/>
      </c>
      <c r="F435" t="str">
        <v>867806078868827</v>
      </c>
      <c r="G435" t="str">
        <v>TBD</v>
      </c>
      <c r="H435" t="str">
        <v/>
      </c>
      <c r="I435" t="str">
        <v/>
      </c>
      <c r="J435" t="str">
        <v>01/10/2026</v>
      </c>
      <c r="K435" t="str">
        <v>13:45:01</v>
      </c>
      <c r="L435">
        <v>-12.163005</v>
      </c>
      <c r="M435">
        <v>-76.96166</v>
      </c>
      <c r="N435">
        <f>HYPERLINK("https://www.google.com/maps/search/?api=1&amp;query=-12.163005,-76.96166","Avenida Guillermo Billinghurst, San Juan de Miraflores, Lima")</f>
      </c>
      <c r="O435" t="str">
        <v>Aceleración brusca</v>
      </c>
      <c r="P435" t="str">
        <v>CMT-910</v>
      </c>
      <c r="Q435">
        <v>2166.1</v>
      </c>
      <c r="R435" t="str">
        <v/>
      </c>
      <c r="S435">
        <v>34.8</v>
      </c>
      <c r="T435">
        <v>82.38</v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>
        <v>85</v>
      </c>
      <c r="AC435" t="str">
        <v>01/10/2026</v>
      </c>
      <c r="AD435" t="str">
        <v>13:44:59</v>
      </c>
      <c r="AE435">
        <f>IF("ONLINE"="NOGPS","GPS Antiguo","En línea")</f>
      </c>
      <c r="AF435">
        <f>IF(0=0,"Sin atender", IF(0=1,"Atendida","Atendida y Reportada"))</f>
      </c>
      <c r="AG435" t="str">
        <v/>
      </c>
      <c r="AH435" t="str">
        <v/>
      </c>
      <c r="AI435" t="str">
        <v/>
      </c>
      <c r="AJ435" t="str">
        <v/>
      </c>
      <c r="AK435" t="str">
        <v>01/10/2026 13:45:28</v>
      </c>
      <c r="AL435" t="str">
        <v>13:45:28</v>
      </c>
      <c r="AM435" t="str">
        <v/>
      </c>
    </row>
    <row r="436">
      <c r="A436">
        <v>435</v>
      </c>
      <c r="B436" t="str">
        <v>MASS BSF</v>
      </c>
      <c r="C436" t="str">
        <v>F8R-810</v>
      </c>
      <c r="D436" t="str">
        <v>F8R-810</v>
      </c>
      <c r="E436" t="str">
        <v/>
      </c>
      <c r="F436" t="str">
        <v>867806078868827</v>
      </c>
      <c r="G436" t="str">
        <v>TBD</v>
      </c>
      <c r="H436" t="str">
        <v/>
      </c>
      <c r="I436" t="str">
        <v/>
      </c>
      <c r="J436" t="str">
        <v>01/10/2026</v>
      </c>
      <c r="K436" t="str">
        <v>13:45:18</v>
      </c>
      <c r="L436">
        <v>-12.163439</v>
      </c>
      <c r="M436">
        <v>-76.96061</v>
      </c>
      <c r="N436">
        <f>HYPERLINK("https://www.google.com/maps/search/?api=1&amp;query=-12.163439,-76.96061","Avenida Guillermo Billinghurst, San Juan de Miraflores, Lima")</f>
      </c>
      <c r="O436" t="str">
        <v>Acelerado y giro brusco</v>
      </c>
      <c r="P436" t="str">
        <v/>
      </c>
      <c r="Q436">
        <v>2166.2</v>
      </c>
      <c r="R436" t="str">
        <v/>
      </c>
      <c r="S436">
        <v>12.2</v>
      </c>
      <c r="T436">
        <v>82.38</v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>
        <v>85</v>
      </c>
      <c r="AC436" t="str">
        <v>01/10/2026</v>
      </c>
      <c r="AD436" t="str">
        <v>13:45:15</v>
      </c>
      <c r="AE436">
        <f>IF("ONLINE"="NOGPS","GPS Antiguo","En línea")</f>
      </c>
      <c r="AF436">
        <f>IF(0=0,"Sin atender", IF(0=1,"Atendida","Atendida y Reportada"))</f>
      </c>
      <c r="AG436" t="str">
        <v/>
      </c>
      <c r="AH436" t="str">
        <v/>
      </c>
      <c r="AI436" t="str">
        <v/>
      </c>
      <c r="AJ436" t="str">
        <v/>
      </c>
      <c r="AK436" t="str">
        <v>01/10/2026 13:45:30</v>
      </c>
      <c r="AL436" t="str">
        <v>13:45:30</v>
      </c>
      <c r="AM436" t="str">
        <v/>
      </c>
    </row>
    <row r="437">
      <c r="A437">
        <v>436</v>
      </c>
      <c r="B437" t="str">
        <v>MASS BSF</v>
      </c>
      <c r="C437" t="str">
        <v>F8R-810</v>
      </c>
      <c r="D437" t="str">
        <v>F8R-810</v>
      </c>
      <c r="E437" t="str">
        <v/>
      </c>
      <c r="F437" t="str">
        <v>867806078868827</v>
      </c>
      <c r="G437" t="str">
        <v>TBD</v>
      </c>
      <c r="H437" t="str">
        <v/>
      </c>
      <c r="I437" t="str">
        <v/>
      </c>
      <c r="J437" t="str">
        <v>01/10/2026</v>
      </c>
      <c r="K437" t="str">
        <v>13:45:24</v>
      </c>
      <c r="L437">
        <v>-12.163497</v>
      </c>
      <c r="M437">
        <v>-76.96047</v>
      </c>
      <c r="N437">
        <f>HYPERLINK("https://www.google.com/maps/search/?api=1&amp;query=-12.163497,-76.96047","Avenida Guillermo Billinghurst, San Juan de Miraflores, Lima")</f>
      </c>
      <c r="O437" t="str">
        <v>Acelerado y giro brusco</v>
      </c>
      <c r="P437" t="str">
        <v/>
      </c>
      <c r="Q437">
        <v>2166.2</v>
      </c>
      <c r="R437" t="str">
        <v/>
      </c>
      <c r="S437">
        <v>13.7</v>
      </c>
      <c r="T437">
        <v>82.38</v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>
        <v>85</v>
      </c>
      <c r="AC437" t="str">
        <v>01/10/2026</v>
      </c>
      <c r="AD437" t="str">
        <v>13:45:22</v>
      </c>
      <c r="AE437">
        <f>IF("ONLINE"="NOGPS","GPS Antiguo","En línea")</f>
      </c>
      <c r="AF437">
        <f>IF(0=0,"Sin atender", IF(0=1,"Atendida","Atendida y Reportada"))</f>
      </c>
      <c r="AG437" t="str">
        <v/>
      </c>
      <c r="AH437" t="str">
        <v/>
      </c>
      <c r="AI437" t="str">
        <v/>
      </c>
      <c r="AJ437" t="str">
        <v/>
      </c>
      <c r="AK437" t="str">
        <v>01/10/2026 13:45:40</v>
      </c>
      <c r="AL437" t="str">
        <v>13:45:40</v>
      </c>
      <c r="AM437" t="str">
        <v/>
      </c>
    </row>
    <row r="438">
      <c r="A438">
        <v>437</v>
      </c>
      <c r="B438" t="str">
        <v>MASS BSF</v>
      </c>
      <c r="C438" t="str">
        <v>F8R-810</v>
      </c>
      <c r="D438" t="str">
        <v>F8R-810</v>
      </c>
      <c r="E438" t="str">
        <v/>
      </c>
      <c r="F438" t="str">
        <v>867806078868827</v>
      </c>
      <c r="G438" t="str">
        <v>TBD</v>
      </c>
      <c r="H438" t="str">
        <v/>
      </c>
      <c r="I438" t="str">
        <v/>
      </c>
      <c r="J438" t="str">
        <v>01/10/2026</v>
      </c>
      <c r="K438" t="str">
        <v>13:46:36</v>
      </c>
      <c r="L438">
        <v>-12.163575</v>
      </c>
      <c r="M438">
        <v>-76.960236</v>
      </c>
      <c r="N438">
        <f>HYPERLINK("https://www.google.com/maps/search/?api=1&amp;query=-12.163575,-76.960236","Avenida Miguel Iglesias, San Juan de Miraflores, Lima")</f>
      </c>
      <c r="O438" t="str">
        <v>Giro brusco</v>
      </c>
      <c r="P438" t="str">
        <v/>
      </c>
      <c r="Q438">
        <v>2166.3</v>
      </c>
      <c r="R438" t="str">
        <v/>
      </c>
      <c r="S438">
        <v>11.2</v>
      </c>
      <c r="T438">
        <v>82.38</v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>
        <v>88</v>
      </c>
      <c r="AC438" t="str">
        <v>01/10/2026</v>
      </c>
      <c r="AD438" t="str">
        <v>13:46:33</v>
      </c>
      <c r="AE438">
        <f>IF("ONLINE"="NOGPS","GPS Antiguo","En línea")</f>
      </c>
      <c r="AF438">
        <f>IF(0=0,"Sin atender", IF(0=1,"Atendida","Atendida y Reportada"))</f>
      </c>
      <c r="AG438" t="str">
        <v/>
      </c>
      <c r="AH438" t="str">
        <v/>
      </c>
      <c r="AI438" t="str">
        <v/>
      </c>
      <c r="AJ438" t="str">
        <v/>
      </c>
      <c r="AK438" t="str">
        <v>01/10/2026 13:46:52</v>
      </c>
      <c r="AL438" t="str">
        <v>13:46:52</v>
      </c>
      <c r="AM438" t="str">
        <v/>
      </c>
    </row>
    <row r="439">
      <c r="A439">
        <v>438</v>
      </c>
      <c r="B439" t="str">
        <v>MASS BSF</v>
      </c>
      <c r="C439" t="str">
        <v>F8R-810</v>
      </c>
      <c r="D439" t="str">
        <v>F8R-810</v>
      </c>
      <c r="E439" t="str">
        <v/>
      </c>
      <c r="F439" t="str">
        <v>867806078868827</v>
      </c>
      <c r="G439" t="str">
        <v>TBD</v>
      </c>
      <c r="H439" t="str">
        <v/>
      </c>
      <c r="I439" t="str">
        <v/>
      </c>
      <c r="J439" t="str">
        <v>01/10/2026</v>
      </c>
      <c r="K439" t="str">
        <v>13:46:42</v>
      </c>
      <c r="L439">
        <v>-12.163406</v>
      </c>
      <c r="M439">
        <v>-76.96011</v>
      </c>
      <c r="N439">
        <f>HYPERLINK("https://www.google.com/maps/search/?api=1&amp;query=-12.163406,-76.96011","Avenida Miguel Iglesias, San Juan de Miraflores, Lima")</f>
      </c>
      <c r="O439" t="str">
        <v>Acelerado y giro brusco</v>
      </c>
      <c r="P439" t="str">
        <v/>
      </c>
      <c r="Q439">
        <v>2166.3</v>
      </c>
      <c r="R439" t="str">
        <v/>
      </c>
      <c r="S439">
        <v>17.2</v>
      </c>
      <c r="T439">
        <v>82.38</v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>
        <v>88</v>
      </c>
      <c r="AC439" t="str">
        <v>01/10/2026</v>
      </c>
      <c r="AD439" t="str">
        <v>13:46:39</v>
      </c>
      <c r="AE439">
        <f>IF("ONLINE"="NOGPS","GPS Antiguo","En línea")</f>
      </c>
      <c r="AF439">
        <f>IF(0=0,"Sin atender", IF(0=1,"Atendida","Atendida y Reportada"))</f>
      </c>
      <c r="AG439" t="str">
        <v/>
      </c>
      <c r="AH439" t="str">
        <v/>
      </c>
      <c r="AI439" t="str">
        <v/>
      </c>
      <c r="AJ439" t="str">
        <v/>
      </c>
      <c r="AK439" t="str">
        <v>01/10/2026 13:46:49</v>
      </c>
      <c r="AL439" t="str">
        <v>13:46:49</v>
      </c>
      <c r="AM439" t="str">
        <v/>
      </c>
    </row>
    <row r="440">
      <c r="A440">
        <v>439</v>
      </c>
      <c r="B440" t="str">
        <v>MASS BSF</v>
      </c>
      <c r="C440" t="str">
        <v>F8R-810</v>
      </c>
      <c r="D440" t="str">
        <v>F8R-810</v>
      </c>
      <c r="E440" t="str">
        <v/>
      </c>
      <c r="F440" t="str">
        <v>867806078868827</v>
      </c>
      <c r="G440" t="str">
        <v>TBD</v>
      </c>
      <c r="H440" t="str">
        <v/>
      </c>
      <c r="I440" t="str">
        <v/>
      </c>
      <c r="J440" t="str">
        <v>01/10/2026</v>
      </c>
      <c r="K440" t="str">
        <v>13:46:54</v>
      </c>
      <c r="L440">
        <v>-12.162679</v>
      </c>
      <c r="M440">
        <v>-76.95994</v>
      </c>
      <c r="N440">
        <f>HYPERLINK("https://www.google.com/maps/search/?api=1&amp;query=-12.162679,-76.95994","Avenida Miguel Iglesias, San Juan de Miraflores, Lima")</f>
      </c>
      <c r="O440" t="str">
        <v>Acelerado y giro brusco</v>
      </c>
      <c r="P440" t="str">
        <v/>
      </c>
      <c r="Q440">
        <v>2166.4</v>
      </c>
      <c r="R440" t="str">
        <v/>
      </c>
      <c r="S440">
        <v>28.5</v>
      </c>
      <c r="T440">
        <v>82.38</v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>
        <v>88</v>
      </c>
      <c r="AC440" t="str">
        <v>01/10/2026</v>
      </c>
      <c r="AD440" t="str">
        <v>13:46:51</v>
      </c>
      <c r="AE440">
        <f>IF("ONLINE"="NOGPS","GPS Antiguo","En línea")</f>
      </c>
      <c r="AF440">
        <f>IF(0=0,"Sin atender", IF(0=1,"Atendida","Atendida y Reportada"))</f>
      </c>
      <c r="AG440" t="str">
        <v/>
      </c>
      <c r="AH440" t="str">
        <v/>
      </c>
      <c r="AI440" t="str">
        <v/>
      </c>
      <c r="AJ440" t="str">
        <v/>
      </c>
      <c r="AK440" t="str">
        <v>01/10/2026 13:47:16</v>
      </c>
      <c r="AL440" t="str">
        <v>13:47:16</v>
      </c>
      <c r="AM440" t="str">
        <v/>
      </c>
    </row>
    <row r="441">
      <c r="A441">
        <v>440</v>
      </c>
      <c r="B441" t="str">
        <v>MASS BSF</v>
      </c>
      <c r="C441" t="str">
        <v>F8R-810</v>
      </c>
      <c r="D441" t="str">
        <v>F8R-810</v>
      </c>
      <c r="E441" t="str">
        <v/>
      </c>
      <c r="F441" t="str">
        <v>867806078868827</v>
      </c>
      <c r="G441" t="str">
        <v>TBD</v>
      </c>
      <c r="H441" t="str">
        <v/>
      </c>
      <c r="I441" t="str">
        <v/>
      </c>
      <c r="J441" t="str">
        <v>01/10/2026</v>
      </c>
      <c r="K441" t="str">
        <v>13:47:02</v>
      </c>
      <c r="L441">
        <v>-12.162111</v>
      </c>
      <c r="M441">
        <v>-76.95974</v>
      </c>
      <c r="N441">
        <f>HYPERLINK("https://www.google.com/maps/search/?api=1&amp;query=-12.162111,-76.95974","Avenida Miguel Iglesias, San Juan de Miraflores, Lima")</f>
      </c>
      <c r="O441" t="str">
        <v>Acelerado y giro brusco</v>
      </c>
      <c r="P441" t="str">
        <v/>
      </c>
      <c r="Q441">
        <v>2166.4</v>
      </c>
      <c r="R441" t="str">
        <v/>
      </c>
      <c r="S441">
        <v>29.8</v>
      </c>
      <c r="T441">
        <v>82.38</v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>
        <v>88</v>
      </c>
      <c r="AC441" t="str">
        <v>01/10/2026</v>
      </c>
      <c r="AD441" t="str">
        <v>13:46:59</v>
      </c>
      <c r="AE441">
        <f>IF("ONLINE"="NOGPS","GPS Antiguo","En línea")</f>
      </c>
      <c r="AF441">
        <f>IF(0=0,"Sin atender", IF(0=1,"Atendida","Atendida y Reportada"))</f>
      </c>
      <c r="AG441" t="str">
        <v/>
      </c>
      <c r="AH441" t="str">
        <v/>
      </c>
      <c r="AI441" t="str">
        <v/>
      </c>
      <c r="AJ441" t="str">
        <v/>
      </c>
      <c r="AK441" t="str">
        <v>01/10/2026 13:47:21</v>
      </c>
      <c r="AL441" t="str">
        <v>13:47:21</v>
      </c>
      <c r="AM441" t="str">
        <v/>
      </c>
    </row>
    <row r="442">
      <c r="A442">
        <v>441</v>
      </c>
      <c r="B442" t="str">
        <v>MASS BSF</v>
      </c>
      <c r="C442" t="str">
        <v>F8R-810</v>
      </c>
      <c r="D442" t="str">
        <v>F8R-810</v>
      </c>
      <c r="E442" t="str">
        <v/>
      </c>
      <c r="F442" t="str">
        <v>867806078868827</v>
      </c>
      <c r="G442" t="str">
        <v>TBD</v>
      </c>
      <c r="H442" t="str">
        <v/>
      </c>
      <c r="I442" t="str">
        <v xml:space="preserve"> </v>
      </c>
      <c r="J442" t="str">
        <v>01/10/2026</v>
      </c>
      <c r="K442" t="str">
        <v>13:47:05</v>
      </c>
      <c r="L442">
        <v>-12.161859</v>
      </c>
      <c r="M442">
        <v>-76.95965</v>
      </c>
      <c r="N442">
        <f>HYPERLINK("https://www.google.com/maps/search/?api=1&amp;query=-12.161859,-76.95965","Avenida Miguel Iglesias, San Juan de Miraflores, Lima")</f>
      </c>
      <c r="O442" t="str">
        <v>Llegó a la zona</v>
      </c>
      <c r="P442" t="str">
        <v/>
      </c>
      <c r="Q442">
        <v>2166.3</v>
      </c>
      <c r="R442" t="str">
        <v>862-IGLESIA8 SJM MS</v>
      </c>
      <c r="S442">
        <v>21.8</v>
      </c>
      <c r="T442">
        <v>82.38</v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>
        <v>85</v>
      </c>
      <c r="AC442" t="str">
        <v>01/10/2026</v>
      </c>
      <c r="AD442" t="str">
        <v>13:47:03</v>
      </c>
      <c r="AE442">
        <f>IF("ONLINE"="NOGPS","GPS Antiguo","En línea")</f>
      </c>
      <c r="AF442">
        <f>IF(0=0,"Sin atender", IF(0=1,"Atendida","Atendida y Reportada"))</f>
      </c>
      <c r="AG442" t="str">
        <v/>
      </c>
      <c r="AH442" t="str">
        <v/>
      </c>
      <c r="AI442" t="str">
        <v/>
      </c>
      <c r="AJ442" t="str">
        <v/>
      </c>
      <c r="AK442" t="str">
        <v>01/10/2026 13:47:09</v>
      </c>
      <c r="AL442" t="str">
        <v>13:47:09</v>
      </c>
      <c r="AM442" t="str">
        <v/>
      </c>
    </row>
    <row r="443">
      <c r="A443">
        <v>442</v>
      </c>
      <c r="B443" t="str">
        <v>MASS BSF</v>
      </c>
      <c r="C443" t="str">
        <v>F8R-810</v>
      </c>
      <c r="D443" t="str">
        <v>F8R-810</v>
      </c>
      <c r="E443" t="str">
        <v/>
      </c>
      <c r="F443" t="str">
        <v>867806078868827</v>
      </c>
      <c r="G443" t="str">
        <v>TBD</v>
      </c>
      <c r="H443" t="str">
        <v/>
      </c>
      <c r="I443" t="str">
        <v xml:space="preserve"> </v>
      </c>
      <c r="J443" t="str">
        <v>01/10/2026</v>
      </c>
      <c r="K443" t="str">
        <v>13:47:16</v>
      </c>
      <c r="L443">
        <v>-12.16161</v>
      </c>
      <c r="M443">
        <v>-76.95955</v>
      </c>
      <c r="N443">
        <f>HYPERLINK("https://www.google.com/maps/search/?api=1&amp;query=-12.16161,-76.95955","Avenida Miguel Iglesias, San Juan de Miraflores, Lima")</f>
      </c>
      <c r="O443" t="str">
        <v>Salió de zona</v>
      </c>
      <c r="P443" t="str">
        <v/>
      </c>
      <c r="Q443">
        <v>2166.3</v>
      </c>
      <c r="R443" t="str">
        <v>862-IGLESIA8 SJM MS</v>
      </c>
      <c r="S443">
        <v>7.4</v>
      </c>
      <c r="T443">
        <v>82.38</v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>
        <v>85</v>
      </c>
      <c r="AC443" t="str">
        <v>01/10/2026</v>
      </c>
      <c r="AD443" t="str">
        <v>13:47:13</v>
      </c>
      <c r="AE443">
        <f>IF("ONLINE"="NOGPS","GPS Antiguo","En línea")</f>
      </c>
      <c r="AF443">
        <f>IF(0=0,"Sin atender", IF(0=1,"Atendida","Atendida y Reportada"))</f>
      </c>
      <c r="AG443" t="str">
        <v/>
      </c>
      <c r="AH443" t="str">
        <v/>
      </c>
      <c r="AI443" t="str">
        <v/>
      </c>
      <c r="AJ443" t="str">
        <v/>
      </c>
      <c r="AK443" t="str">
        <v>01/10/2026 13:47:32</v>
      </c>
      <c r="AL443" t="str">
        <v>13:47:32</v>
      </c>
      <c r="AM443" t="str">
        <v/>
      </c>
    </row>
    <row r="444">
      <c r="A444">
        <v>443</v>
      </c>
      <c r="B444" t="str">
        <v>MASS BSF</v>
      </c>
      <c r="C444" t="str">
        <v>F8R-810</v>
      </c>
      <c r="D444" t="str">
        <v>F8R-810</v>
      </c>
      <c r="E444" t="str">
        <v/>
      </c>
      <c r="F444" t="str">
        <v>867806078868827</v>
      </c>
      <c r="G444" t="str">
        <v>TBD</v>
      </c>
      <c r="H444" t="str">
        <v/>
      </c>
      <c r="I444" t="str">
        <v/>
      </c>
      <c r="J444" t="str">
        <v>01/10/2026</v>
      </c>
      <c r="K444" t="str">
        <v>13:47:16</v>
      </c>
      <c r="L444">
        <v>-12.16161</v>
      </c>
      <c r="M444">
        <v>-76.95955</v>
      </c>
      <c r="N444">
        <f>HYPERLINK("https://www.google.com/maps/search/?api=1&amp;query=-12.16161,-76.95955","Avenida Miguel Iglesias, San Juan de Miraflores, Lima")</f>
      </c>
      <c r="O444" t="str">
        <v>Acelerado y giro brusco</v>
      </c>
      <c r="P444" t="str">
        <v/>
      </c>
      <c r="Q444">
        <v>2166.5</v>
      </c>
      <c r="R444" t="str">
        <v/>
      </c>
      <c r="S444">
        <v>7.4</v>
      </c>
      <c r="T444">
        <v>82.38</v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>
        <v>88</v>
      </c>
      <c r="AC444" t="str">
        <v>01/10/2026</v>
      </c>
      <c r="AD444" t="str">
        <v>13:47:13</v>
      </c>
      <c r="AE444">
        <f>IF("ONLINE"="NOGPS","GPS Antiguo","En línea")</f>
      </c>
      <c r="AF444">
        <f>IF(0=0,"Sin atender", IF(0=1,"Atendida","Atendida y Reportada"))</f>
      </c>
      <c r="AG444" t="str">
        <v/>
      </c>
      <c r="AH444" t="str">
        <v/>
      </c>
      <c r="AI444" t="str">
        <v/>
      </c>
      <c r="AJ444" t="str">
        <v/>
      </c>
      <c r="AK444" t="str">
        <v>01/10/2026 13:47:26</v>
      </c>
      <c r="AL444" t="str">
        <v>13:47:26</v>
      </c>
      <c r="AM444" t="str">
        <v/>
      </c>
    </row>
    <row r="445">
      <c r="A445">
        <v>444</v>
      </c>
      <c r="B445" t="str">
        <v>MASS BSF</v>
      </c>
      <c r="C445" t="str">
        <v>F8R-810</v>
      </c>
      <c r="D445" t="str">
        <v>F8R-810</v>
      </c>
      <c r="E445" t="str">
        <v/>
      </c>
      <c r="F445" t="str">
        <v>867806078868827</v>
      </c>
      <c r="G445" t="str">
        <v>TBD</v>
      </c>
      <c r="H445" t="str">
        <v/>
      </c>
      <c r="I445" t="str">
        <v/>
      </c>
      <c r="J445" t="str">
        <v>01/10/2026</v>
      </c>
      <c r="K445" t="str">
        <v>13:47:22</v>
      </c>
      <c r="L445">
        <v>-12.161583</v>
      </c>
      <c r="M445">
        <v>-76.95954</v>
      </c>
      <c r="N445">
        <f>HYPERLINK("https://www.google.com/maps/search/?api=1&amp;query=-12.161583,-76.95954","Avenida Miguel Iglesias, San Juan de Miraflores, Lima")</f>
      </c>
      <c r="O445" t="str">
        <v>Acelerado y giro brusco</v>
      </c>
      <c r="P445" t="str">
        <v/>
      </c>
      <c r="Q445">
        <v>2166.5</v>
      </c>
      <c r="R445" t="str">
        <v/>
      </c>
      <c r="S445">
        <v>0</v>
      </c>
      <c r="T445">
        <v>82.38</v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>
        <v>88</v>
      </c>
      <c r="AC445" t="str">
        <v>01/10/2026</v>
      </c>
      <c r="AD445" t="str">
        <v>13:47:19</v>
      </c>
      <c r="AE445">
        <f>IF("ONLINE"="NOGPS","GPS Antiguo","En línea")</f>
      </c>
      <c r="AF445">
        <f>IF(0=0,"Sin atender", IF(0=1,"Atendida","Atendida y Reportada"))</f>
      </c>
      <c r="AG445" t="str">
        <v/>
      </c>
      <c r="AH445" t="str">
        <v/>
      </c>
      <c r="AI445" t="str">
        <v/>
      </c>
      <c r="AJ445" t="str">
        <v/>
      </c>
      <c r="AK445" t="str">
        <v>01/10/2026 13:47:26</v>
      </c>
      <c r="AL445" t="str">
        <v>13:47:26</v>
      </c>
      <c r="AM445" t="str">
        <v/>
      </c>
    </row>
    <row r="446">
      <c r="A446">
        <v>445</v>
      </c>
      <c r="B446" t="str">
        <v>MASS BSF</v>
      </c>
      <c r="C446" t="str">
        <v>F8R-810</v>
      </c>
      <c r="D446" t="str">
        <v>F8R-810</v>
      </c>
      <c r="E446" t="str">
        <v/>
      </c>
      <c r="F446" t="str">
        <v>867806078868827</v>
      </c>
      <c r="G446" t="str">
        <v>TBD</v>
      </c>
      <c r="H446" t="str">
        <v/>
      </c>
      <c r="I446" t="str">
        <v/>
      </c>
      <c r="J446" t="str">
        <v>01/10/2026</v>
      </c>
      <c r="K446" t="str">
        <v>13:47:32</v>
      </c>
      <c r="L446">
        <v>-12.161525</v>
      </c>
      <c r="M446">
        <v>-76.95949</v>
      </c>
      <c r="N446">
        <f>HYPERLINK("https://www.google.com/maps/search/?api=1&amp;query=-12.161525,-76.95949","Avenida Miguel Iglesias, San Juan de Miraflores, Lima")</f>
      </c>
      <c r="O446" t="str">
        <v>Acelerado y giro brusco</v>
      </c>
      <c r="P446" t="str">
        <v/>
      </c>
      <c r="Q446">
        <v>2166.5</v>
      </c>
      <c r="R446" t="str">
        <v/>
      </c>
      <c r="S446">
        <v>9</v>
      </c>
      <c r="T446">
        <v>82.38</v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>
        <v>88</v>
      </c>
      <c r="AC446" t="str">
        <v>01/10/2026</v>
      </c>
      <c r="AD446" t="str">
        <v>13:47:29</v>
      </c>
      <c r="AE446">
        <f>IF("ONLINE"="NOGPS","GPS Antiguo","En línea")</f>
      </c>
      <c r="AF446">
        <f>IF(0=0,"Sin atender", IF(0=1,"Atendida","Atendida y Reportada"))</f>
      </c>
      <c r="AG446" t="str">
        <v/>
      </c>
      <c r="AH446" t="str">
        <v/>
      </c>
      <c r="AI446" t="str">
        <v/>
      </c>
      <c r="AJ446" t="str">
        <v/>
      </c>
      <c r="AK446" t="str">
        <v>01/10/2026 13:47:45</v>
      </c>
      <c r="AL446" t="str">
        <v>13:47:45</v>
      </c>
      <c r="AM446" t="str">
        <v/>
      </c>
    </row>
    <row r="447">
      <c r="A447">
        <v>446</v>
      </c>
      <c r="B447" t="str">
        <v>MASS BSF</v>
      </c>
      <c r="C447" t="str">
        <v>F8R-810</v>
      </c>
      <c r="D447" t="str">
        <v>F8R-810</v>
      </c>
      <c r="E447" t="str">
        <v/>
      </c>
      <c r="F447" t="str">
        <v>867806078868827</v>
      </c>
      <c r="G447" t="str">
        <v>TBD</v>
      </c>
      <c r="H447" t="str">
        <v/>
      </c>
      <c r="I447" t="str">
        <v/>
      </c>
      <c r="J447" t="str">
        <v>01/10/2026</v>
      </c>
      <c r="K447" t="str">
        <v>13:48:59</v>
      </c>
      <c r="L447">
        <v>-12.161242</v>
      </c>
      <c r="M447">
        <v>-76.95939</v>
      </c>
      <c r="N447">
        <f>HYPERLINK("https://www.google.com/maps/search/?api=1&amp;query=-12.161242,-76.95939","Avenida Miguel Iglesias, San Juan de Miraflores, Lima")</f>
      </c>
      <c r="O447" t="str">
        <v>Acelerado y giro brusco</v>
      </c>
      <c r="P447" t="str">
        <v/>
      </c>
      <c r="Q447">
        <v>2166.5</v>
      </c>
      <c r="R447" t="str">
        <v/>
      </c>
      <c r="S447">
        <v>2.9</v>
      </c>
      <c r="T447">
        <v>82.38</v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>
        <v>88</v>
      </c>
      <c r="AC447" t="str">
        <v>01/10/2026</v>
      </c>
      <c r="AD447" t="str">
        <v>13:48:56</v>
      </c>
      <c r="AE447">
        <f>IF("ONLINE"="NOGPS","GPS Antiguo","En línea")</f>
      </c>
      <c r="AF447">
        <f>IF(0=0,"Sin atender", IF(0=1,"Atendida","Atendida y Reportada"))</f>
      </c>
      <c r="AG447" t="str">
        <v/>
      </c>
      <c r="AH447" t="str">
        <v/>
      </c>
      <c r="AI447" t="str">
        <v/>
      </c>
      <c r="AJ447" t="str">
        <v/>
      </c>
      <c r="AK447" t="str">
        <v>01/10/2026 13:49:12</v>
      </c>
      <c r="AL447" t="str">
        <v>13:49:12</v>
      </c>
      <c r="AM447" t="str">
        <v/>
      </c>
    </row>
    <row r="448">
      <c r="A448">
        <v>447</v>
      </c>
      <c r="B448" t="str">
        <v>MASS BSF</v>
      </c>
      <c r="C448" t="str">
        <v>F8R-810</v>
      </c>
      <c r="D448" t="str">
        <v>F8R-810</v>
      </c>
      <c r="E448" t="str">
        <v/>
      </c>
      <c r="F448" t="str">
        <v>867806078868827</v>
      </c>
      <c r="G448" t="str">
        <v>TBD</v>
      </c>
      <c r="H448" t="str">
        <v/>
      </c>
      <c r="I448" t="str">
        <v/>
      </c>
      <c r="J448" t="str">
        <v>01/10/2026</v>
      </c>
      <c r="K448" t="str">
        <v>13:53:06</v>
      </c>
      <c r="L448">
        <v>-12.159667</v>
      </c>
      <c r="M448">
        <v>-76.95869</v>
      </c>
      <c r="N448">
        <f>HYPERLINK("https://www.google.com/maps/search/?api=1&amp;query=-12.159667,-76.95869","Avenida Miguel Iglesias, San Juan de Miraflores, Lima")</f>
      </c>
      <c r="O448" t="str">
        <v>Acelerado y giro brusco</v>
      </c>
      <c r="P448" t="str">
        <v/>
      </c>
      <c r="Q448">
        <v>2166.7</v>
      </c>
      <c r="R448" t="str">
        <v/>
      </c>
      <c r="S448">
        <v>14.2</v>
      </c>
      <c r="T448">
        <v>82.38</v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>
        <v>89</v>
      </c>
      <c r="AC448" t="str">
        <v>01/10/2026</v>
      </c>
      <c r="AD448" t="str">
        <v>13:53:04</v>
      </c>
      <c r="AE448">
        <f>IF("ONLINE"="NOGPS","GPS Antiguo","En línea")</f>
      </c>
      <c r="AF448">
        <f>IF(0=0,"Sin atender", IF(0=1,"Atendida","Atendida y Reportada"))</f>
      </c>
      <c r="AG448" t="str">
        <v/>
      </c>
      <c r="AH448" t="str">
        <v/>
      </c>
      <c r="AI448" t="str">
        <v/>
      </c>
      <c r="AJ448" t="str">
        <v/>
      </c>
      <c r="AK448" t="str">
        <v>01/10/2026 13:53:11</v>
      </c>
      <c r="AL448" t="str">
        <v>13:53:11</v>
      </c>
      <c r="AM448" t="str">
        <v/>
      </c>
    </row>
    <row r="449">
      <c r="A449">
        <v>448</v>
      </c>
      <c r="B449" t="str">
        <v>MASS BSF</v>
      </c>
      <c r="C449" t="str">
        <v>F8R-810</v>
      </c>
      <c r="D449" t="str">
        <v>F8R-810</v>
      </c>
      <c r="E449" t="str">
        <v/>
      </c>
      <c r="F449" t="str">
        <v>867806078868827</v>
      </c>
      <c r="G449" t="str">
        <v>TBD</v>
      </c>
      <c r="H449" t="str">
        <v/>
      </c>
      <c r="I449" t="str">
        <v/>
      </c>
      <c r="J449" t="str">
        <v>01/10/2026</v>
      </c>
      <c r="K449" t="str">
        <v>13:53:15</v>
      </c>
      <c r="L449">
        <v>-12.159451</v>
      </c>
      <c r="M449">
        <v>-76.95844</v>
      </c>
      <c r="N449">
        <f>HYPERLINK("https://www.google.com/maps/search/?api=1&amp;query=-12.159451,-76.95844","Avenida Miguel Iglesias, San Juan de Miraflores, Lima")</f>
      </c>
      <c r="O449" t="str">
        <v>Acelerado y giro brusco</v>
      </c>
      <c r="P449" t="str">
        <v/>
      </c>
      <c r="Q449">
        <v>2166.7</v>
      </c>
      <c r="R449" t="str">
        <v/>
      </c>
      <c r="S449">
        <v>16.4</v>
      </c>
      <c r="T449">
        <v>82.38</v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>
        <v>89</v>
      </c>
      <c r="AC449" t="str">
        <v>01/10/2026</v>
      </c>
      <c r="AD449" t="str">
        <v>13:53:13</v>
      </c>
      <c r="AE449">
        <f>IF("ONLINE"="NOGPS","GPS Antiguo","En línea")</f>
      </c>
      <c r="AF449">
        <f>IF(0=0,"Sin atender", IF(0=1,"Atendida","Atendida y Reportada"))</f>
      </c>
      <c r="AG449" t="str">
        <v/>
      </c>
      <c r="AH449" t="str">
        <v/>
      </c>
      <c r="AI449" t="str">
        <v/>
      </c>
      <c r="AJ449" t="str">
        <v/>
      </c>
      <c r="AK449" t="str">
        <v>01/10/2026 13:53:24</v>
      </c>
      <c r="AL449" t="str">
        <v>13:53:24</v>
      </c>
      <c r="AM449" t="str">
        <v/>
      </c>
    </row>
    <row r="450">
      <c r="A450">
        <v>449</v>
      </c>
      <c r="B450" t="str">
        <v>MASS BSF</v>
      </c>
      <c r="C450" t="str">
        <v>F8R-810</v>
      </c>
      <c r="D450" t="str">
        <v>F8R-810</v>
      </c>
      <c r="E450" t="str">
        <v/>
      </c>
      <c r="F450" t="str">
        <v>867806078868827</v>
      </c>
      <c r="G450" t="str">
        <v>TBD</v>
      </c>
      <c r="H450" t="str">
        <v/>
      </c>
      <c r="I450" t="str">
        <v/>
      </c>
      <c r="J450" t="str">
        <v>01/10/2026</v>
      </c>
      <c r="K450" t="str">
        <v>13:53:24</v>
      </c>
      <c r="L450">
        <v>-12.159157</v>
      </c>
      <c r="M450">
        <v>-76.95825</v>
      </c>
      <c r="N450">
        <f>HYPERLINK("https://www.google.com/maps/search/?api=1&amp;query=-12.159157,-76.95825","Jirón Francisco Bolognesi, San Juan de Miraflores, Lima")</f>
      </c>
      <c r="O450" t="str">
        <v>Acelerado y giro brusco</v>
      </c>
      <c r="P450" t="str">
        <v/>
      </c>
      <c r="Q450">
        <v>2166.8</v>
      </c>
      <c r="R450" t="str">
        <v/>
      </c>
      <c r="S450">
        <v>14.6</v>
      </c>
      <c r="T450">
        <v>82.38</v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>
        <v>85</v>
      </c>
      <c r="AC450" t="str">
        <v>01/10/2026</v>
      </c>
      <c r="AD450" t="str">
        <v>13:53:22</v>
      </c>
      <c r="AE450">
        <f>IF("ONLINE"="NOGPS","GPS Antiguo","En línea")</f>
      </c>
      <c r="AF450">
        <f>IF(0=0,"Sin atender", IF(0=1,"Atendida","Atendida y Reportada"))</f>
      </c>
      <c r="AG450" t="str">
        <v/>
      </c>
      <c r="AH450" t="str">
        <v/>
      </c>
      <c r="AI450" t="str">
        <v/>
      </c>
      <c r="AJ450" t="str">
        <v/>
      </c>
      <c r="AK450" t="str">
        <v>01/10/2026 13:53:38</v>
      </c>
      <c r="AL450" t="str">
        <v>13:53:38</v>
      </c>
      <c r="AM450" t="str">
        <v/>
      </c>
    </row>
    <row r="451">
      <c r="A451">
        <v>450</v>
      </c>
      <c r="B451" t="str">
        <v>MASS BSF</v>
      </c>
      <c r="C451" t="str">
        <v>F8R-810</v>
      </c>
      <c r="D451" t="str">
        <v>F8R-810</v>
      </c>
      <c r="E451" t="str">
        <v/>
      </c>
      <c r="F451" t="str">
        <v>867806078868827</v>
      </c>
      <c r="G451" t="str">
        <v>TBD</v>
      </c>
      <c r="H451" t="str">
        <v/>
      </c>
      <c r="I451" t="str">
        <v/>
      </c>
      <c r="J451" t="str">
        <v>01/10/2026</v>
      </c>
      <c r="K451" t="str">
        <v>13:53:34</v>
      </c>
      <c r="L451">
        <v>-12.158927</v>
      </c>
      <c r="M451">
        <v>-76.95811</v>
      </c>
      <c r="N451">
        <f>HYPERLINK("https://www.google.com/maps/search/?api=1&amp;query=-12.158927,-76.95811","Jirón Francisco Bolognesi, San Juan de Miraflores, Lima")</f>
      </c>
      <c r="O451" t="str">
        <v>Bache</v>
      </c>
      <c r="P451" t="str">
        <v/>
      </c>
      <c r="Q451">
        <v>2166.8</v>
      </c>
      <c r="R451" t="str">
        <v/>
      </c>
      <c r="S451">
        <v>8.7</v>
      </c>
      <c r="T451">
        <v>82.38</v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>
        <v>85</v>
      </c>
      <c r="AC451" t="str">
        <v>01/10/2026</v>
      </c>
      <c r="AD451" t="str">
        <v>13:53:31</v>
      </c>
      <c r="AE451">
        <f>IF("ONLINE"="NOGPS","GPS Antiguo","En línea")</f>
      </c>
      <c r="AF451">
        <f>IF(0=0,"Sin atender", IF(0=1,"Atendida","Atendida y Reportada"))</f>
      </c>
      <c r="AG451" t="str">
        <v/>
      </c>
      <c r="AH451" t="str">
        <v/>
      </c>
      <c r="AI451" t="str">
        <v/>
      </c>
      <c r="AJ451" t="str">
        <v/>
      </c>
      <c r="AK451" t="str">
        <v>01/10/2026 13:53:43</v>
      </c>
      <c r="AL451" t="str">
        <v>13:53:43</v>
      </c>
      <c r="AM451" t="str">
        <v/>
      </c>
    </row>
    <row r="452">
      <c r="A452">
        <v>451</v>
      </c>
      <c r="B452" t="str">
        <v>MASS BSF</v>
      </c>
      <c r="C452" t="str">
        <v>F8R-810</v>
      </c>
      <c r="D452" t="str">
        <v>F8R-810</v>
      </c>
      <c r="E452" t="str">
        <v/>
      </c>
      <c r="F452" t="str">
        <v>867806078868827</v>
      </c>
      <c r="G452" t="str">
        <v>TBD</v>
      </c>
      <c r="H452" t="str">
        <v/>
      </c>
      <c r="I452" t="str">
        <v/>
      </c>
      <c r="J452" t="str">
        <v>01/10/2026</v>
      </c>
      <c r="K452" t="str">
        <v>13:54:12</v>
      </c>
      <c r="L452">
        <v>-12.158575</v>
      </c>
      <c r="M452">
        <v>-76.957756</v>
      </c>
      <c r="N452">
        <f>HYPERLINK("https://www.google.com/maps/search/?api=1&amp;query=-12.158575,-76.957756","Jirón Francisco Bolognesi, San Juan de Miraflores, Lima")</f>
      </c>
      <c r="O452" t="str">
        <v>Acelerado y giro brusco</v>
      </c>
      <c r="P452" t="str">
        <v/>
      </c>
      <c r="Q452">
        <v>2166.9</v>
      </c>
      <c r="R452" t="str">
        <v/>
      </c>
      <c r="S452">
        <v>3.3</v>
      </c>
      <c r="T452">
        <v>82.38</v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>
        <v>85</v>
      </c>
      <c r="AC452" t="str">
        <v>01/10/2026</v>
      </c>
      <c r="AD452" t="str">
        <v>13:54:09</v>
      </c>
      <c r="AE452">
        <f>IF("ONLINE"="NOGPS","GPS Antiguo","En línea")</f>
      </c>
      <c r="AF452">
        <f>IF(0=0,"Sin atender", IF(0=1,"Atendida","Atendida y Reportada"))</f>
      </c>
      <c r="AG452" t="str">
        <v/>
      </c>
      <c r="AH452" t="str">
        <v/>
      </c>
      <c r="AI452" t="str">
        <v/>
      </c>
      <c r="AJ452" t="str">
        <v/>
      </c>
      <c r="AK452" t="str">
        <v>01/10/2026 13:54:36</v>
      </c>
      <c r="AL452" t="str">
        <v>13:54:36</v>
      </c>
      <c r="AM452" t="str">
        <v/>
      </c>
    </row>
    <row r="453">
      <c r="A453">
        <v>452</v>
      </c>
      <c r="B453" t="str">
        <v>MASS BSF</v>
      </c>
      <c r="C453" t="str">
        <v>F8R-810</v>
      </c>
      <c r="D453" t="str">
        <v>F8R-810</v>
      </c>
      <c r="E453" t="str">
        <v/>
      </c>
      <c r="F453" t="str">
        <v>867806078868827</v>
      </c>
      <c r="G453" t="str">
        <v>TBD</v>
      </c>
      <c r="H453" t="str">
        <v/>
      </c>
      <c r="I453" t="str">
        <v xml:space="preserve"> </v>
      </c>
      <c r="J453" t="str">
        <v>01/10/2026</v>
      </c>
      <c r="K453" t="str">
        <v>13:54:12</v>
      </c>
      <c r="L453">
        <v>-12.158575</v>
      </c>
      <c r="M453">
        <v>-76.957756</v>
      </c>
      <c r="N453">
        <f>HYPERLINK("https://www.google.com/maps/search/?api=1&amp;query=-12.158575,-76.957756","Jirón Francisco Bolognesi, San Juan de Miraflores, Lima")</f>
      </c>
      <c r="O453" t="str">
        <v>Llegó a la zona</v>
      </c>
      <c r="P453" t="str">
        <v/>
      </c>
      <c r="Q453">
        <v>2166.9</v>
      </c>
      <c r="R453" t="str">
        <v>1226-DEFENSOR1SJM MS</v>
      </c>
      <c r="S453">
        <v>3.3</v>
      </c>
      <c r="T453">
        <v>82.38</v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>
        <v>85</v>
      </c>
      <c r="AC453" t="str">
        <v>01/10/2026</v>
      </c>
      <c r="AD453" t="str">
        <v>13:54:09</v>
      </c>
      <c r="AE453">
        <f>IF("ONLINE"="NOGPS","GPS Antiguo","En línea")</f>
      </c>
      <c r="AF453">
        <f>IF(0=0,"Sin atender", IF(0=1,"Atendida","Atendida y Reportada"))</f>
      </c>
      <c r="AG453" t="str">
        <v/>
      </c>
      <c r="AH453" t="str">
        <v/>
      </c>
      <c r="AI453" t="str">
        <v/>
      </c>
      <c r="AJ453" t="str">
        <v/>
      </c>
      <c r="AK453" t="str">
        <v>01/10/2026 13:54:39</v>
      </c>
      <c r="AL453" t="str">
        <v>13:54:39</v>
      </c>
      <c r="AM453" t="str">
        <v/>
      </c>
    </row>
    <row r="454">
      <c r="A454">
        <v>453</v>
      </c>
      <c r="B454" t="str">
        <v>MASS BSF</v>
      </c>
      <c r="C454" t="str">
        <v>F8R-810</v>
      </c>
      <c r="D454" t="str">
        <v>F8R-810</v>
      </c>
      <c r="E454" t="str">
        <v/>
      </c>
      <c r="F454" t="str">
        <v>867806078868827</v>
      </c>
      <c r="G454" t="str">
        <v>TBD</v>
      </c>
      <c r="H454" t="str">
        <v/>
      </c>
      <c r="I454" t="str">
        <v xml:space="preserve"> </v>
      </c>
      <c r="J454" t="str">
        <v>01/10/2026</v>
      </c>
      <c r="K454" t="str">
        <v>13:54:20</v>
      </c>
      <c r="L454">
        <v>-12.158479</v>
      </c>
      <c r="M454">
        <v>-76.95767</v>
      </c>
      <c r="N454">
        <f>HYPERLINK("https://www.google.com/maps/search/?api=1&amp;query=-12.158479,-76.95767","Avenida Nicolás de Piérola, San Juan de Miraflores, Lima")</f>
      </c>
      <c r="O454" t="str">
        <v>Llegó a la zona</v>
      </c>
      <c r="P454" t="str">
        <v/>
      </c>
      <c r="Q454">
        <v>2166.9</v>
      </c>
      <c r="R454" t="str">
        <v>1226-DEFENSOR1SJM MS</v>
      </c>
      <c r="S454">
        <v>7.4</v>
      </c>
      <c r="T454">
        <v>82.38</v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>
        <v>87</v>
      </c>
      <c r="AC454" t="str">
        <v>01/10/2026</v>
      </c>
      <c r="AD454" t="str">
        <v>13:54:18</v>
      </c>
      <c r="AE454">
        <f>IF("ONLINE"="NOGPS","GPS Antiguo","En línea")</f>
      </c>
      <c r="AF454">
        <f>IF(0=0,"Sin atender", IF(0=1,"Atendida","Atendida y Reportada"))</f>
      </c>
      <c r="AG454" t="str">
        <v/>
      </c>
      <c r="AH454" t="str">
        <v/>
      </c>
      <c r="AI454" t="str">
        <v/>
      </c>
      <c r="AJ454" t="str">
        <v/>
      </c>
      <c r="AK454" t="str">
        <v>01/10/2026 13:54:28</v>
      </c>
      <c r="AL454" t="str">
        <v>13:54:28</v>
      </c>
      <c r="AM454" t="str">
        <v/>
      </c>
    </row>
    <row r="455">
      <c r="A455">
        <v>454</v>
      </c>
      <c r="B455" t="str">
        <v>MASS BSF</v>
      </c>
      <c r="C455" t="str">
        <v>F8R-810</v>
      </c>
      <c r="D455" t="str">
        <v>F8R-810</v>
      </c>
      <c r="E455" t="str">
        <v/>
      </c>
      <c r="F455" t="str">
        <v>867806078868827</v>
      </c>
      <c r="G455" t="str">
        <v>TBD</v>
      </c>
      <c r="H455" t="str">
        <v/>
      </c>
      <c r="I455" t="str">
        <v xml:space="preserve"> </v>
      </c>
      <c r="J455" t="str">
        <v>01/10/2026</v>
      </c>
      <c r="K455" t="str">
        <v>13:54:21</v>
      </c>
      <c r="L455">
        <v>-12.158473</v>
      </c>
      <c r="M455">
        <v>-76.95765</v>
      </c>
      <c r="N455">
        <f>HYPERLINK("https://www.google.com/maps/search/?api=1&amp;query=-12.158473,-76.95765","Avenida Nicolás de Piérola, San Juan de Miraflores, Lima")</f>
      </c>
      <c r="O455" t="str">
        <v>Salió de zona</v>
      </c>
      <c r="P455" t="str">
        <v/>
      </c>
      <c r="Q455">
        <v>2166.9</v>
      </c>
      <c r="R455" t="str">
        <v>1226-DEFENSOR1SJM MS</v>
      </c>
      <c r="S455">
        <v>7</v>
      </c>
      <c r="T455">
        <v>82.38</v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>
        <v>85</v>
      </c>
      <c r="AC455" t="str">
        <v>01/10/2026</v>
      </c>
      <c r="AD455" t="str">
        <v>13:54:19</v>
      </c>
      <c r="AE455">
        <f>IF("ONLINE"="NOGPS","GPS Antiguo","En línea")</f>
      </c>
      <c r="AF455">
        <f>IF(0=0,"Sin atender", IF(0=1,"Atendida","Atendida y Reportada"))</f>
      </c>
      <c r="AG455" t="str">
        <v/>
      </c>
      <c r="AH455" t="str">
        <v/>
      </c>
      <c r="AI455" t="str">
        <v/>
      </c>
      <c r="AJ455" t="str">
        <v/>
      </c>
      <c r="AK455" t="str">
        <v>01/10/2026 13:54:35</v>
      </c>
      <c r="AL455" t="str">
        <v>13:54:35</v>
      </c>
      <c r="AM455" t="str">
        <v/>
      </c>
    </row>
    <row r="456">
      <c r="A456">
        <v>455</v>
      </c>
      <c r="B456" t="str">
        <v>MASS BSF</v>
      </c>
      <c r="C456" t="str">
        <v>F8R-810</v>
      </c>
      <c r="D456" t="str">
        <v>F8R-810</v>
      </c>
      <c r="E456" t="str">
        <v/>
      </c>
      <c r="F456" t="str">
        <v>867806078868827</v>
      </c>
      <c r="G456" t="str">
        <v>TBD</v>
      </c>
      <c r="H456" t="str">
        <v/>
      </c>
      <c r="I456" t="str">
        <v/>
      </c>
      <c r="J456" t="str">
        <v>01/10/2026</v>
      </c>
      <c r="K456" t="str">
        <v>13:54:21</v>
      </c>
      <c r="L456">
        <v>-12.158473</v>
      </c>
      <c r="M456">
        <v>-76.95765</v>
      </c>
      <c r="N456">
        <f>HYPERLINK("https://www.google.com/maps/search/?api=1&amp;query=-12.158473,-76.95765","Avenida Nicolás de Piérola, San Juan de Miraflores, Lima")</f>
      </c>
      <c r="O456" t="str">
        <v>Aceleración brusca</v>
      </c>
      <c r="P456" t="str">
        <v>CMT-910</v>
      </c>
      <c r="Q456">
        <v>2166.9</v>
      </c>
      <c r="R456" t="str">
        <v/>
      </c>
      <c r="S456">
        <v>7</v>
      </c>
      <c r="T456">
        <v>82.38</v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>
        <v>85</v>
      </c>
      <c r="AC456" t="str">
        <v>01/10/2026</v>
      </c>
      <c r="AD456" t="str">
        <v>13:54:19</v>
      </c>
      <c r="AE456">
        <f>IF("ONLINE"="NOGPS","GPS Antiguo","En línea")</f>
      </c>
      <c r="AF456">
        <f>IF(0=0,"Sin atender", IF(0=1,"Atendida","Atendida y Reportada"))</f>
      </c>
      <c r="AG456" t="str">
        <v/>
      </c>
      <c r="AH456" t="str">
        <v/>
      </c>
      <c r="AI456" t="str">
        <v/>
      </c>
      <c r="AJ456" t="str">
        <v/>
      </c>
      <c r="AK456" t="str">
        <v>01/10/2026 13:54:36</v>
      </c>
      <c r="AL456" t="str">
        <v>13:54:36</v>
      </c>
      <c r="AM456" t="str">
        <v/>
      </c>
    </row>
    <row r="457">
      <c r="A457">
        <v>456</v>
      </c>
      <c r="B457" t="str">
        <v>MASS BSF</v>
      </c>
      <c r="C457" t="str">
        <v>F8R-810</v>
      </c>
      <c r="D457" t="str">
        <v>F8R-810</v>
      </c>
      <c r="E457" t="str">
        <v/>
      </c>
      <c r="F457" t="str">
        <v>867806078868827</v>
      </c>
      <c r="G457" t="str">
        <v>TBD</v>
      </c>
      <c r="H457" t="str">
        <v/>
      </c>
      <c r="I457" t="str">
        <v/>
      </c>
      <c r="J457" t="str">
        <v>01/10/2026</v>
      </c>
      <c r="K457" t="str">
        <v>13:54:29</v>
      </c>
      <c r="L457">
        <v>-12.158468</v>
      </c>
      <c r="M457">
        <v>-76.957596</v>
      </c>
      <c r="N457">
        <f>HYPERLINK("https://www.google.com/maps/search/?api=1&amp;query=-12.158468,-76.957596","Avenida Nicolás de Piérola, Villa María del Triunfo, Lima")</f>
      </c>
      <c r="O457" t="str">
        <v>Acelerado y giro brusco</v>
      </c>
      <c r="P457" t="str">
        <v/>
      </c>
      <c r="Q457">
        <v>2166.9</v>
      </c>
      <c r="R457" t="str">
        <v/>
      </c>
      <c r="S457">
        <v>2.4</v>
      </c>
      <c r="T457">
        <v>82.38</v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>
        <v>85</v>
      </c>
      <c r="AC457" t="str">
        <v>01/10/2026</v>
      </c>
      <c r="AD457" t="str">
        <v>13:54:26</v>
      </c>
      <c r="AE457">
        <f>IF("ONLINE"="NOGPS","GPS Antiguo","En línea")</f>
      </c>
      <c r="AF457">
        <f>IF(0=0,"Sin atender", IF(0=1,"Atendida","Atendida y Reportada"))</f>
      </c>
      <c r="AG457" t="str">
        <v/>
      </c>
      <c r="AH457" t="str">
        <v/>
      </c>
      <c r="AI457" t="str">
        <v/>
      </c>
      <c r="AJ457" t="str">
        <v/>
      </c>
      <c r="AK457" t="str">
        <v>01/10/2026 13:54:38</v>
      </c>
      <c r="AL457" t="str">
        <v>13:54:38</v>
      </c>
      <c r="AM457" t="str">
        <v/>
      </c>
    </row>
    <row r="458">
      <c r="A458">
        <v>457</v>
      </c>
      <c r="B458" t="str">
        <v>MASS BSF</v>
      </c>
      <c r="C458" t="str">
        <v>F8R-810</v>
      </c>
      <c r="D458" t="str">
        <v>F8R-810</v>
      </c>
      <c r="E458" t="str">
        <v/>
      </c>
      <c r="F458" t="str">
        <v>867806078868827</v>
      </c>
      <c r="G458" t="str">
        <v>TBD</v>
      </c>
      <c r="H458" t="str">
        <v/>
      </c>
      <c r="I458" t="str">
        <v xml:space="preserve"> </v>
      </c>
      <c r="J458" t="str">
        <v>01/10/2026</v>
      </c>
      <c r="K458" t="str">
        <v>13:54:30</v>
      </c>
      <c r="L458">
        <v>-12.158499</v>
      </c>
      <c r="M458">
        <v>-76.95757</v>
      </c>
      <c r="N458">
        <f>HYPERLINK("https://www.google.com/maps/search/?api=1&amp;query=-12.158499,-76.95757","Avenida Nicolás de Piérola, Villa María del Triunfo, Lima")</f>
      </c>
      <c r="O458" t="str">
        <v>Salió de zona</v>
      </c>
      <c r="P458" t="str">
        <v/>
      </c>
      <c r="Q458">
        <v>2166.9</v>
      </c>
      <c r="R458" t="str">
        <v>1226-DEFENSOR1SJM MS</v>
      </c>
      <c r="S458">
        <v>6.8</v>
      </c>
      <c r="T458">
        <v>82.38</v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>
        <v>92</v>
      </c>
      <c r="AC458" t="str">
        <v>01/10/2026</v>
      </c>
      <c r="AD458" t="str">
        <v>13:54:28</v>
      </c>
      <c r="AE458">
        <f>IF("ONLINE"="NOGPS","GPS Antiguo","En línea")</f>
      </c>
      <c r="AF458">
        <f>IF(0=0,"Sin atender", IF(0=1,"Atendida","Atendida y Reportada"))</f>
      </c>
      <c r="AG458" t="str">
        <v/>
      </c>
      <c r="AH458" t="str">
        <v/>
      </c>
      <c r="AI458" t="str">
        <v/>
      </c>
      <c r="AJ458" t="str">
        <v/>
      </c>
      <c r="AK458" t="str">
        <v>01/10/2026 13:54:41</v>
      </c>
      <c r="AL458" t="str">
        <v>13:54:41</v>
      </c>
      <c r="AM458" t="str">
        <v/>
      </c>
    </row>
    <row r="459">
      <c r="A459">
        <v>458</v>
      </c>
      <c r="B459" t="str">
        <v>MASS BSF</v>
      </c>
      <c r="C459" t="str">
        <v>F8R-810</v>
      </c>
      <c r="D459" t="str">
        <v>F8R-810</v>
      </c>
      <c r="E459" t="str">
        <v/>
      </c>
      <c r="F459" t="str">
        <v>867806078868827</v>
      </c>
      <c r="G459" t="str">
        <v>TBD</v>
      </c>
      <c r="H459" t="str">
        <v/>
      </c>
      <c r="I459" t="str">
        <v/>
      </c>
      <c r="J459" t="str">
        <v>01/10/2026</v>
      </c>
      <c r="K459" t="str">
        <v>13:54:53</v>
      </c>
      <c r="L459">
        <v>-12.159264</v>
      </c>
      <c r="M459">
        <v>-76.95671</v>
      </c>
      <c r="N459">
        <f>HYPERLINK("https://www.google.com/maps/search/?api=1&amp;query=-12.159264,-76.95671","Avenida Nicolás de Piérola, Villa María del Triunfo, Lima")</f>
      </c>
      <c r="O459" t="str">
        <v>Acelerado y giro brusco</v>
      </c>
      <c r="P459" t="str">
        <v/>
      </c>
      <c r="Q459">
        <v>2167</v>
      </c>
      <c r="R459" t="str">
        <v/>
      </c>
      <c r="S459">
        <v>16.4</v>
      </c>
      <c r="T459">
        <v>82.38</v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>
        <v>85</v>
      </c>
      <c r="AC459" t="str">
        <v>01/10/2026</v>
      </c>
      <c r="AD459" t="str">
        <v>13:54:50</v>
      </c>
      <c r="AE459">
        <f>IF("ONLINE"="NOGPS","GPS Antiguo","En línea")</f>
      </c>
      <c r="AF459">
        <f>IF(0=0,"Sin atender", IF(0=1,"Atendida","Atendida y Reportada"))</f>
      </c>
      <c r="AG459" t="str">
        <v/>
      </c>
      <c r="AH459" t="str">
        <v/>
      </c>
      <c r="AI459" t="str">
        <v/>
      </c>
      <c r="AJ459" t="str">
        <v/>
      </c>
      <c r="AK459" t="str">
        <v>01/10/2026 13:55:03</v>
      </c>
      <c r="AL459" t="str">
        <v>13:55:03</v>
      </c>
      <c r="AM459" t="str">
        <v/>
      </c>
    </row>
    <row r="460">
      <c r="A460">
        <v>459</v>
      </c>
      <c r="B460" t="str">
        <v>MASS BSF</v>
      </c>
      <c r="C460" t="str">
        <v>F8R-810</v>
      </c>
      <c r="D460" t="str">
        <v>F8R-810</v>
      </c>
      <c r="E460" t="str">
        <v/>
      </c>
      <c r="F460" t="str">
        <v>867806078868827</v>
      </c>
      <c r="G460" t="str">
        <v>TBD</v>
      </c>
      <c r="H460" t="str">
        <v/>
      </c>
      <c r="I460" t="str">
        <v/>
      </c>
      <c r="J460" t="str">
        <v>01/10/2026</v>
      </c>
      <c r="K460" t="str">
        <v>13:58:07</v>
      </c>
      <c r="L460">
        <v>-12.159512</v>
      </c>
      <c r="M460">
        <v>-76.95643</v>
      </c>
      <c r="N460">
        <f>HYPERLINK("https://www.google.com/maps/search/?api=1&amp;query=-12.159512,-76.95643","Avenida Nicolás de Piérola, Villa María del Triunfo, Lima")</f>
      </c>
      <c r="O460" t="str">
        <v>Inicio de ralentí</v>
      </c>
      <c r="P460" t="str">
        <v>Vehículo Detenido</v>
      </c>
      <c r="Q460">
        <v>2167.1</v>
      </c>
      <c r="R460" t="str">
        <v/>
      </c>
      <c r="S460">
        <v>0</v>
      </c>
      <c r="T460">
        <v>82.38</v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>
        <v>85</v>
      </c>
      <c r="AC460" t="str">
        <v>01/10/2026</v>
      </c>
      <c r="AD460" t="str">
        <v>13:58:04</v>
      </c>
      <c r="AE460">
        <f>IF("ONLINE"="NOGPS","GPS Antiguo","En línea")</f>
      </c>
      <c r="AF460">
        <f>IF(0=0,"Sin atender", IF(0=1,"Atendida","Atendida y Reportada"))</f>
      </c>
      <c r="AG460" t="str">
        <v/>
      </c>
      <c r="AH460" t="str">
        <v/>
      </c>
      <c r="AI460" t="str">
        <v/>
      </c>
      <c r="AJ460" t="str">
        <v/>
      </c>
      <c r="AK460" t="str">
        <v>01/10/2026 13:58:16</v>
      </c>
      <c r="AL460" t="str">
        <v>13:58:16</v>
      </c>
      <c r="AM460" t="str">
        <v/>
      </c>
    </row>
    <row r="461">
      <c r="A461">
        <v>460</v>
      </c>
      <c r="B461" t="str">
        <v>MASS BSF</v>
      </c>
      <c r="C461" t="str">
        <v>F8R-810</v>
      </c>
      <c r="D461" t="str">
        <v>F8R-810</v>
      </c>
      <c r="E461" t="str">
        <v/>
      </c>
      <c r="F461" t="str">
        <v>867806078868827</v>
      </c>
      <c r="G461" t="str">
        <v>TBD</v>
      </c>
      <c r="H461" t="str">
        <v/>
      </c>
      <c r="I461" t="str">
        <v/>
      </c>
      <c r="J461" t="str">
        <v>01/10/2026</v>
      </c>
      <c r="K461" t="str">
        <v>13:58:18</v>
      </c>
      <c r="L461">
        <v>-12.15955</v>
      </c>
      <c r="M461">
        <v>-76.95634</v>
      </c>
      <c r="N461">
        <f>HYPERLINK("https://www.google.com/maps/search/?api=1&amp;query=-12.15955,-76.95634","Avenida Nicolás de Piérola, Villa María del Triunfo, Lima")</f>
      </c>
      <c r="O461" t="str">
        <v>Fin de ralentí</v>
      </c>
      <c r="P461" t="str">
        <v/>
      </c>
      <c r="Q461">
        <v>2167.1</v>
      </c>
      <c r="R461" t="str">
        <v/>
      </c>
      <c r="S461">
        <v>5.7</v>
      </c>
      <c r="T461">
        <v>82.38</v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>
        <v>85</v>
      </c>
      <c r="AC461" t="str">
        <v>01/10/2026</v>
      </c>
      <c r="AD461" t="str">
        <v>13:58:16</v>
      </c>
      <c r="AE461">
        <f>IF("ONLINE"="NOGPS","GPS Antiguo","En línea")</f>
      </c>
      <c r="AF461">
        <f>IF(0=0,"Sin atender", IF(0=1,"Atendida","Atendida y Reportada"))</f>
      </c>
      <c r="AG461" t="str">
        <v/>
      </c>
      <c r="AH461" t="str">
        <v/>
      </c>
      <c r="AI461" t="str">
        <v/>
      </c>
      <c r="AJ461" t="str">
        <v/>
      </c>
      <c r="AK461" t="str">
        <v>01/10/2026 13:58:26</v>
      </c>
      <c r="AL461" t="str">
        <v>13:58:26</v>
      </c>
      <c r="AM461" t="str">
        <v/>
      </c>
    </row>
    <row r="462">
      <c r="A462">
        <v>461</v>
      </c>
      <c r="B462" t="str">
        <v>MASS BSF</v>
      </c>
      <c r="C462" t="str">
        <v>F8R-810</v>
      </c>
      <c r="D462" t="str">
        <v>F8R-810</v>
      </c>
      <c r="E462" t="str">
        <v/>
      </c>
      <c r="F462" t="str">
        <v>867806078868827</v>
      </c>
      <c r="G462" t="str">
        <v>TBD</v>
      </c>
      <c r="H462" t="str">
        <v/>
      </c>
      <c r="I462" t="str">
        <v/>
      </c>
      <c r="J462" t="str">
        <v>01/10/2026</v>
      </c>
      <c r="K462" t="str">
        <v>13:58:23</v>
      </c>
      <c r="L462">
        <v>-12.159582</v>
      </c>
      <c r="M462">
        <v>-76.95629</v>
      </c>
      <c r="N462">
        <f>HYPERLINK("https://www.google.com/maps/search/?api=1&amp;query=-12.159582,-76.95629","Avenida Nicolás de Piérola, Villa María del Triunfo, Lima")</f>
      </c>
      <c r="O462" t="str">
        <v>Acelerado y giro brusco</v>
      </c>
      <c r="P462" t="str">
        <v/>
      </c>
      <c r="Q462">
        <v>2167.1</v>
      </c>
      <c r="R462" t="str">
        <v/>
      </c>
      <c r="S462">
        <v>5.5</v>
      </c>
      <c r="T462">
        <v>82.38</v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>
        <v>85</v>
      </c>
      <c r="AC462" t="str">
        <v>01/10/2026</v>
      </c>
      <c r="AD462" t="str">
        <v>13:58:20</v>
      </c>
      <c r="AE462">
        <f>IF("ONLINE"="NOGPS","GPS Antiguo","En línea")</f>
      </c>
      <c r="AF462">
        <f>IF(0=0,"Sin atender", IF(0=1,"Atendida","Atendida y Reportada"))</f>
      </c>
      <c r="AG462" t="str">
        <v/>
      </c>
      <c r="AH462" t="str">
        <v/>
      </c>
      <c r="AI462" t="str">
        <v/>
      </c>
      <c r="AJ462" t="str">
        <v/>
      </c>
      <c r="AK462" t="str">
        <v>01/10/2026 13:58:27</v>
      </c>
      <c r="AL462" t="str">
        <v>13:58:27</v>
      </c>
      <c r="AM462" t="str">
        <v/>
      </c>
    </row>
    <row r="463">
      <c r="A463">
        <v>462</v>
      </c>
      <c r="B463" t="str">
        <v>MASS BSF</v>
      </c>
      <c r="C463" t="str">
        <v>F8R-810</v>
      </c>
      <c r="D463" t="str">
        <v>F8R-810</v>
      </c>
      <c r="E463" t="str">
        <v/>
      </c>
      <c r="F463" t="str">
        <v>867806078868827</v>
      </c>
      <c r="G463" t="str">
        <v>TBD</v>
      </c>
      <c r="H463" t="str">
        <v/>
      </c>
      <c r="I463" t="str">
        <v/>
      </c>
      <c r="J463" t="str">
        <v>01/10/2026</v>
      </c>
      <c r="K463" t="str">
        <v>13:58:32</v>
      </c>
      <c r="L463">
        <v>-12.159707</v>
      </c>
      <c r="M463">
        <v>-76.95613</v>
      </c>
      <c r="N463">
        <f>HYPERLINK("https://www.google.com/maps/search/?api=1&amp;query=-12.159707,-76.95613","Avenida Nicolás de Piérola, Villa María del Triunfo, Lima")</f>
      </c>
      <c r="O463" t="str">
        <v>Acelerado y giro brusco</v>
      </c>
      <c r="P463" t="str">
        <v/>
      </c>
      <c r="Q463">
        <v>2167.1</v>
      </c>
      <c r="R463" t="str">
        <v/>
      </c>
      <c r="S463">
        <v>15.5</v>
      </c>
      <c r="T463">
        <v>82.38</v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>
        <v>85</v>
      </c>
      <c r="AC463" t="str">
        <v>01/10/2026</v>
      </c>
      <c r="AD463" t="str">
        <v>13:58:29</v>
      </c>
      <c r="AE463">
        <f>IF("ONLINE"="NOGPS","GPS Antiguo","En línea")</f>
      </c>
      <c r="AF463">
        <f>IF(0=0,"Sin atender", IF(0=1,"Atendida","Atendida y Reportada"))</f>
      </c>
      <c r="AG463" t="str">
        <v/>
      </c>
      <c r="AH463" t="str">
        <v/>
      </c>
      <c r="AI463" t="str">
        <v/>
      </c>
      <c r="AJ463" t="str">
        <v/>
      </c>
      <c r="AK463" t="str">
        <v>01/10/2026 13:58:45</v>
      </c>
      <c r="AL463" t="str">
        <v>13:58:45</v>
      </c>
      <c r="AM463" t="str">
        <v/>
      </c>
    </row>
    <row r="464">
      <c r="A464">
        <v>463</v>
      </c>
      <c r="B464" t="str">
        <v>MASS BSF</v>
      </c>
      <c r="C464" t="str">
        <v>F8R-810</v>
      </c>
      <c r="D464" t="str">
        <v>F8R-810</v>
      </c>
      <c r="E464" t="str">
        <v/>
      </c>
      <c r="F464" t="str">
        <v>867806078868827</v>
      </c>
      <c r="G464" t="str">
        <v>TBD</v>
      </c>
      <c r="H464" t="str">
        <v/>
      </c>
      <c r="I464" t="str">
        <v/>
      </c>
      <c r="J464" t="str">
        <v>01/10/2026</v>
      </c>
      <c r="K464" t="str">
        <v>13:58:43</v>
      </c>
      <c r="L464">
        <v>-12.159985</v>
      </c>
      <c r="M464">
        <v>-76.955826</v>
      </c>
      <c r="N464">
        <f>HYPERLINK("https://www.google.com/maps/search/?api=1&amp;query=-12.159985,-76.955826","Avenida Nicolás de Piérola, Villa María del Triunfo, Lima")</f>
      </c>
      <c r="O464" t="str">
        <v>Acelerado y giro brusco</v>
      </c>
      <c r="P464" t="str">
        <v/>
      </c>
      <c r="Q464">
        <v>2167.1</v>
      </c>
      <c r="R464" t="str">
        <v/>
      </c>
      <c r="S464">
        <v>16.1</v>
      </c>
      <c r="T464">
        <v>82.38</v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>
        <v>85</v>
      </c>
      <c r="AC464" t="str">
        <v>01/10/2026</v>
      </c>
      <c r="AD464" t="str">
        <v>13:58:40</v>
      </c>
      <c r="AE464">
        <f>IF("ONLINE"="NOGPS","GPS Antiguo","En línea")</f>
      </c>
      <c r="AF464">
        <f>IF(0=0,"Sin atender", IF(0=1,"Atendida","Atendida y Reportada"))</f>
      </c>
      <c r="AG464" t="str">
        <v/>
      </c>
      <c r="AH464" t="str">
        <v/>
      </c>
      <c r="AI464" t="str">
        <v/>
      </c>
      <c r="AJ464" t="str">
        <v/>
      </c>
      <c r="AK464" t="str">
        <v>01/10/2026 13:58:47</v>
      </c>
      <c r="AL464" t="str">
        <v>13:58:47</v>
      </c>
      <c r="AM464" t="str">
        <v/>
      </c>
    </row>
    <row r="465">
      <c r="A465">
        <v>464</v>
      </c>
      <c r="B465" t="str">
        <v>MASS BSF</v>
      </c>
      <c r="C465" t="str">
        <v>F8R-810</v>
      </c>
      <c r="D465" t="str">
        <v>F8R-810</v>
      </c>
      <c r="E465" t="str">
        <v/>
      </c>
      <c r="F465" t="str">
        <v>867806078868827</v>
      </c>
      <c r="G465" t="str">
        <v>TBD</v>
      </c>
      <c r="H465" t="str">
        <v/>
      </c>
      <c r="I465" t="str">
        <v/>
      </c>
      <c r="J465" t="str">
        <v>01/10/2026</v>
      </c>
      <c r="K465" t="str">
        <v>13:58:55</v>
      </c>
      <c r="L465">
        <v>-12.159965</v>
      </c>
      <c r="M465">
        <v>-76.955536</v>
      </c>
      <c r="N465">
        <f>HYPERLINK("https://www.google.com/maps/search/?api=1&amp;query=-12.159965,-76.955536","Avenida Nicolás de Piérola, Villa María del Triunfo, Lima")</f>
      </c>
      <c r="O465" t="str">
        <v>Acelerado y giro brusco</v>
      </c>
      <c r="P465" t="str">
        <v/>
      </c>
      <c r="Q465">
        <v>2167.2</v>
      </c>
      <c r="R465" t="str">
        <v/>
      </c>
      <c r="S465">
        <v>10</v>
      </c>
      <c r="T465">
        <v>82.38</v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>
        <v>85</v>
      </c>
      <c r="AC465" t="str">
        <v>01/10/2026</v>
      </c>
      <c r="AD465" t="str">
        <v>13:58:52</v>
      </c>
      <c r="AE465">
        <f>IF("ONLINE"="NOGPS","GPS Antiguo","En línea")</f>
      </c>
      <c r="AF465">
        <f>IF(0=0,"Sin atender", IF(0=1,"Atendida","Atendida y Reportada"))</f>
      </c>
      <c r="AG465" t="str">
        <v/>
      </c>
      <c r="AH465" t="str">
        <v/>
      </c>
      <c r="AI465" t="str">
        <v/>
      </c>
      <c r="AJ465" t="str">
        <v/>
      </c>
      <c r="AK465" t="str">
        <v>01/10/2026 13:59:01</v>
      </c>
      <c r="AL465" t="str">
        <v>13:59:01</v>
      </c>
      <c r="AM465" t="str">
        <v/>
      </c>
    </row>
    <row r="466">
      <c r="A466">
        <v>465</v>
      </c>
      <c r="B466" t="str">
        <v>MASS BSF</v>
      </c>
      <c r="C466" t="str">
        <v>F8R-810</v>
      </c>
      <c r="D466" t="str">
        <v>F8R-810</v>
      </c>
      <c r="E466" t="str">
        <v/>
      </c>
      <c r="F466" t="str">
        <v>867806078868827</v>
      </c>
      <c r="G466" t="str">
        <v>TBD</v>
      </c>
      <c r="H466" t="str">
        <v/>
      </c>
      <c r="I466" t="str">
        <v xml:space="preserve"> </v>
      </c>
      <c r="J466" t="str">
        <v>01/10/2026</v>
      </c>
      <c r="K466" t="str">
        <v>13:58:55</v>
      </c>
      <c r="L466">
        <v>-12.159965</v>
      </c>
      <c r="M466">
        <v>-76.955536</v>
      </c>
      <c r="N466">
        <f>HYPERLINK("https://www.google.com/maps/search/?api=1&amp;query=-12.159965,-76.955536","Avenida Nicolás de Piérola, Villa María del Triunfo, Lima")</f>
      </c>
      <c r="O466" t="str">
        <v>Llegó a la zona</v>
      </c>
      <c r="P466" t="str">
        <v/>
      </c>
      <c r="Q466">
        <v>2167.2</v>
      </c>
      <c r="R466" t="str">
        <v>1160-ALLENDE1VMT MS</v>
      </c>
      <c r="S466">
        <v>10</v>
      </c>
      <c r="T466">
        <v>82.38</v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>
        <v>85</v>
      </c>
      <c r="AC466" t="str">
        <v>01/10/2026</v>
      </c>
      <c r="AD466" t="str">
        <v>13:58:52</v>
      </c>
      <c r="AE466">
        <f>IF("ONLINE"="NOGPS","GPS Antiguo","En línea")</f>
      </c>
      <c r="AF466">
        <f>IF(0=0,"Sin atender", IF(0=1,"Atendida","Atendida y Reportada"))</f>
      </c>
      <c r="AG466" t="str">
        <v/>
      </c>
      <c r="AH466" t="str">
        <v/>
      </c>
      <c r="AI466" t="str">
        <v/>
      </c>
      <c r="AJ466" t="str">
        <v/>
      </c>
      <c r="AK466" t="str">
        <v>01/10/2026 13:59:07</v>
      </c>
      <c r="AL466" t="str">
        <v>13:59:07</v>
      </c>
      <c r="AM466" t="str">
        <v/>
      </c>
    </row>
    <row r="467">
      <c r="A467">
        <v>466</v>
      </c>
      <c r="B467" t="str">
        <v>MASS BSF</v>
      </c>
      <c r="C467" t="str">
        <v>F8R-810</v>
      </c>
      <c r="D467" t="str">
        <v>F8R-810</v>
      </c>
      <c r="E467" t="str">
        <v/>
      </c>
      <c r="F467" t="str">
        <v>867806078868827</v>
      </c>
      <c r="G467" t="str">
        <v>TBD</v>
      </c>
      <c r="H467" t="str">
        <v/>
      </c>
      <c r="I467" t="str">
        <v xml:space="preserve"> </v>
      </c>
      <c r="J467" t="str">
        <v>01/10/2026</v>
      </c>
      <c r="K467" t="str">
        <v>13:59:34</v>
      </c>
      <c r="L467">
        <v>-12.159555</v>
      </c>
      <c r="M467">
        <v>-76.95511</v>
      </c>
      <c r="N467">
        <f>HYPERLINK("https://www.google.com/maps/search/?api=1&amp;query=-12.159555,-76.95511","Avenida Manco Cápac, Villa María del Triunfo, Lima")</f>
      </c>
      <c r="O467" t="str">
        <v>Salió de zona</v>
      </c>
      <c r="P467" t="str">
        <v/>
      </c>
      <c r="Q467">
        <v>2167.2</v>
      </c>
      <c r="R467" t="str">
        <v>1160-ALLENDE1VMT MS</v>
      </c>
      <c r="S467">
        <v>9</v>
      </c>
      <c r="T467">
        <v>82.38</v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>
        <v>85</v>
      </c>
      <c r="AC467" t="str">
        <v>01/10/2026</v>
      </c>
      <c r="AD467" t="str">
        <v>13:59:31</v>
      </c>
      <c r="AE467">
        <f>IF("ONLINE"="NOGPS","GPS Antiguo","En línea")</f>
      </c>
      <c r="AF467">
        <f>IF(0=0,"Sin atender", IF(0=1,"Atendida","Atendida y Reportada"))</f>
      </c>
      <c r="AG467" t="str">
        <v/>
      </c>
      <c r="AH467" t="str">
        <v/>
      </c>
      <c r="AI467" t="str">
        <v/>
      </c>
      <c r="AJ467" t="str">
        <v/>
      </c>
      <c r="AK467" t="str">
        <v>01/10/2026 13:59:47</v>
      </c>
      <c r="AL467" t="str">
        <v>13:59:47</v>
      </c>
      <c r="AM467" t="str">
        <v/>
      </c>
    </row>
    <row r="468">
      <c r="A468">
        <v>467</v>
      </c>
      <c r="B468" t="str">
        <v>MASS BSF</v>
      </c>
      <c r="C468" t="str">
        <v>F8R-810</v>
      </c>
      <c r="D468" t="str">
        <v>F8R-810</v>
      </c>
      <c r="E468" t="str">
        <v/>
      </c>
      <c r="F468" t="str">
        <v>867806078868827</v>
      </c>
      <c r="G468" t="str">
        <v>TBD</v>
      </c>
      <c r="H468" t="str">
        <v/>
      </c>
      <c r="I468" t="str">
        <v/>
      </c>
      <c r="J468" t="str">
        <v>01/10/2026</v>
      </c>
      <c r="K468" t="str">
        <v>13:59:58</v>
      </c>
      <c r="L468">
        <v>-12.159137</v>
      </c>
      <c r="M468">
        <v>-76.95461</v>
      </c>
      <c r="N468">
        <f>HYPERLINK("https://www.google.com/maps/search/?api=1&amp;query=-12.159137,-76.95461","Avenida Manco Cápac, Villa María del Triunfo, Lima")</f>
      </c>
      <c r="O468" t="str">
        <v>Acelerado y giro brusco</v>
      </c>
      <c r="P468" t="str">
        <v/>
      </c>
      <c r="Q468">
        <v>2167.3</v>
      </c>
      <c r="R468" t="str">
        <v/>
      </c>
      <c r="S468">
        <v>14.4</v>
      </c>
      <c r="T468">
        <v>82.38</v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>
        <v>85</v>
      </c>
      <c r="AC468" t="str">
        <v>01/10/2026</v>
      </c>
      <c r="AD468" t="str">
        <v>13:59:55</v>
      </c>
      <c r="AE468">
        <f>IF("ONLINE"="NOGPS","GPS Antiguo","En línea")</f>
      </c>
      <c r="AF468">
        <f>IF(0=0,"Sin atender", IF(0=1,"Atendida","Atendida y Reportada"))</f>
      </c>
      <c r="AG468" t="str">
        <v/>
      </c>
      <c r="AH468" t="str">
        <v/>
      </c>
      <c r="AI468" t="str">
        <v/>
      </c>
      <c r="AJ468" t="str">
        <v/>
      </c>
      <c r="AK468" t="str">
        <v>01/10/2026 14:00:24</v>
      </c>
      <c r="AL468" t="str">
        <v>14:00:24</v>
      </c>
      <c r="AM468" t="str">
        <v/>
      </c>
    </row>
    <row r="469">
      <c r="A469">
        <v>468</v>
      </c>
      <c r="B469" t="str">
        <v>MASS BSF</v>
      </c>
      <c r="C469" t="str">
        <v>F8R-810</v>
      </c>
      <c r="D469" t="str">
        <v>F8R-810</v>
      </c>
      <c r="E469" t="str">
        <v/>
      </c>
      <c r="F469" t="str">
        <v>867806078868827</v>
      </c>
      <c r="G469" t="str">
        <v>TBD</v>
      </c>
      <c r="H469" t="str">
        <v/>
      </c>
      <c r="I469" t="str">
        <v/>
      </c>
      <c r="J469" t="str">
        <v>01/10/2026</v>
      </c>
      <c r="K469" t="str">
        <v>14:00:04</v>
      </c>
      <c r="L469">
        <v>-12.159025</v>
      </c>
      <c r="M469">
        <v>-76.95449</v>
      </c>
      <c r="N469">
        <f>HYPERLINK("https://www.google.com/maps/search/?api=1&amp;query=-12.159025,-76.95449","Avenida Manco Cápac, Villa María del Triunfo, Lima")</f>
      </c>
      <c r="O469" t="str">
        <v>Bache</v>
      </c>
      <c r="P469" t="str">
        <v/>
      </c>
      <c r="Q469">
        <v>2167.3</v>
      </c>
      <c r="R469" t="str">
        <v/>
      </c>
      <c r="S469">
        <v>5</v>
      </c>
      <c r="T469">
        <v>82.38</v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>
        <v>85</v>
      </c>
      <c r="AC469" t="str">
        <v>01/10/2026</v>
      </c>
      <c r="AD469" t="str">
        <v>14:00:01</v>
      </c>
      <c r="AE469">
        <f>IF("ONLINE"="NOGPS","GPS Antiguo","En línea")</f>
      </c>
      <c r="AF469">
        <f>IF(0=0,"Sin atender", IF(0=1,"Atendida","Atendida y Reportada"))</f>
      </c>
      <c r="AG469" t="str">
        <v/>
      </c>
      <c r="AH469" t="str">
        <v/>
      </c>
      <c r="AI469" t="str">
        <v/>
      </c>
      <c r="AJ469" t="str">
        <v/>
      </c>
      <c r="AK469" t="str">
        <v>01/10/2026 14:00:24</v>
      </c>
      <c r="AL469" t="str">
        <v>14:00:24</v>
      </c>
      <c r="AM469" t="str">
        <v/>
      </c>
    </row>
    <row r="470">
      <c r="A470">
        <v>469</v>
      </c>
      <c r="B470" t="str">
        <v>MASS BSF</v>
      </c>
      <c r="C470" t="str">
        <v>F8R-810</v>
      </c>
      <c r="D470" t="str">
        <v>F8R-810</v>
      </c>
      <c r="E470" t="str">
        <v/>
      </c>
      <c r="F470" t="str">
        <v>867806078868827</v>
      </c>
      <c r="G470" t="str">
        <v>TBD</v>
      </c>
      <c r="H470" t="str">
        <v/>
      </c>
      <c r="I470" t="str">
        <v/>
      </c>
      <c r="J470" t="str">
        <v>01/10/2026</v>
      </c>
      <c r="K470" t="str">
        <v>14:00:05</v>
      </c>
      <c r="L470">
        <v>-12.159015</v>
      </c>
      <c r="M470">
        <v>-76.95448</v>
      </c>
      <c r="N470">
        <f>HYPERLINK("https://www.google.com/maps/search/?api=1&amp;query=-12.159015,-76.95448","Avenida Manco Cápac, Villa María del Triunfo, Lima")</f>
      </c>
      <c r="O470" t="str">
        <v>Acelerado y giro brusco</v>
      </c>
      <c r="P470" t="str">
        <v/>
      </c>
      <c r="Q470">
        <v>2167.3</v>
      </c>
      <c r="R470" t="str">
        <v/>
      </c>
      <c r="S470">
        <v>6.6</v>
      </c>
      <c r="T470">
        <v>82.38</v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>
        <v>85</v>
      </c>
      <c r="AC470" t="str">
        <v>01/10/2026</v>
      </c>
      <c r="AD470" t="str">
        <v>14:00:02</v>
      </c>
      <c r="AE470">
        <f>IF("ONLINE"="NOGPS","GPS Antiguo","En línea")</f>
      </c>
      <c r="AF470">
        <f>IF(0=0,"Sin atender", IF(0=1,"Atendida","Atendida y Reportada"))</f>
      </c>
      <c r="AG470" t="str">
        <v/>
      </c>
      <c r="AH470" t="str">
        <v/>
      </c>
      <c r="AI470" t="str">
        <v/>
      </c>
      <c r="AJ470" t="str">
        <v/>
      </c>
      <c r="AK470" t="str">
        <v>01/10/2026 14:00:28</v>
      </c>
      <c r="AL470" t="str">
        <v>14:00:28</v>
      </c>
      <c r="AM470" t="str">
        <v/>
      </c>
    </row>
    <row r="471">
      <c r="A471">
        <v>470</v>
      </c>
      <c r="B471" t="str">
        <v>MASS BSF</v>
      </c>
      <c r="C471" t="str">
        <v>F8R-810</v>
      </c>
      <c r="D471" t="str">
        <v>F8R-810</v>
      </c>
      <c r="E471" t="str">
        <v/>
      </c>
      <c r="F471" t="str">
        <v>867806078868827</v>
      </c>
      <c r="G471" t="str">
        <v>TBD</v>
      </c>
      <c r="H471" t="str">
        <v/>
      </c>
      <c r="I471" t="str">
        <v/>
      </c>
      <c r="J471" t="str">
        <v>01/10/2026</v>
      </c>
      <c r="K471" t="str">
        <v>14:00:10</v>
      </c>
      <c r="L471">
        <v>-12.158943</v>
      </c>
      <c r="M471">
        <v>-76.9544</v>
      </c>
      <c r="N471">
        <f>HYPERLINK("https://www.google.com/maps/search/?api=1&amp;query=-12.158943,-76.9544","Avenida Manco Cápac, Villa María del Triunfo, Lima")</f>
      </c>
      <c r="O471" t="str">
        <v>Acelerado y giro brusco</v>
      </c>
      <c r="P471" t="str">
        <v/>
      </c>
      <c r="Q471">
        <v>2167.3</v>
      </c>
      <c r="R471" t="str">
        <v/>
      </c>
      <c r="S471">
        <v>12.5</v>
      </c>
      <c r="T471">
        <v>82.38</v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>
        <v>85</v>
      </c>
      <c r="AC471" t="str">
        <v>01/10/2026</v>
      </c>
      <c r="AD471" t="str">
        <v>14:00:07</v>
      </c>
      <c r="AE471">
        <f>IF("ONLINE"="NOGPS","GPS Antiguo","En línea")</f>
      </c>
      <c r="AF471">
        <f>IF(0=0,"Sin atender", IF(0=1,"Atendida","Atendida y Reportada"))</f>
      </c>
      <c r="AG471" t="str">
        <v/>
      </c>
      <c r="AH471" t="str">
        <v/>
      </c>
      <c r="AI471" t="str">
        <v/>
      </c>
      <c r="AJ471" t="str">
        <v/>
      </c>
      <c r="AK471" t="str">
        <v>01/10/2026 14:00:24</v>
      </c>
      <c r="AL471" t="str">
        <v>14:00:24</v>
      </c>
      <c r="AM471" t="str">
        <v/>
      </c>
    </row>
    <row r="472">
      <c r="A472">
        <v>471</v>
      </c>
      <c r="B472" t="str">
        <v>MASS BSF</v>
      </c>
      <c r="C472" t="str">
        <v>F8R-810</v>
      </c>
      <c r="D472" t="str">
        <v>F8R-810</v>
      </c>
      <c r="E472" t="str">
        <v/>
      </c>
      <c r="F472" t="str">
        <v>867806078868827</v>
      </c>
      <c r="G472" t="str">
        <v>TBD</v>
      </c>
      <c r="H472" t="str">
        <v/>
      </c>
      <c r="I472" t="str">
        <v/>
      </c>
      <c r="J472" t="str">
        <v>01/10/2026</v>
      </c>
      <c r="K472" t="str">
        <v>14:00:21</v>
      </c>
      <c r="L472">
        <v>-12.158713</v>
      </c>
      <c r="M472">
        <v>-76.954155</v>
      </c>
      <c r="N472">
        <f>HYPERLINK("https://www.google.com/maps/search/?api=1&amp;query=-12.158713,-76.954155","Avenida Manco Cápac, Villa María del Triunfo, Lima")</f>
      </c>
      <c r="O472" t="str">
        <v>Acelerado y giro brusco</v>
      </c>
      <c r="P472" t="str">
        <v/>
      </c>
      <c r="Q472">
        <v>2167.4</v>
      </c>
      <c r="R472" t="str">
        <v/>
      </c>
      <c r="S472">
        <v>15</v>
      </c>
      <c r="T472">
        <v>82.38</v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>
        <v>85</v>
      </c>
      <c r="AC472" t="str">
        <v>01/10/2026</v>
      </c>
      <c r="AD472" t="str">
        <v>14:00:18</v>
      </c>
      <c r="AE472">
        <f>IF("ONLINE"="NOGPS","GPS Antiguo","En línea")</f>
      </c>
      <c r="AF472">
        <f>IF(0=0,"Sin atender", IF(0=1,"Atendida","Atendida y Reportada"))</f>
      </c>
      <c r="AG472" t="str">
        <v/>
      </c>
      <c r="AH472" t="str">
        <v/>
      </c>
      <c r="AI472" t="str">
        <v/>
      </c>
      <c r="AJ472" t="str">
        <v/>
      </c>
      <c r="AK472" t="str">
        <v>01/10/2026 14:00:24</v>
      </c>
      <c r="AL472" t="str">
        <v>14:00:24</v>
      </c>
      <c r="AM472" t="str">
        <v/>
      </c>
    </row>
    <row r="473">
      <c r="A473">
        <v>472</v>
      </c>
      <c r="B473" t="str">
        <v>MASS BSF</v>
      </c>
      <c r="C473" t="str">
        <v>F8R-810</v>
      </c>
      <c r="D473" t="str">
        <v>F8R-810</v>
      </c>
      <c r="E473" t="str">
        <v/>
      </c>
      <c r="F473" t="str">
        <v>867806078868827</v>
      </c>
      <c r="G473" t="str">
        <v>TBD</v>
      </c>
      <c r="H473" t="str">
        <v/>
      </c>
      <c r="I473" t="str">
        <v/>
      </c>
      <c r="J473" t="str">
        <v>01/10/2026</v>
      </c>
      <c r="K473" t="str">
        <v>14:01:00</v>
      </c>
      <c r="L473">
        <v>-12.15785</v>
      </c>
      <c r="M473">
        <v>-76.95314</v>
      </c>
      <c r="N473">
        <f>HYPERLINK("https://www.google.com/maps/search/?api=1&amp;query=-12.15785,-76.95314","Avenida Manco Cápac, Villa María del Triunfo, Lima")</f>
      </c>
      <c r="O473" t="str">
        <v>Aceleración brusca</v>
      </c>
      <c r="P473" t="str">
        <v>CMT-910</v>
      </c>
      <c r="Q473">
        <v>2167.5</v>
      </c>
      <c r="R473" t="str">
        <v/>
      </c>
      <c r="S473">
        <v>15.1</v>
      </c>
      <c r="T473">
        <v>82.38</v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>
        <v>85</v>
      </c>
      <c r="AC473" t="str">
        <v>01/10/2026</v>
      </c>
      <c r="AD473" t="str">
        <v>14:00:57</v>
      </c>
      <c r="AE473">
        <f>IF("ONLINE"="NOGPS","GPS Antiguo","En línea")</f>
      </c>
      <c r="AF473">
        <f>IF(0=0,"Sin atender", IF(0=1,"Atendida","Atendida y Reportada"))</f>
      </c>
      <c r="AG473" t="str">
        <v/>
      </c>
      <c r="AH473" t="str">
        <v/>
      </c>
      <c r="AI473" t="str">
        <v/>
      </c>
      <c r="AJ473" t="str">
        <v/>
      </c>
      <c r="AK473" t="str">
        <v>01/10/2026 14:01:19</v>
      </c>
      <c r="AL473" t="str">
        <v>14:01:19</v>
      </c>
      <c r="AM473" t="str">
        <v/>
      </c>
    </row>
    <row r="474">
      <c r="A474">
        <v>473</v>
      </c>
      <c r="B474" t="str">
        <v>MASS BSF</v>
      </c>
      <c r="C474" t="str">
        <v>F8R-810</v>
      </c>
      <c r="D474" t="str">
        <v>F8R-810</v>
      </c>
      <c r="E474" t="str">
        <v/>
      </c>
      <c r="F474" t="str">
        <v>867806078868827</v>
      </c>
      <c r="G474" t="str">
        <v>TBD</v>
      </c>
      <c r="H474" t="str">
        <v/>
      </c>
      <c r="I474" t="str">
        <v/>
      </c>
      <c r="J474" t="str">
        <v>01/10/2026</v>
      </c>
      <c r="K474" t="str">
        <v>14:01:33</v>
      </c>
      <c r="L474">
        <v>-12.157516</v>
      </c>
      <c r="M474">
        <v>-76.95265</v>
      </c>
      <c r="N474">
        <f>HYPERLINK("https://www.google.com/maps/search/?api=1&amp;query=-12.157516,-76.95265","Jirón Progreso, Villa María del Triunfo, Lima")</f>
      </c>
      <c r="O474" t="str">
        <v>Acelerado y giro brusco</v>
      </c>
      <c r="P474" t="str">
        <v/>
      </c>
      <c r="Q474">
        <v>2167.6</v>
      </c>
      <c r="R474" t="str">
        <v/>
      </c>
      <c r="S474">
        <v>4.6</v>
      </c>
      <c r="T474">
        <v>82.38</v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>
        <v>85</v>
      </c>
      <c r="AC474" t="str">
        <v>01/10/2026</v>
      </c>
      <c r="AD474" t="str">
        <v>14:01:31</v>
      </c>
      <c r="AE474">
        <f>IF("ONLINE"="NOGPS","GPS Antiguo","En línea")</f>
      </c>
      <c r="AF474">
        <f>IF(0=0,"Sin atender", IF(0=1,"Atendida","Atendida y Reportada"))</f>
      </c>
      <c r="AG474" t="str">
        <v/>
      </c>
      <c r="AH474" t="str">
        <v/>
      </c>
      <c r="AI474" t="str">
        <v/>
      </c>
      <c r="AJ474" t="str">
        <v/>
      </c>
      <c r="AK474" t="str">
        <v>01/10/2026 14:01:57</v>
      </c>
      <c r="AL474" t="str">
        <v>14:01:57</v>
      </c>
      <c r="AM474" t="str">
        <v/>
      </c>
    </row>
    <row r="475">
      <c r="A475">
        <v>474</v>
      </c>
      <c r="B475" t="str">
        <v>MASS BSF</v>
      </c>
      <c r="C475" t="str">
        <v>F8R-810</v>
      </c>
      <c r="D475" t="str">
        <v>F8R-810</v>
      </c>
      <c r="E475" t="str">
        <v/>
      </c>
      <c r="F475" t="str">
        <v>867806078868827</v>
      </c>
      <c r="G475" t="str">
        <v>TBD</v>
      </c>
      <c r="H475" t="str">
        <v/>
      </c>
      <c r="I475" t="str">
        <v/>
      </c>
      <c r="J475" t="str">
        <v>01/10/2026</v>
      </c>
      <c r="K475" t="str">
        <v>14:01:43</v>
      </c>
      <c r="L475">
        <v>-12.157708</v>
      </c>
      <c r="M475">
        <v>-76.9525</v>
      </c>
      <c r="N475">
        <f>HYPERLINK("https://www.google.com/maps/search/?api=1&amp;query=-12.157708,-76.9525","Jirón Progreso, Villa María del Triunfo, Lima")</f>
      </c>
      <c r="O475" t="str">
        <v>Bache</v>
      </c>
      <c r="P475" t="str">
        <v/>
      </c>
      <c r="Q475">
        <v>2167.6</v>
      </c>
      <c r="R475" t="str">
        <v/>
      </c>
      <c r="S475">
        <v>7</v>
      </c>
      <c r="T475">
        <v>82.38</v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>
        <v>85</v>
      </c>
      <c r="AC475" t="str">
        <v>01/10/2026</v>
      </c>
      <c r="AD475" t="str">
        <v>14:01:40</v>
      </c>
      <c r="AE475">
        <f>IF("ONLINE"="NOGPS","GPS Antiguo","En línea")</f>
      </c>
      <c r="AF475">
        <f>IF(0=0,"Sin atender", IF(0=1,"Atendida","Atendida y Reportada"))</f>
      </c>
      <c r="AG475" t="str">
        <v/>
      </c>
      <c r="AH475" t="str">
        <v/>
      </c>
      <c r="AI475" t="str">
        <v/>
      </c>
      <c r="AJ475" t="str">
        <v/>
      </c>
      <c r="AK475" t="str">
        <v>01/10/2026 14:02:04</v>
      </c>
      <c r="AL475" t="str">
        <v>14:02:04</v>
      </c>
      <c r="AM475" t="str">
        <v/>
      </c>
    </row>
    <row r="476">
      <c r="A476">
        <v>475</v>
      </c>
      <c r="B476" t="str">
        <v>MASS BSF</v>
      </c>
      <c r="C476" t="str">
        <v>F8R-810</v>
      </c>
      <c r="D476" t="str">
        <v>F8R-810</v>
      </c>
      <c r="E476" t="str">
        <v/>
      </c>
      <c r="F476" t="str">
        <v>867806078868827</v>
      </c>
      <c r="G476" t="str">
        <v>TBD</v>
      </c>
      <c r="H476" t="str">
        <v/>
      </c>
      <c r="I476" t="str">
        <v/>
      </c>
      <c r="J476" t="str">
        <v>01/10/2026</v>
      </c>
      <c r="K476" t="str">
        <v>14:01:43</v>
      </c>
      <c r="L476">
        <v>-12.157708</v>
      </c>
      <c r="M476">
        <v>-76.9525</v>
      </c>
      <c r="N476">
        <f>HYPERLINK("https://www.google.com/maps/search/?api=1&amp;query=-12.157708,-76.9525","Jirón Progreso, Villa María del Triunfo, Lima")</f>
      </c>
      <c r="O476" t="str">
        <v>Bache</v>
      </c>
      <c r="P476" t="str">
        <v/>
      </c>
      <c r="Q476">
        <v>2167.6</v>
      </c>
      <c r="R476" t="str">
        <v/>
      </c>
      <c r="S476">
        <v>7</v>
      </c>
      <c r="T476">
        <v>82.38</v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>
        <v>85</v>
      </c>
      <c r="AC476" t="str">
        <v>01/10/2026</v>
      </c>
      <c r="AD476" t="str">
        <v>14:01:40</v>
      </c>
      <c r="AE476">
        <f>IF("ONLINE"="NOGPS","GPS Antiguo","En línea")</f>
      </c>
      <c r="AF476">
        <f>IF(0=0,"Sin atender", IF(0=1,"Atendida","Atendida y Reportada"))</f>
      </c>
      <c r="AG476" t="str">
        <v/>
      </c>
      <c r="AH476" t="str">
        <v/>
      </c>
      <c r="AI476" t="str">
        <v/>
      </c>
      <c r="AJ476" t="str">
        <v/>
      </c>
      <c r="AK476" t="str">
        <v>01/10/2026 14:02:19</v>
      </c>
      <c r="AL476" t="str">
        <v>14:02:19</v>
      </c>
      <c r="AM476" t="str">
        <v/>
      </c>
    </row>
    <row r="477">
      <c r="A477">
        <v>476</v>
      </c>
      <c r="B477" t="str">
        <v>MASS BSF</v>
      </c>
      <c r="C477" t="str">
        <v>F8R-810</v>
      </c>
      <c r="D477" t="str">
        <v>F8R-810</v>
      </c>
      <c r="E477" t="str">
        <v/>
      </c>
      <c r="F477" t="str">
        <v>867806078868827</v>
      </c>
      <c r="G477" t="str">
        <v>TBD</v>
      </c>
      <c r="H477" t="str">
        <v/>
      </c>
      <c r="I477" t="str">
        <v xml:space="preserve"> </v>
      </c>
      <c r="J477" t="str">
        <v>01/10/2026</v>
      </c>
      <c r="K477" t="str">
        <v>14:02:13</v>
      </c>
      <c r="L477">
        <v>-12.158782</v>
      </c>
      <c r="M477">
        <v>-76.95152</v>
      </c>
      <c r="N477">
        <f>HYPERLINK("https://www.google.com/maps/search/?api=1&amp;query=-12.158782,-76.95152","Jirón Progreso, Villa María del Triunfo, Lima")</f>
      </c>
      <c r="O477" t="str">
        <v>Llegó a la zona</v>
      </c>
      <c r="P477" t="str">
        <v/>
      </c>
      <c r="Q477">
        <v>2167.5</v>
      </c>
      <c r="R477" t="str">
        <v>2412-MIRAF5 VMT MS</v>
      </c>
      <c r="S477">
        <v>16.8</v>
      </c>
      <c r="T477">
        <v>82.38</v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>
        <v>88</v>
      </c>
      <c r="AC477" t="str">
        <v>01/10/2026</v>
      </c>
      <c r="AD477" t="str">
        <v>14:02:11</v>
      </c>
      <c r="AE477">
        <f>IF("ONLINE"="NOGPS","GPS Antiguo","En línea")</f>
      </c>
      <c r="AF477">
        <f>IF(0=0,"Sin atender", IF(0=1,"Atendida","Atendida y Reportada"))</f>
      </c>
      <c r="AG477" t="str">
        <v/>
      </c>
      <c r="AH477" t="str">
        <v/>
      </c>
      <c r="AI477" t="str">
        <v/>
      </c>
      <c r="AJ477" t="str">
        <v/>
      </c>
      <c r="AK477" t="str">
        <v>01/10/2026 14:02:31</v>
      </c>
      <c r="AL477" t="str">
        <v>14:02:31</v>
      </c>
      <c r="AM477" t="str">
        <v/>
      </c>
    </row>
    <row r="478">
      <c r="A478">
        <v>477</v>
      </c>
      <c r="B478" t="str">
        <v>MASS BSF</v>
      </c>
      <c r="C478" t="str">
        <v>F8R-810</v>
      </c>
      <c r="D478" t="str">
        <v>F8R-810</v>
      </c>
      <c r="E478" t="str">
        <v/>
      </c>
      <c r="F478" t="str">
        <v>867806078868827</v>
      </c>
      <c r="G478" t="str">
        <v>TBD</v>
      </c>
      <c r="H478" t="str">
        <v/>
      </c>
      <c r="I478" t="str">
        <v/>
      </c>
      <c r="J478" t="str">
        <v>01/10/2026</v>
      </c>
      <c r="K478" t="str">
        <v>14:02:13</v>
      </c>
      <c r="L478">
        <v>-12.158782</v>
      </c>
      <c r="M478">
        <v>-76.95152</v>
      </c>
      <c r="N478">
        <f>HYPERLINK("https://www.google.com/maps/search/?api=1&amp;query=-12.158782,-76.95152","Jirón Progreso, Villa María del Triunfo, Lima")</f>
      </c>
      <c r="O478" t="str">
        <v>Acelerado y giro brusco</v>
      </c>
      <c r="P478" t="str">
        <v/>
      </c>
      <c r="Q478">
        <v>2167.8</v>
      </c>
      <c r="R478" t="str">
        <v/>
      </c>
      <c r="S478">
        <v>16.8</v>
      </c>
      <c r="T478">
        <v>82.38</v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>
        <v>85</v>
      </c>
      <c r="AC478" t="str">
        <v>01/10/2026</v>
      </c>
      <c r="AD478" t="str">
        <v>14:02:11</v>
      </c>
      <c r="AE478">
        <f>IF("ONLINE"="NOGPS","GPS Antiguo","En línea")</f>
      </c>
      <c r="AF478">
        <f>IF(0=0,"Sin atender", IF(0=1,"Atendida","Atendida y Reportada"))</f>
      </c>
      <c r="AG478" t="str">
        <v/>
      </c>
      <c r="AH478" t="str">
        <v/>
      </c>
      <c r="AI478" t="str">
        <v/>
      </c>
      <c r="AJ478" t="str">
        <v/>
      </c>
      <c r="AK478" t="str">
        <v>01/10/2026 14:02:30</v>
      </c>
      <c r="AL478" t="str">
        <v>14:02:30</v>
      </c>
      <c r="AM478" t="str">
        <v/>
      </c>
    </row>
    <row r="479">
      <c r="A479">
        <v>478</v>
      </c>
      <c r="B479" t="str">
        <v>MASS BSF</v>
      </c>
      <c r="C479" t="str">
        <v>F8R-810</v>
      </c>
      <c r="D479" t="str">
        <v>F8R-810</v>
      </c>
      <c r="E479" t="str">
        <v/>
      </c>
      <c r="F479" t="str">
        <v>867806078868827</v>
      </c>
      <c r="G479" t="str">
        <v>TBD</v>
      </c>
      <c r="H479" t="str">
        <v/>
      </c>
      <c r="I479" t="str">
        <v/>
      </c>
      <c r="J479" t="str">
        <v>01/10/2026</v>
      </c>
      <c r="K479" t="str">
        <v>14:02:35</v>
      </c>
      <c r="L479">
        <v>-12.159654</v>
      </c>
      <c r="M479">
        <v>-76.95073</v>
      </c>
      <c r="N479">
        <f>HYPERLINK("https://www.google.com/maps/search/?api=1&amp;query=-12.159654,-76.95073","Jirón Jorge Chavez, Villa María del Triunfo, Lima")</f>
      </c>
      <c r="O479" t="str">
        <v>Aceleración brusca</v>
      </c>
      <c r="P479" t="str">
        <v>CMT-910</v>
      </c>
      <c r="Q479">
        <v>2167.9</v>
      </c>
      <c r="R479" t="str">
        <v/>
      </c>
      <c r="S479">
        <v>21.2</v>
      </c>
      <c r="T479">
        <v>82.38</v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>
        <v>85</v>
      </c>
      <c r="AC479" t="str">
        <v>01/10/2026</v>
      </c>
      <c r="AD479" t="str">
        <v>14:02:32</v>
      </c>
      <c r="AE479">
        <f>IF("ONLINE"="NOGPS","GPS Antiguo","En línea")</f>
      </c>
      <c r="AF479">
        <f>IF(0=0,"Sin atender", IF(0=1,"Atendida","Atendida y Reportada"))</f>
      </c>
      <c r="AG479" t="str">
        <v/>
      </c>
      <c r="AH479" t="str">
        <v/>
      </c>
      <c r="AI479" t="str">
        <v/>
      </c>
      <c r="AJ479" t="str">
        <v/>
      </c>
      <c r="AK479" t="str">
        <v>01/10/2026 14:02:47</v>
      </c>
      <c r="AL479" t="str">
        <v>14:02:47</v>
      </c>
      <c r="AM479" t="str">
        <v/>
      </c>
    </row>
    <row r="480">
      <c r="A480">
        <v>479</v>
      </c>
      <c r="B480" t="str">
        <v>MASS BSF</v>
      </c>
      <c r="C480" t="str">
        <v>F8R-810</v>
      </c>
      <c r="D480" t="str">
        <v>F8R-810</v>
      </c>
      <c r="E480" t="str">
        <v/>
      </c>
      <c r="F480" t="str">
        <v>867806078868827</v>
      </c>
      <c r="G480" t="str">
        <v>TBD</v>
      </c>
      <c r="H480" t="str">
        <v/>
      </c>
      <c r="I480" t="str">
        <v xml:space="preserve"> </v>
      </c>
      <c r="J480" t="str">
        <v>01/10/2026</v>
      </c>
      <c r="K480" t="str">
        <v>14:02:35</v>
      </c>
      <c r="L480">
        <v>-12.159654</v>
      </c>
      <c r="M480">
        <v>-76.95073</v>
      </c>
      <c r="N480">
        <f>HYPERLINK("https://www.google.com/maps/search/?api=1&amp;query=-12.159654,-76.95073","Jirón Jorge Chavez, Villa María del Triunfo, Lima")</f>
      </c>
      <c r="O480" t="str">
        <v>Salió de zona</v>
      </c>
      <c r="P480" t="str">
        <v/>
      </c>
      <c r="Q480">
        <v>2167.5</v>
      </c>
      <c r="R480" t="str">
        <v>2412-MIRAF5 VMT MS</v>
      </c>
      <c r="S480">
        <v>21.2</v>
      </c>
      <c r="T480">
        <v>82.38</v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>
        <v>88</v>
      </c>
      <c r="AC480" t="str">
        <v>01/10/2026</v>
      </c>
      <c r="AD480" t="str">
        <v>14:02:32</v>
      </c>
      <c r="AE480">
        <f>IF("ONLINE"="NOGPS","GPS Antiguo","En línea")</f>
      </c>
      <c r="AF480">
        <f>IF(0=0,"Sin atender", IF(0=1,"Atendida","Atendida y Reportada"))</f>
      </c>
      <c r="AG480" t="str">
        <v/>
      </c>
      <c r="AH480" t="str">
        <v/>
      </c>
      <c r="AI480" t="str">
        <v/>
      </c>
      <c r="AJ480" t="str">
        <v/>
      </c>
      <c r="AK480" t="str">
        <v>01/10/2026 14:02:42</v>
      </c>
      <c r="AL480" t="str">
        <v>14:02:42</v>
      </c>
      <c r="AM480" t="str">
        <v/>
      </c>
    </row>
    <row r="481">
      <c r="A481">
        <v>480</v>
      </c>
      <c r="B481" t="str">
        <v>MASS BSF</v>
      </c>
      <c r="C481" t="str">
        <v>F8R-810</v>
      </c>
      <c r="D481" t="str">
        <v>F8R-810</v>
      </c>
      <c r="E481" t="str">
        <v/>
      </c>
      <c r="F481" t="str">
        <v>867806078868827</v>
      </c>
      <c r="G481" t="str">
        <v>TBD</v>
      </c>
      <c r="H481" t="str">
        <v/>
      </c>
      <c r="I481" t="str">
        <v/>
      </c>
      <c r="J481" t="str">
        <v>01/10/2026</v>
      </c>
      <c r="K481" t="str">
        <v>14:02:40</v>
      </c>
      <c r="L481">
        <v>-12.159777</v>
      </c>
      <c r="M481">
        <v>-76.95063</v>
      </c>
      <c r="N481">
        <f>HYPERLINK("https://www.google.com/maps/search/?api=1&amp;query=-12.159777,-76.95063","Jirón Progreso, Villa María del Triunfo, Lima")</f>
      </c>
      <c r="O481" t="str">
        <v>Acelerado y giro brusco</v>
      </c>
      <c r="P481" t="str">
        <v/>
      </c>
      <c r="Q481">
        <v>2167.9</v>
      </c>
      <c r="R481" t="str">
        <v/>
      </c>
      <c r="S481">
        <v>6.2</v>
      </c>
      <c r="T481">
        <v>82.38</v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>
        <v>85</v>
      </c>
      <c r="AC481" t="str">
        <v>01/10/2026</v>
      </c>
      <c r="AD481" t="str">
        <v>14:02:37</v>
      </c>
      <c r="AE481">
        <f>IF("ONLINE"="NOGPS","GPS Antiguo","En línea")</f>
      </c>
      <c r="AF481">
        <f>IF(0=0,"Sin atender", IF(0=1,"Atendida","Atendida y Reportada"))</f>
      </c>
      <c r="AG481" t="str">
        <v/>
      </c>
      <c r="AH481" t="str">
        <v/>
      </c>
      <c r="AI481" t="str">
        <v/>
      </c>
      <c r="AJ481" t="str">
        <v/>
      </c>
      <c r="AK481" t="str">
        <v>01/10/2026 14:02:50</v>
      </c>
      <c r="AL481" t="str">
        <v>14:02:50</v>
      </c>
      <c r="AM481" t="str">
        <v/>
      </c>
    </row>
    <row r="482">
      <c r="A482">
        <v>481</v>
      </c>
      <c r="B482" t="str">
        <v>MASS BSF</v>
      </c>
      <c r="C482" t="str">
        <v>F8R-810</v>
      </c>
      <c r="D482" t="str">
        <v>F8R-810</v>
      </c>
      <c r="E482" t="str">
        <v/>
      </c>
      <c r="F482" t="str">
        <v>867806078868827</v>
      </c>
      <c r="G482" t="str">
        <v>TBD</v>
      </c>
      <c r="H482" t="str">
        <v/>
      </c>
      <c r="I482" t="str">
        <v/>
      </c>
      <c r="J482" t="str">
        <v>01/10/2026</v>
      </c>
      <c r="K482" t="str">
        <v>14:02:42</v>
      </c>
      <c r="L482">
        <v>-12.159805</v>
      </c>
      <c r="M482">
        <v>-76.9506</v>
      </c>
      <c r="N482">
        <f>HYPERLINK("https://www.google.com/maps/search/?api=1&amp;query=-12.159805,-76.9506","Jirón Progreso, Villa María del Triunfo, Lima")</f>
      </c>
      <c r="O482" t="str">
        <v>Bache</v>
      </c>
      <c r="P482" t="str">
        <v/>
      </c>
      <c r="Q482">
        <v>2167.9</v>
      </c>
      <c r="R482" t="str">
        <v/>
      </c>
      <c r="S482">
        <v>7.5</v>
      </c>
      <c r="T482">
        <v>82.38</v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>
        <v>85</v>
      </c>
      <c r="AC482" t="str">
        <v>01/10/2026</v>
      </c>
      <c r="AD482" t="str">
        <v>14:02:39</v>
      </c>
      <c r="AE482">
        <f>IF("ONLINE"="NOGPS","GPS Antiguo","En línea")</f>
      </c>
      <c r="AF482">
        <f>IF(0=0,"Sin atender", IF(0=1,"Atendida","Atendida y Reportada"))</f>
      </c>
      <c r="AG482" t="str">
        <v/>
      </c>
      <c r="AH482" t="str">
        <v/>
      </c>
      <c r="AI482" t="str">
        <v/>
      </c>
      <c r="AJ482" t="str">
        <v/>
      </c>
      <c r="AK482" t="str">
        <v>01/10/2026 14:02:48</v>
      </c>
      <c r="AL482" t="str">
        <v>14:02:48</v>
      </c>
      <c r="AM482" t="str">
        <v/>
      </c>
    </row>
    <row r="483">
      <c r="A483">
        <v>482</v>
      </c>
      <c r="B483" t="str">
        <v>MASS BSF</v>
      </c>
      <c r="C483" t="str">
        <v>F8R-810</v>
      </c>
      <c r="D483" t="str">
        <v>F8R-810</v>
      </c>
      <c r="E483" t="str">
        <v/>
      </c>
      <c r="F483" t="str">
        <v>867806078868827</v>
      </c>
      <c r="G483" t="str">
        <v>TBD</v>
      </c>
      <c r="H483" t="str">
        <v/>
      </c>
      <c r="I483" t="str">
        <v/>
      </c>
      <c r="J483" t="str">
        <v>01/10/2026</v>
      </c>
      <c r="K483" t="str">
        <v>14:03:32</v>
      </c>
      <c r="L483">
        <v>-12.160562</v>
      </c>
      <c r="M483">
        <v>-76.94995</v>
      </c>
      <c r="N483">
        <f>HYPERLINK("https://www.google.com/maps/search/?api=1&amp;query=-12.160562,-76.94995","Jirón Progreso, Villa María del Triunfo, Lima")</f>
      </c>
      <c r="O483" t="str">
        <v>Acelerado y giro brusco</v>
      </c>
      <c r="P483" t="str">
        <v/>
      </c>
      <c r="Q483">
        <v>2168</v>
      </c>
      <c r="R483" t="str">
        <v/>
      </c>
      <c r="S483">
        <v>4</v>
      </c>
      <c r="T483">
        <v>82.38</v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>
        <v>85</v>
      </c>
      <c r="AC483" t="str">
        <v>01/10/2026</v>
      </c>
      <c r="AD483" t="str">
        <v>14:03:29</v>
      </c>
      <c r="AE483">
        <f>IF("ONLINE"="NOGPS","GPS Antiguo","En línea")</f>
      </c>
      <c r="AF483">
        <f>IF(0=0,"Sin atender", IF(0=1,"Atendida","Atendida y Reportada"))</f>
      </c>
      <c r="AG483" t="str">
        <v/>
      </c>
      <c r="AH483" t="str">
        <v/>
      </c>
      <c r="AI483" t="str">
        <v/>
      </c>
      <c r="AJ483" t="str">
        <v/>
      </c>
      <c r="AK483" t="str">
        <v>01/10/2026 14:03:41</v>
      </c>
      <c r="AL483" t="str">
        <v>14:03:41</v>
      </c>
      <c r="AM483" t="str">
        <v/>
      </c>
    </row>
    <row r="484">
      <c r="A484">
        <v>483</v>
      </c>
      <c r="B484" t="str">
        <v>MASS BSF</v>
      </c>
      <c r="C484" t="str">
        <v>F8R-810</v>
      </c>
      <c r="D484" t="str">
        <v>F8R-810</v>
      </c>
      <c r="E484" t="str">
        <v/>
      </c>
      <c r="F484" t="str">
        <v>867806078868827</v>
      </c>
      <c r="G484" t="str">
        <v>TBD</v>
      </c>
      <c r="H484" t="str">
        <v/>
      </c>
      <c r="I484" t="str">
        <v/>
      </c>
      <c r="J484" t="str">
        <v>01/10/2026</v>
      </c>
      <c r="K484" t="str">
        <v>14:03:43</v>
      </c>
      <c r="L484">
        <v>-12.160738</v>
      </c>
      <c r="M484">
        <v>-76.94978</v>
      </c>
      <c r="N484">
        <f>HYPERLINK("https://www.google.com/maps/search/?api=1&amp;query=-12.160738,-76.94978","Jirón Progreso, Villa María del Triunfo, Lima")</f>
      </c>
      <c r="O484" t="str">
        <v>Acelerado y giro brusco</v>
      </c>
      <c r="P484" t="str">
        <v/>
      </c>
      <c r="Q484">
        <v>2168</v>
      </c>
      <c r="R484" t="str">
        <v/>
      </c>
      <c r="S484">
        <v>10</v>
      </c>
      <c r="T484">
        <v>82.38</v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>
        <v>85</v>
      </c>
      <c r="AC484" t="str">
        <v>01/10/2026</v>
      </c>
      <c r="AD484" t="str">
        <v>14:03:40</v>
      </c>
      <c r="AE484">
        <f>IF("ONLINE"="NOGPS","GPS Antiguo","En línea")</f>
      </c>
      <c r="AF484">
        <f>IF(0=0,"Sin atender", IF(0=1,"Atendida","Atendida y Reportada"))</f>
      </c>
      <c r="AG484" t="str">
        <v/>
      </c>
      <c r="AH484" t="str">
        <v/>
      </c>
      <c r="AI484" t="str">
        <v/>
      </c>
      <c r="AJ484" t="str">
        <v/>
      </c>
      <c r="AK484" t="str">
        <v>01/10/2026 14:04:13</v>
      </c>
      <c r="AL484" t="str">
        <v>14:04:13</v>
      </c>
      <c r="AM484" t="str">
        <v/>
      </c>
    </row>
    <row r="485">
      <c r="A485">
        <v>484</v>
      </c>
      <c r="B485" t="str">
        <v>MASS BSF</v>
      </c>
      <c r="C485" t="str">
        <v>F8R-810</v>
      </c>
      <c r="D485" t="str">
        <v>F8R-810</v>
      </c>
      <c r="E485" t="str">
        <v/>
      </c>
      <c r="F485" t="str">
        <v>867806078868827</v>
      </c>
      <c r="G485" t="str">
        <v>TBD</v>
      </c>
      <c r="H485" t="str">
        <v/>
      </c>
      <c r="I485" t="str">
        <v/>
      </c>
      <c r="J485" t="str">
        <v>01/10/2026</v>
      </c>
      <c r="K485" t="str">
        <v>14:04:00</v>
      </c>
      <c r="L485">
        <v>-12.161288</v>
      </c>
      <c r="M485">
        <v>-76.9494</v>
      </c>
      <c r="N485">
        <f>HYPERLINK("https://www.google.com/maps/search/?api=1&amp;query=-12.161288,-76.9494","Jirón Progreso, Villa María del Triunfo, Lima")</f>
      </c>
      <c r="O485" t="str">
        <v>Acelerado y giro brusco</v>
      </c>
      <c r="P485" t="str">
        <v/>
      </c>
      <c r="Q485">
        <v>2168.1</v>
      </c>
      <c r="R485" t="str">
        <v/>
      </c>
      <c r="S485">
        <v>19.4</v>
      </c>
      <c r="T485">
        <v>82.38</v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>
        <v>85</v>
      </c>
      <c r="AC485" t="str">
        <v>01/10/2026</v>
      </c>
      <c r="AD485" t="str">
        <v>14:03:57</v>
      </c>
      <c r="AE485">
        <f>IF("ONLINE"="NOGPS","GPS Antiguo","En línea")</f>
      </c>
      <c r="AF485">
        <f>IF(0=0,"Sin atender", IF(0=1,"Atendida","Atendida y Reportada"))</f>
      </c>
      <c r="AG485" t="str">
        <v/>
      </c>
      <c r="AH485" t="str">
        <v/>
      </c>
      <c r="AI485" t="str">
        <v/>
      </c>
      <c r="AJ485" t="str">
        <v/>
      </c>
      <c r="AK485" t="str">
        <v>01/10/2026 14:04:21</v>
      </c>
      <c r="AL485" t="str">
        <v>14:04:21</v>
      </c>
      <c r="AM485" t="str">
        <v/>
      </c>
    </row>
    <row r="486">
      <c r="A486">
        <v>485</v>
      </c>
      <c r="B486" t="str">
        <v>MASS BSF</v>
      </c>
      <c r="C486" t="str">
        <v>F8R-810</v>
      </c>
      <c r="D486" t="str">
        <v>F8R-810</v>
      </c>
      <c r="E486" t="str">
        <v/>
      </c>
      <c r="F486" t="str">
        <v>867806078868827</v>
      </c>
      <c r="G486" t="str">
        <v>TBD</v>
      </c>
      <c r="H486" t="str">
        <v/>
      </c>
      <c r="I486" t="str">
        <v/>
      </c>
      <c r="J486" t="str">
        <v>01/10/2026</v>
      </c>
      <c r="K486" t="str">
        <v>14:04:23</v>
      </c>
      <c r="L486">
        <v>-12.162315</v>
      </c>
      <c r="M486">
        <v>-76.94869</v>
      </c>
      <c r="N486">
        <f>HYPERLINK("https://www.google.com/maps/search/?api=1&amp;query=-12.162315,-76.94869","Jirón Progreso, Villa María del Triunfo, Lima")</f>
      </c>
      <c r="O486" t="str">
        <v>Acelerado y giro brusco</v>
      </c>
      <c r="P486" t="str">
        <v/>
      </c>
      <c r="Q486">
        <v>2168.2</v>
      </c>
      <c r="R486" t="str">
        <v/>
      </c>
      <c r="S486">
        <v>21.6</v>
      </c>
      <c r="T486">
        <v>82.38</v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>
        <v>85</v>
      </c>
      <c r="AC486" t="str">
        <v>01/10/2026</v>
      </c>
      <c r="AD486" t="str">
        <v>14:04:20</v>
      </c>
      <c r="AE486">
        <f>IF("ONLINE"="NOGPS","GPS Antiguo","En línea")</f>
      </c>
      <c r="AF486">
        <f>IF(0=0,"Sin atender", IF(0=1,"Atendida","Atendida y Reportada"))</f>
      </c>
      <c r="AG486" t="str">
        <v/>
      </c>
      <c r="AH486" t="str">
        <v/>
      </c>
      <c r="AI486" t="str">
        <v/>
      </c>
      <c r="AJ486" t="str">
        <v/>
      </c>
      <c r="AK486" t="str">
        <v>01/10/2026 14:04:33</v>
      </c>
      <c r="AL486" t="str">
        <v>14:04:33</v>
      </c>
      <c r="AM486" t="str">
        <v/>
      </c>
    </row>
    <row r="487">
      <c r="A487">
        <v>486</v>
      </c>
      <c r="B487" t="str">
        <v>MASS BSF</v>
      </c>
      <c r="C487" t="str">
        <v>F8R-810</v>
      </c>
      <c r="D487" t="str">
        <v>F8R-810</v>
      </c>
      <c r="E487" t="str">
        <v/>
      </c>
      <c r="F487" t="str">
        <v>867806078868827</v>
      </c>
      <c r="G487" t="str">
        <v>TBD</v>
      </c>
      <c r="H487" t="str">
        <v/>
      </c>
      <c r="I487" t="str">
        <v/>
      </c>
      <c r="J487" t="str">
        <v>01/10/2026</v>
      </c>
      <c r="K487" t="str">
        <v>14:04:28</v>
      </c>
      <c r="L487">
        <v>-12.162554</v>
      </c>
      <c r="M487">
        <v>-76.948524</v>
      </c>
      <c r="N487">
        <f>HYPERLINK("https://www.google.com/maps/search/?api=1&amp;query=-12.162554,-76.948524","Jirón Progreso, Villa María del Triunfo, Lima")</f>
      </c>
      <c r="O487" t="str">
        <v>Aceleración brusca</v>
      </c>
      <c r="P487" t="str">
        <v>CMT-910</v>
      </c>
      <c r="Q487">
        <v>2168.3</v>
      </c>
      <c r="R487" t="str">
        <v/>
      </c>
      <c r="S487">
        <v>18.8</v>
      </c>
      <c r="T487">
        <v>82.38</v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>
        <v>85</v>
      </c>
      <c r="AC487" t="str">
        <v>01/10/2026</v>
      </c>
      <c r="AD487" t="str">
        <v>14:04:26</v>
      </c>
      <c r="AE487">
        <f>IF("ONLINE"="NOGPS","GPS Antiguo","En línea")</f>
      </c>
      <c r="AF487">
        <f>IF(0=0,"Sin atender", IF(0=1,"Atendida","Atendida y Reportada"))</f>
      </c>
      <c r="AG487" t="str">
        <v/>
      </c>
      <c r="AH487" t="str">
        <v/>
      </c>
      <c r="AI487" t="str">
        <v/>
      </c>
      <c r="AJ487" t="str">
        <v/>
      </c>
      <c r="AK487" t="str">
        <v>01/10/2026 14:04:42</v>
      </c>
      <c r="AL487" t="str">
        <v>14:04:42</v>
      </c>
      <c r="AM487" t="str">
        <v/>
      </c>
    </row>
    <row r="488">
      <c r="A488">
        <v>487</v>
      </c>
      <c r="B488" t="str">
        <v>MASS BSF</v>
      </c>
      <c r="C488" t="str">
        <v>F8R-810</v>
      </c>
      <c r="D488" t="str">
        <v>F8R-810</v>
      </c>
      <c r="E488" t="str">
        <v/>
      </c>
      <c r="F488" t="str">
        <v>867806078868827</v>
      </c>
      <c r="G488" t="str">
        <v>TBD</v>
      </c>
      <c r="H488" t="str">
        <v/>
      </c>
      <c r="I488" t="str">
        <v/>
      </c>
      <c r="J488" t="str">
        <v>01/10/2026</v>
      </c>
      <c r="K488" t="str">
        <v>14:04:43</v>
      </c>
      <c r="L488">
        <v>-12.16306</v>
      </c>
      <c r="M488">
        <v>-76.94819</v>
      </c>
      <c r="N488">
        <f>HYPERLINK("https://www.google.com/maps/search/?api=1&amp;query=-12.16306,-76.94819","Jirón Progreso, Villa María del Triunfo, Lima")</f>
      </c>
      <c r="O488" t="str">
        <v>Acelerado y giro brusco</v>
      </c>
      <c r="P488" t="str">
        <v/>
      </c>
      <c r="Q488">
        <v>2168.3</v>
      </c>
      <c r="R488" t="str">
        <v/>
      </c>
      <c r="S488">
        <v>10.1</v>
      </c>
      <c r="T488">
        <v>82.38</v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>
        <v>85</v>
      </c>
      <c r="AC488" t="str">
        <v>01/10/2026</v>
      </c>
      <c r="AD488" t="str">
        <v>14:04:41</v>
      </c>
      <c r="AE488">
        <f>IF("ONLINE"="NOGPS","GPS Antiguo","En línea")</f>
      </c>
      <c r="AF488">
        <f>IF(0=0,"Sin atender", IF(0=1,"Atendida","Atendida y Reportada"))</f>
      </c>
      <c r="AG488" t="str">
        <v/>
      </c>
      <c r="AH488" t="str">
        <v/>
      </c>
      <c r="AI488" t="str">
        <v/>
      </c>
      <c r="AJ488" t="str">
        <v/>
      </c>
      <c r="AK488" t="str">
        <v>01/10/2026 14:04:53</v>
      </c>
      <c r="AL488" t="str">
        <v>14:04:53</v>
      </c>
      <c r="AM488" t="str">
        <v/>
      </c>
    </row>
    <row r="489">
      <c r="A489">
        <v>488</v>
      </c>
      <c r="B489" t="str">
        <v>MASS BSF</v>
      </c>
      <c r="C489" t="str">
        <v>F8R-810</v>
      </c>
      <c r="D489" t="str">
        <v>F8R-810</v>
      </c>
      <c r="E489" t="str">
        <v/>
      </c>
      <c r="F489" t="str">
        <v>867806078868827</v>
      </c>
      <c r="G489" t="str">
        <v>TBD</v>
      </c>
      <c r="H489" t="str">
        <v/>
      </c>
      <c r="I489" t="str">
        <v/>
      </c>
      <c r="J489" t="str">
        <v>01/10/2026</v>
      </c>
      <c r="K489" t="str">
        <v>14:04:54</v>
      </c>
      <c r="L489">
        <v>-12.163293</v>
      </c>
      <c r="M489">
        <v>-76.948006</v>
      </c>
      <c r="N489">
        <f>HYPERLINK("https://www.google.com/maps/search/?api=1&amp;query=-12.163293,-76.948006","Jirón Progreso, Villa María del Triunfo, Lima")</f>
      </c>
      <c r="O489" t="str">
        <v>Acelerado y giro brusco</v>
      </c>
      <c r="P489" t="str">
        <v/>
      </c>
      <c r="Q489">
        <v>2168.4</v>
      </c>
      <c r="R489" t="str">
        <v/>
      </c>
      <c r="S489">
        <v>19</v>
      </c>
      <c r="T489">
        <v>82.38</v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>
        <v>85</v>
      </c>
      <c r="AC489" t="str">
        <v>01/10/2026</v>
      </c>
      <c r="AD489" t="str">
        <v>14:04:51</v>
      </c>
      <c r="AE489">
        <f>IF("ONLINE"="NOGPS","GPS Antiguo","En línea")</f>
      </c>
      <c r="AF489">
        <f>IF(0=0,"Sin atender", IF(0=1,"Atendida","Atendida y Reportada"))</f>
      </c>
      <c r="AG489" t="str">
        <v/>
      </c>
      <c r="AH489" t="str">
        <v/>
      </c>
      <c r="AI489" t="str">
        <v/>
      </c>
      <c r="AJ489" t="str">
        <v/>
      </c>
      <c r="AK489" t="str">
        <v>01/10/2026 14:05:07</v>
      </c>
      <c r="AL489" t="str">
        <v>14:05:07</v>
      </c>
      <c r="AM489" t="str">
        <v/>
      </c>
    </row>
    <row r="490">
      <c r="A490">
        <v>489</v>
      </c>
      <c r="B490" t="str">
        <v>MASS BSF</v>
      </c>
      <c r="C490" t="str">
        <v>F8R-810</v>
      </c>
      <c r="D490" t="str">
        <v>F8R-810</v>
      </c>
      <c r="E490" t="str">
        <v/>
      </c>
      <c r="F490" t="str">
        <v>867806078868827</v>
      </c>
      <c r="G490" t="str">
        <v>TBD</v>
      </c>
      <c r="H490" t="str">
        <v/>
      </c>
      <c r="I490" t="str">
        <v/>
      </c>
      <c r="J490" t="str">
        <v>01/10/2026</v>
      </c>
      <c r="K490" t="str">
        <v>14:04:57</v>
      </c>
      <c r="L490">
        <v>-12.163412</v>
      </c>
      <c r="M490">
        <v>-76.94792</v>
      </c>
      <c r="N490">
        <f>HYPERLINK("https://www.google.com/maps/search/?api=1&amp;query=-12.163412,-76.94792","Jirón Progreso, Villa María del Triunfo, Lima")</f>
      </c>
      <c r="O490" t="str">
        <v>Bache</v>
      </c>
      <c r="P490" t="str">
        <v/>
      </c>
      <c r="Q490">
        <v>2168.4</v>
      </c>
      <c r="R490" t="str">
        <v/>
      </c>
      <c r="S490">
        <v>9.8</v>
      </c>
      <c r="T490">
        <v>82.38</v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>
        <v>85</v>
      </c>
      <c r="AC490" t="str">
        <v>01/10/2026</v>
      </c>
      <c r="AD490" t="str">
        <v>14:04:55</v>
      </c>
      <c r="AE490">
        <f>IF("ONLINE"="NOGPS","GPS Antiguo","En línea")</f>
      </c>
      <c r="AF490">
        <f>IF(0=0,"Sin atender", IF(0=1,"Atendida","Atendida y Reportada"))</f>
      </c>
      <c r="AG490" t="str">
        <v/>
      </c>
      <c r="AH490" t="str">
        <v/>
      </c>
      <c r="AI490" t="str">
        <v/>
      </c>
      <c r="AJ490" t="str">
        <v/>
      </c>
      <c r="AK490" t="str">
        <v>01/10/2026 14:05:02</v>
      </c>
      <c r="AL490" t="str">
        <v>14:05:02</v>
      </c>
      <c r="AM490" t="str">
        <v/>
      </c>
    </row>
    <row r="491">
      <c r="A491">
        <v>490</v>
      </c>
      <c r="B491" t="str">
        <v>MASS BSF</v>
      </c>
      <c r="C491" t="str">
        <v>F8R-810</v>
      </c>
      <c r="D491" t="str">
        <v>F8R-810</v>
      </c>
      <c r="E491" t="str">
        <v/>
      </c>
      <c r="F491" t="str">
        <v>867806078868827</v>
      </c>
      <c r="G491" t="str">
        <v>TBD</v>
      </c>
      <c r="H491" t="str">
        <v/>
      </c>
      <c r="I491" t="str">
        <v xml:space="preserve"> </v>
      </c>
      <c r="J491" t="str">
        <v>01/10/2026</v>
      </c>
      <c r="K491" t="str">
        <v>14:05:16</v>
      </c>
      <c r="L491">
        <v>-12.164063</v>
      </c>
      <c r="M491">
        <v>-76.94747</v>
      </c>
      <c r="N491">
        <f>HYPERLINK("https://www.google.com/maps/search/?api=1&amp;query=-12.164063,-76.94747","Jirón Progreso, Villa María del Triunfo, Lima")</f>
      </c>
      <c r="O491" t="str">
        <v>Llegó a la zona</v>
      </c>
      <c r="P491" t="str">
        <v/>
      </c>
      <c r="Q491">
        <v>2168.3</v>
      </c>
      <c r="R491" t="str">
        <v>1068-VILLA4 VMT MS</v>
      </c>
      <c r="S491">
        <v>10.9</v>
      </c>
      <c r="T491">
        <v>82.38</v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>
        <v>85</v>
      </c>
      <c r="AC491" t="str">
        <v>01/10/2026</v>
      </c>
      <c r="AD491" t="str">
        <v>14:05:14</v>
      </c>
      <c r="AE491">
        <f>IF("ONLINE"="NOGPS","GPS Antiguo","En línea")</f>
      </c>
      <c r="AF491">
        <f>IF(0=0,"Sin atender", IF(0=1,"Atendida","Atendida y Reportada"))</f>
      </c>
      <c r="AG491" t="str">
        <v/>
      </c>
      <c r="AH491" t="str">
        <v/>
      </c>
      <c r="AI491" t="str">
        <v/>
      </c>
      <c r="AJ491" t="str">
        <v/>
      </c>
      <c r="AK491" t="str">
        <v>01/10/2026 14:05:29</v>
      </c>
      <c r="AL491" t="str">
        <v>14:05:29</v>
      </c>
      <c r="AM491" t="str">
        <v/>
      </c>
    </row>
    <row r="492">
      <c r="A492">
        <v>491</v>
      </c>
      <c r="B492" t="str">
        <v>MASS BSF</v>
      </c>
      <c r="C492" t="str">
        <v>F8R-810</v>
      </c>
      <c r="D492" t="str">
        <v>F8R-810</v>
      </c>
      <c r="E492" t="str">
        <v/>
      </c>
      <c r="F492" t="str">
        <v>867806078868827</v>
      </c>
      <c r="G492" t="str">
        <v>TBD</v>
      </c>
      <c r="H492" t="str">
        <v/>
      </c>
      <c r="I492" t="str">
        <v xml:space="preserve"> </v>
      </c>
      <c r="J492" t="str">
        <v>01/10/2026</v>
      </c>
      <c r="K492" t="str">
        <v>14:05:26</v>
      </c>
      <c r="L492">
        <v>-12.164193</v>
      </c>
      <c r="M492">
        <v>-76.9475</v>
      </c>
      <c r="N492">
        <f>HYPERLINK("https://www.google.com/maps/search/?api=1&amp;query=-12.164193,-76.9475","Avenida Villa María, Villa María del Triunfo, Lima")</f>
      </c>
      <c r="O492" t="str">
        <v>Salió de zona</v>
      </c>
      <c r="P492" t="str">
        <v/>
      </c>
      <c r="Q492">
        <v>2168.5</v>
      </c>
      <c r="R492" t="str">
        <v>1068-VILLA4 VMT MS</v>
      </c>
      <c r="S492">
        <v>8.7</v>
      </c>
      <c r="T492">
        <v>82.38</v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>
        <v>86</v>
      </c>
      <c r="AC492" t="str">
        <v>01/10/2026</v>
      </c>
      <c r="AD492" t="str">
        <v>14:05:24</v>
      </c>
      <c r="AE492">
        <f>IF("ONLINE"="NOGPS","GPS Antiguo","En línea")</f>
      </c>
      <c r="AF492">
        <f>IF(0=0,"Sin atender", IF(0=1,"Atendida","Atendida y Reportada"))</f>
      </c>
      <c r="AG492" t="str">
        <v/>
      </c>
      <c r="AH492" t="str">
        <v/>
      </c>
      <c r="AI492" t="str">
        <v/>
      </c>
      <c r="AJ492" t="str">
        <v/>
      </c>
      <c r="AK492" t="str">
        <v>01/10/2026 14:05:37</v>
      </c>
      <c r="AL492" t="str">
        <v>14:05:37</v>
      </c>
      <c r="AM492" t="str">
        <v/>
      </c>
    </row>
    <row r="493">
      <c r="A493">
        <v>492</v>
      </c>
      <c r="B493" t="str">
        <v>MASS BSF</v>
      </c>
      <c r="C493" t="str">
        <v>F8R-810</v>
      </c>
      <c r="D493" t="str">
        <v>F8R-810</v>
      </c>
      <c r="E493" t="str">
        <v/>
      </c>
      <c r="F493" t="str">
        <v>867806078868827</v>
      </c>
      <c r="G493" t="str">
        <v>TBD</v>
      </c>
      <c r="H493" t="str">
        <v/>
      </c>
      <c r="I493" t="str">
        <v xml:space="preserve"> </v>
      </c>
      <c r="J493" t="str">
        <v>01/10/2026</v>
      </c>
      <c r="K493" t="str">
        <v>14:05:31</v>
      </c>
      <c r="L493">
        <v>-12.164248</v>
      </c>
      <c r="M493">
        <v>-76.9476</v>
      </c>
      <c r="N493">
        <f>HYPERLINK("https://www.google.com/maps/search/?api=1&amp;query=-12.164248,-76.9476","Avenida Villa María, Villa María del Triunfo, Lima")</f>
      </c>
      <c r="O493" t="str">
        <v>Llegó a la zona</v>
      </c>
      <c r="P493" t="str">
        <v/>
      </c>
      <c r="Q493">
        <v>2168.5</v>
      </c>
      <c r="R493" t="str">
        <v>1068-VILLA4 VMT MS</v>
      </c>
      <c r="S493">
        <v>12</v>
      </c>
      <c r="T493">
        <v>82.38</v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>
        <v>95</v>
      </c>
      <c r="AC493" t="str">
        <v>01/10/2026</v>
      </c>
      <c r="AD493" t="str">
        <v>14:05:28</v>
      </c>
      <c r="AE493">
        <f>IF("ONLINE"="NOGPS","GPS Antiguo","En línea")</f>
      </c>
      <c r="AF493">
        <f>IF(0=0,"Sin atender", IF(0=1,"Atendida","Atendida y Reportada"))</f>
      </c>
      <c r="AG493" t="str">
        <v/>
      </c>
      <c r="AH493" t="str">
        <v/>
      </c>
      <c r="AI493" t="str">
        <v/>
      </c>
      <c r="AJ493" t="str">
        <v/>
      </c>
      <c r="AK493" t="str">
        <v>01/10/2026 14:05:43</v>
      </c>
      <c r="AL493" t="str">
        <v>14:05:43</v>
      </c>
      <c r="AM493" t="str">
        <v/>
      </c>
    </row>
    <row r="494">
      <c r="A494">
        <v>493</v>
      </c>
      <c r="B494" t="str">
        <v>MASS BSF</v>
      </c>
      <c r="C494" t="str">
        <v>F8R-810</v>
      </c>
      <c r="D494" t="str">
        <v>F8R-810</v>
      </c>
      <c r="E494" t="str">
        <v/>
      </c>
      <c r="F494" t="str">
        <v>867806078868827</v>
      </c>
      <c r="G494" t="str">
        <v>TBD</v>
      </c>
      <c r="H494" t="str">
        <v/>
      </c>
      <c r="I494" t="str">
        <v/>
      </c>
      <c r="J494" t="str">
        <v>01/10/2026</v>
      </c>
      <c r="K494" t="str">
        <v>14:05:45</v>
      </c>
      <c r="L494">
        <v>-12.164416</v>
      </c>
      <c r="M494">
        <v>-76.94791</v>
      </c>
      <c r="N494">
        <f>HYPERLINK("https://www.google.com/maps/search/?api=1&amp;query=-12.164416,-76.94791","Avenida Villa María, Villa María del Triunfo, Lima")</f>
      </c>
      <c r="O494" t="str">
        <v>Aceleración brusca</v>
      </c>
      <c r="P494" t="str">
        <v>CMT-910</v>
      </c>
      <c r="Q494">
        <v>2168.5</v>
      </c>
      <c r="R494" t="str">
        <v/>
      </c>
      <c r="S494">
        <v>6.6</v>
      </c>
      <c r="T494">
        <v>82.38</v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>
        <v>86</v>
      </c>
      <c r="AC494" t="str">
        <v>01/10/2026</v>
      </c>
      <c r="AD494" t="str">
        <v>14:05:42</v>
      </c>
      <c r="AE494">
        <f>IF("ONLINE"="NOGPS","GPS Antiguo","En línea")</f>
      </c>
      <c r="AF494">
        <f>IF(0=0,"Sin atender", IF(0=1,"Atendida","Atendida y Reportada"))</f>
      </c>
      <c r="AG494" t="str">
        <v/>
      </c>
      <c r="AH494" t="str">
        <v/>
      </c>
      <c r="AI494" t="str">
        <v/>
      </c>
      <c r="AJ494" t="str">
        <v/>
      </c>
      <c r="AK494" t="str">
        <v>01/10/2026 14:05:52</v>
      </c>
      <c r="AL494" t="str">
        <v>14:05:52</v>
      </c>
      <c r="AM494" t="str">
        <v/>
      </c>
    </row>
    <row r="495">
      <c r="A495">
        <v>494</v>
      </c>
      <c r="B495" t="str">
        <v>MASS BSF</v>
      </c>
      <c r="C495" t="str">
        <v>F8R-810</v>
      </c>
      <c r="D495" t="str">
        <v>F8R-810</v>
      </c>
      <c r="E495" t="str">
        <v/>
      </c>
      <c r="F495" t="str">
        <v>867806078868827</v>
      </c>
      <c r="G495" t="str">
        <v>TBD</v>
      </c>
      <c r="H495" t="str">
        <v/>
      </c>
      <c r="I495" t="str">
        <v/>
      </c>
      <c r="J495" t="str">
        <v>01/10/2026</v>
      </c>
      <c r="K495" t="str">
        <v>14:07:41</v>
      </c>
      <c r="L495">
        <v>-12.164443</v>
      </c>
      <c r="M495">
        <v>-76.94794</v>
      </c>
      <c r="N495">
        <f>HYPERLINK("https://www.google.com/maps/search/?api=1&amp;query=-12.164443,-76.94794","Avenida Villa María, Villa María del Triunfo, Lima")</f>
      </c>
      <c r="O495" t="str">
        <v>Vehículo apagado</v>
      </c>
      <c r="P495" t="str">
        <v>Vehículo Apagado</v>
      </c>
      <c r="Q495">
        <v>2168.5</v>
      </c>
      <c r="R495" t="str">
        <v/>
      </c>
      <c r="S495">
        <v>0</v>
      </c>
      <c r="T495">
        <v>83.65</v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>
        <v>86</v>
      </c>
      <c r="AC495" t="str">
        <v>01/10/2026</v>
      </c>
      <c r="AD495" t="str">
        <v>14:07:38</v>
      </c>
      <c r="AE495">
        <f>IF("ONLINE"="NOGPS","GPS Antiguo","En línea")</f>
      </c>
      <c r="AF495">
        <f>IF(0=0,"Sin atender", IF(0=1,"Atendida","Atendida y Reportada"))</f>
      </c>
      <c r="AG495" t="str">
        <v/>
      </c>
      <c r="AH495" t="str">
        <v/>
      </c>
      <c r="AI495" t="str">
        <v/>
      </c>
      <c r="AJ495" t="str">
        <v/>
      </c>
      <c r="AK495" t="str">
        <v>01/10/2026 14:07:50</v>
      </c>
      <c r="AL495" t="str">
        <v>14:07:50</v>
      </c>
      <c r="AM495" t="str">
        <v/>
      </c>
    </row>
    <row r="496">
      <c r="A496">
        <v>495</v>
      </c>
      <c r="B496" t="str">
        <v>MASS BSF</v>
      </c>
      <c r="C496" t="str">
        <v>F8R-810</v>
      </c>
      <c r="D496" t="str">
        <v>F8R-810</v>
      </c>
      <c r="E496" t="str">
        <v/>
      </c>
      <c r="F496" t="str">
        <v>867806078868827</v>
      </c>
      <c r="G496" t="str">
        <v>TBD</v>
      </c>
      <c r="H496" t="str">
        <v/>
      </c>
      <c r="I496" t="str">
        <v/>
      </c>
      <c r="J496" t="str">
        <v>01/10/2026</v>
      </c>
      <c r="K496" t="str">
        <v>14:13:25</v>
      </c>
      <c r="L496">
        <v>-12.164505</v>
      </c>
      <c r="M496">
        <v>-76.948</v>
      </c>
      <c r="N496">
        <f>HYPERLINK("https://www.google.com/maps/search/?api=1&amp;query=-12.164505,-76.948","Avenida Villa María, Villa María del Triunfo, Lima")</f>
      </c>
      <c r="O496" t="str">
        <v>Se detuvo</v>
      </c>
      <c r="P496" t="str">
        <v>Unidad se detuvo</v>
      </c>
      <c r="Q496">
        <v>2168.5</v>
      </c>
      <c r="R496" t="str">
        <v/>
      </c>
      <c r="S496">
        <v>0</v>
      </c>
      <c r="T496">
        <v>83.65</v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>
        <v>86</v>
      </c>
      <c r="AC496" t="str">
        <v>01/10/2026</v>
      </c>
      <c r="AD496" t="str">
        <v>14:13:22</v>
      </c>
      <c r="AE496">
        <f>IF("ONLINE"="NOGPS","GPS Antiguo","En línea")</f>
      </c>
      <c r="AF496">
        <f>IF(0=0,"Sin atender", IF(0=1,"Atendida","Atendida y Reportada"))</f>
      </c>
      <c r="AG496" t="str">
        <v/>
      </c>
      <c r="AH496" t="str">
        <v/>
      </c>
      <c r="AI496" t="str">
        <v/>
      </c>
      <c r="AJ496" t="str">
        <v/>
      </c>
      <c r="AK496" t="str">
        <v>01/10/2026 14:13:40</v>
      </c>
      <c r="AL496" t="str">
        <v>14:13:40</v>
      </c>
      <c r="AM496" t="str">
        <v/>
      </c>
    </row>
    <row r="497">
      <c r="A497">
        <v>496</v>
      </c>
      <c r="B497" t="str">
        <v>MASS BSF</v>
      </c>
      <c r="C497" t="str">
        <v>F8R-810</v>
      </c>
      <c r="D497" t="str">
        <v>F8R-810</v>
      </c>
      <c r="E497" t="str">
        <v/>
      </c>
      <c r="F497" t="str">
        <v>867806078868827</v>
      </c>
      <c r="G497" t="str">
        <v>TBD</v>
      </c>
      <c r="H497" t="str">
        <v/>
      </c>
      <c r="I497" t="str">
        <v/>
      </c>
      <c r="J497" t="str">
        <v>01/10/2026</v>
      </c>
      <c r="K497" t="str">
        <v>14:43:13</v>
      </c>
      <c r="L497">
        <v>-12.164427</v>
      </c>
      <c r="M497">
        <v>-76.947945</v>
      </c>
      <c r="N497">
        <f>HYPERLINK("https://www.google.com/maps/search/?api=1&amp;query=-12.164427,-76.947945","Avenida Villa María, Villa María del Triunfo, Lima")</f>
      </c>
      <c r="O497" t="str">
        <v>Vehículo encendido</v>
      </c>
      <c r="P497" t="str">
        <v/>
      </c>
      <c r="Q497">
        <v>2168.5</v>
      </c>
      <c r="R497" t="str">
        <v/>
      </c>
      <c r="S497">
        <v>0</v>
      </c>
      <c r="T497">
        <v>83.65</v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>
        <v>95</v>
      </c>
      <c r="AC497" t="str">
        <v>01/10/2026</v>
      </c>
      <c r="AD497" t="str">
        <v>14:43:10</v>
      </c>
      <c r="AE497">
        <f>IF("ONLINE"="NOGPS","GPS Antiguo","En línea")</f>
      </c>
      <c r="AF497">
        <f>IF(0=0,"Sin atender", IF(0=1,"Atendida","Atendida y Reportada"))</f>
      </c>
      <c r="AG497" t="str">
        <v/>
      </c>
      <c r="AH497" t="str">
        <v/>
      </c>
      <c r="AI497" t="str">
        <v/>
      </c>
      <c r="AJ497" t="str">
        <v/>
      </c>
      <c r="AK497" t="str">
        <v>01/10/2026 14:43:23</v>
      </c>
      <c r="AL497" t="str">
        <v>14:43:23</v>
      </c>
      <c r="AM497" t="str">
        <v/>
      </c>
    </row>
    <row r="498">
      <c r="A498">
        <v>497</v>
      </c>
      <c r="B498" t="str">
        <v>MASS BSF</v>
      </c>
      <c r="C498" t="str">
        <v>F8R-810</v>
      </c>
      <c r="D498" t="str">
        <v>F8R-810</v>
      </c>
      <c r="E498" t="str">
        <v/>
      </c>
      <c r="F498" t="str">
        <v>867806078868827</v>
      </c>
      <c r="G498" t="str">
        <v>TBD</v>
      </c>
      <c r="H498" t="str">
        <v/>
      </c>
      <c r="I498" t="str">
        <v xml:space="preserve"> </v>
      </c>
      <c r="J498" t="str">
        <v>01/10/2026</v>
      </c>
      <c r="K498" t="str">
        <v>14:43:33</v>
      </c>
      <c r="L498">
        <v>-12.164548</v>
      </c>
      <c r="M498">
        <v>-76.94803</v>
      </c>
      <c r="N498">
        <f>HYPERLINK("https://www.google.com/maps/search/?api=1&amp;query=-12.164548,-76.94803","Avenida Villa María, Villa María del Triunfo, Lima")</f>
      </c>
      <c r="O498" t="str">
        <v>Salió de zona</v>
      </c>
      <c r="P498" t="str">
        <v/>
      </c>
      <c r="Q498">
        <v>2168.6</v>
      </c>
      <c r="R498" t="str">
        <v>1068-VILLA4 VMT MS</v>
      </c>
      <c r="S498">
        <v>10.3</v>
      </c>
      <c r="T498">
        <v>83.65</v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>
        <v>87</v>
      </c>
      <c r="AC498" t="str">
        <v>01/10/2026</v>
      </c>
      <c r="AD498" t="str">
        <v>14:43:30</v>
      </c>
      <c r="AE498">
        <f>IF("ONLINE"="NOGPS","GPS Antiguo","En línea")</f>
      </c>
      <c r="AF498">
        <f>IF(0=0,"Sin atender", IF(0=1,"Atendida","Atendida y Reportada"))</f>
      </c>
      <c r="AG498" t="str">
        <v/>
      </c>
      <c r="AH498" t="str">
        <v/>
      </c>
      <c r="AI498" t="str">
        <v/>
      </c>
      <c r="AJ498" t="str">
        <v/>
      </c>
      <c r="AK498" t="str">
        <v>01/10/2026 14:43:48</v>
      </c>
      <c r="AL498" t="str">
        <v>14:43:48</v>
      </c>
      <c r="AM498" t="str">
        <v/>
      </c>
    </row>
    <row r="499">
      <c r="A499">
        <v>498</v>
      </c>
      <c r="B499" t="str">
        <v>MASS BSF</v>
      </c>
      <c r="C499" t="str">
        <v>F8R-810</v>
      </c>
      <c r="D499" t="str">
        <v>F8R-810</v>
      </c>
      <c r="E499" t="str">
        <v/>
      </c>
      <c r="F499" t="str">
        <v>867806078868827</v>
      </c>
      <c r="G499" t="str">
        <v>TBD</v>
      </c>
      <c r="H499" t="str">
        <v/>
      </c>
      <c r="I499" t="str">
        <v xml:space="preserve"> </v>
      </c>
      <c r="J499" t="str">
        <v>01/10/2026</v>
      </c>
      <c r="K499" t="str">
        <v>14:43:39</v>
      </c>
      <c r="L499">
        <v>-12.164627</v>
      </c>
      <c r="M499">
        <v>-76.94816</v>
      </c>
      <c r="N499">
        <f>HYPERLINK("https://www.google.com/maps/search/?api=1&amp;query=-12.164627,-76.94816","Avenida Villa María, Villa María del Triunfo, Lima")</f>
      </c>
      <c r="O499" t="str">
        <v>Llegó a la zona</v>
      </c>
      <c r="P499" t="str">
        <v/>
      </c>
      <c r="Q499">
        <v>2168.6</v>
      </c>
      <c r="R499" t="str">
        <v>1068-VILLA4 VMT MS</v>
      </c>
      <c r="S499">
        <v>11.1</v>
      </c>
      <c r="T499">
        <v>83.65</v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>
        <v>87</v>
      </c>
      <c r="AC499" t="str">
        <v>01/10/2026</v>
      </c>
      <c r="AD499" t="str">
        <v>14:43:36</v>
      </c>
      <c r="AE499">
        <f>IF("ONLINE"="NOGPS","GPS Antiguo","En línea")</f>
      </c>
      <c r="AF499">
        <f>IF(0=0,"Sin atender", IF(0=1,"Atendida","Atendida y Reportada"))</f>
      </c>
      <c r="AG499" t="str">
        <v/>
      </c>
      <c r="AH499" t="str">
        <v/>
      </c>
      <c r="AI499" t="str">
        <v/>
      </c>
      <c r="AJ499" t="str">
        <v/>
      </c>
      <c r="AK499" t="str">
        <v>01/10/2026 14:43:52</v>
      </c>
      <c r="AL499" t="str">
        <v>14:43:52</v>
      </c>
      <c r="AM499" t="str">
        <v/>
      </c>
    </row>
    <row r="500">
      <c r="A500">
        <v>499</v>
      </c>
      <c r="B500" t="str">
        <v>MASS BSF</v>
      </c>
      <c r="C500" t="str">
        <v>F8R-810</v>
      </c>
      <c r="D500" t="str">
        <v>F8R-810</v>
      </c>
      <c r="E500" t="str">
        <v/>
      </c>
      <c r="F500" t="str">
        <v>867806078868827</v>
      </c>
      <c r="G500" t="str">
        <v>TBD</v>
      </c>
      <c r="H500" t="str">
        <v/>
      </c>
      <c r="I500" t="str">
        <v xml:space="preserve"> </v>
      </c>
      <c r="J500" t="str">
        <v>01/10/2026</v>
      </c>
      <c r="K500" t="str">
        <v>14:43:43</v>
      </c>
      <c r="L500">
        <v>-12.164673</v>
      </c>
      <c r="M500">
        <v>-76.94824</v>
      </c>
      <c r="N500">
        <f>HYPERLINK("https://www.google.com/maps/search/?api=1&amp;query=-12.164673,-76.94824","Avenida Villa María, Villa María del Triunfo, Lima")</f>
      </c>
      <c r="O500" t="str">
        <v>Llegó a la zona</v>
      </c>
      <c r="P500" t="str">
        <v/>
      </c>
      <c r="Q500">
        <v>2168.6</v>
      </c>
      <c r="R500" t="str">
        <v>1068-VILLA4 VMT MS</v>
      </c>
      <c r="S500">
        <v>8.7</v>
      </c>
      <c r="T500">
        <v>83.65</v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>
        <v>85</v>
      </c>
      <c r="AC500" t="str">
        <v>01/10/2026</v>
      </c>
      <c r="AD500" t="str">
        <v>14:43:40</v>
      </c>
      <c r="AE500">
        <f>IF("ONLINE"="NOGPS","GPS Antiguo","En línea")</f>
      </c>
      <c r="AF500">
        <f>IF(0=0,"Sin atender", IF(0=1,"Atendida","Atendida y Reportada"))</f>
      </c>
      <c r="AG500" t="str">
        <v/>
      </c>
      <c r="AH500" t="str">
        <v/>
      </c>
      <c r="AI500" t="str">
        <v/>
      </c>
      <c r="AJ500" t="str">
        <v/>
      </c>
      <c r="AK500" t="str">
        <v>01/10/2026 14:43:58</v>
      </c>
      <c r="AL500" t="str">
        <v>14:43:58</v>
      </c>
      <c r="AM500" t="str">
        <v/>
      </c>
    </row>
    <row r="501">
      <c r="A501">
        <v>500</v>
      </c>
      <c r="B501" t="str">
        <v>MASS BSF</v>
      </c>
      <c r="C501" t="str">
        <v>F8R-810</v>
      </c>
      <c r="D501" t="str">
        <v>F8R-810</v>
      </c>
      <c r="E501" t="str">
        <v/>
      </c>
      <c r="F501" t="str">
        <v>867806078868827</v>
      </c>
      <c r="G501" t="str">
        <v>TBD</v>
      </c>
      <c r="H501" t="str">
        <v/>
      </c>
      <c r="I501" t="str">
        <v xml:space="preserve"> </v>
      </c>
      <c r="J501" t="str">
        <v>01/10/2026</v>
      </c>
      <c r="K501" t="str">
        <v>14:43:48</v>
      </c>
      <c r="L501">
        <v>-12.164806</v>
      </c>
      <c r="M501">
        <v>-76.94823</v>
      </c>
      <c r="N501">
        <f>HYPERLINK("https://www.google.com/maps/search/?api=1&amp;query=-12.164806,-76.94823","Jirón La Unión, Villa María del Triunfo, Lima")</f>
      </c>
      <c r="O501" t="str">
        <v>Salió de zona</v>
      </c>
      <c r="P501" t="str">
        <v/>
      </c>
      <c r="Q501">
        <v>2168.6</v>
      </c>
      <c r="R501" t="str">
        <v>1068-VILLA4 VMT MS</v>
      </c>
      <c r="S501">
        <v>12.5</v>
      </c>
      <c r="T501">
        <v>83.65</v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>
        <v>87</v>
      </c>
      <c r="AC501" t="str">
        <v>01/10/2026</v>
      </c>
      <c r="AD501" t="str">
        <v>14:43:45</v>
      </c>
      <c r="AE501">
        <f>IF("ONLINE"="NOGPS","GPS Antiguo","En línea")</f>
      </c>
      <c r="AF501">
        <f>IF(0=0,"Sin atender", IF(0=1,"Atendida","Atendida y Reportada"))</f>
      </c>
      <c r="AG501" t="str">
        <v/>
      </c>
      <c r="AH501" t="str">
        <v/>
      </c>
      <c r="AI501" t="str">
        <v/>
      </c>
      <c r="AJ501" t="str">
        <v/>
      </c>
      <c r="AK501" t="str">
        <v>01/10/2026 14:43:57</v>
      </c>
      <c r="AL501" t="str">
        <v>14:43:57</v>
      </c>
      <c r="AM501" t="str">
        <v/>
      </c>
    </row>
    <row r="502">
      <c r="A502">
        <v>501</v>
      </c>
      <c r="B502" t="str">
        <v>MASS BSF</v>
      </c>
      <c r="C502" t="str">
        <v>F8R-810</v>
      </c>
      <c r="D502" t="str">
        <v>F8R-810</v>
      </c>
      <c r="E502" t="str">
        <v/>
      </c>
      <c r="F502" t="str">
        <v>867806078868827</v>
      </c>
      <c r="G502" t="str">
        <v>TBD</v>
      </c>
      <c r="H502" t="str">
        <v/>
      </c>
      <c r="I502" t="str">
        <v xml:space="preserve"> </v>
      </c>
      <c r="J502" t="str">
        <v>01/10/2026</v>
      </c>
      <c r="K502" t="str">
        <v>14:44:01</v>
      </c>
      <c r="L502">
        <v>-12.165149</v>
      </c>
      <c r="M502">
        <v>-76.94795</v>
      </c>
      <c r="N502">
        <f>HYPERLINK("https://www.google.com/maps/search/?api=1&amp;query=-12.165149,-76.94795","Jirón La Unión, Villa María del Triunfo, Lima")</f>
      </c>
      <c r="O502" t="str">
        <v>Salió de zona</v>
      </c>
      <c r="P502" t="str">
        <v/>
      </c>
      <c r="Q502">
        <v>2168.6</v>
      </c>
      <c r="R502" t="str">
        <v>1068-VILLA4 VMT MS</v>
      </c>
      <c r="S502">
        <v>12.9</v>
      </c>
      <c r="T502">
        <v>83.65</v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>
        <v>85</v>
      </c>
      <c r="AC502" t="str">
        <v>01/10/2026</v>
      </c>
      <c r="AD502" t="str">
        <v>14:43:58</v>
      </c>
      <c r="AE502">
        <f>IF("ONLINE"="NOGPS","GPS Antiguo","En línea")</f>
      </c>
      <c r="AF502">
        <f>IF(0=0,"Sin atender", IF(0=1,"Atendida","Atendida y Reportada"))</f>
      </c>
      <c r="AG502" t="str">
        <v/>
      </c>
      <c r="AH502" t="str">
        <v/>
      </c>
      <c r="AI502" t="str">
        <v/>
      </c>
      <c r="AJ502" t="str">
        <v/>
      </c>
      <c r="AK502" t="str">
        <v>01/10/2026 14:44:13</v>
      </c>
      <c r="AL502" t="str">
        <v>14:44:13</v>
      </c>
      <c r="AM502" t="str">
        <v/>
      </c>
    </row>
    <row r="503">
      <c r="A503">
        <v>502</v>
      </c>
      <c r="B503" t="str">
        <v>MASS BSF</v>
      </c>
      <c r="C503" t="str">
        <v>F8R-810</v>
      </c>
      <c r="D503" t="str">
        <v>F8R-810</v>
      </c>
      <c r="E503" t="str">
        <v/>
      </c>
      <c r="F503" t="str">
        <v>867806078868827</v>
      </c>
      <c r="G503" t="str">
        <v>TBD</v>
      </c>
      <c r="H503" t="str">
        <v/>
      </c>
      <c r="I503" t="str">
        <v/>
      </c>
      <c r="J503" t="str">
        <v>01/10/2026</v>
      </c>
      <c r="K503" t="str">
        <v>14:44:01</v>
      </c>
      <c r="L503">
        <v>-12.165149</v>
      </c>
      <c r="M503">
        <v>-76.94795</v>
      </c>
      <c r="N503">
        <f>HYPERLINK("https://www.google.com/maps/search/?api=1&amp;query=-12.165149,-76.94795","Jirón La Unión, Villa María del Triunfo, Lima")</f>
      </c>
      <c r="O503" t="str">
        <v>Acelerado y giro brusco</v>
      </c>
      <c r="P503" t="str">
        <v/>
      </c>
      <c r="Q503">
        <v>2168.6</v>
      </c>
      <c r="R503" t="str">
        <v/>
      </c>
      <c r="S503">
        <v>12.9</v>
      </c>
      <c r="T503">
        <v>83.65</v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>
        <v>85</v>
      </c>
      <c r="AC503" t="str">
        <v>01/10/2026</v>
      </c>
      <c r="AD503" t="str">
        <v>14:43:58</v>
      </c>
      <c r="AE503">
        <f>IF("ONLINE"="NOGPS","GPS Antiguo","En línea")</f>
      </c>
      <c r="AF503">
        <f>IF(0=0,"Sin atender", IF(0=1,"Atendida","Atendida y Reportada"))</f>
      </c>
      <c r="AG503" t="str">
        <v/>
      </c>
      <c r="AH503" t="str">
        <v/>
      </c>
      <c r="AI503" t="str">
        <v/>
      </c>
      <c r="AJ503" t="str">
        <v/>
      </c>
      <c r="AK503" t="str">
        <v>01/10/2026 14:44:16</v>
      </c>
      <c r="AL503" t="str">
        <v>14:44:16</v>
      </c>
      <c r="AM503" t="str">
        <v/>
      </c>
    </row>
    <row r="504">
      <c r="A504">
        <v>503</v>
      </c>
      <c r="B504" t="str">
        <v>MASS BSF</v>
      </c>
      <c r="C504" t="str">
        <v>F8R-810</v>
      </c>
      <c r="D504" t="str">
        <v>F8R-810</v>
      </c>
      <c r="E504" t="str">
        <v/>
      </c>
      <c r="F504" t="str">
        <v>867806078868827</v>
      </c>
      <c r="G504" t="str">
        <v>TBD</v>
      </c>
      <c r="H504" t="str">
        <v/>
      </c>
      <c r="I504" t="str">
        <v/>
      </c>
      <c r="J504" t="str">
        <v>01/10/2026</v>
      </c>
      <c r="K504" t="str">
        <v>14:44:33</v>
      </c>
      <c r="L504">
        <v>-12.16602</v>
      </c>
      <c r="M504">
        <v>-76.947334</v>
      </c>
      <c r="N504">
        <f>HYPERLINK("https://www.google.com/maps/search/?api=1&amp;query=-12.16602,-76.947334","Jirón La Unión, Villa María del Triunfo, Lima")</f>
      </c>
      <c r="O504" t="str">
        <v>Acelerado y giro brusco</v>
      </c>
      <c r="P504" t="str">
        <v/>
      </c>
      <c r="Q504">
        <v>2168.8</v>
      </c>
      <c r="R504" t="str">
        <v/>
      </c>
      <c r="S504">
        <v>22.2</v>
      </c>
      <c r="T504">
        <v>83.65</v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>
        <v>87</v>
      </c>
      <c r="AC504" t="str">
        <v>01/10/2026</v>
      </c>
      <c r="AD504" t="str">
        <v>14:44:30</v>
      </c>
      <c r="AE504">
        <f>IF("ONLINE"="NOGPS","GPS Antiguo","En línea")</f>
      </c>
      <c r="AF504">
        <f>IF(0=0,"Sin atender", IF(0=1,"Atendida","Atendida y Reportada"))</f>
      </c>
      <c r="AG504" t="str">
        <v/>
      </c>
      <c r="AH504" t="str">
        <v/>
      </c>
      <c r="AI504" t="str">
        <v/>
      </c>
      <c r="AJ504" t="str">
        <v/>
      </c>
      <c r="AK504" t="str">
        <v>01/10/2026 14:44:36</v>
      </c>
      <c r="AL504" t="str">
        <v>14:44:36</v>
      </c>
      <c r="AM504" t="str">
        <v/>
      </c>
    </row>
    <row r="505">
      <c r="A505">
        <v>504</v>
      </c>
      <c r="B505" t="str">
        <v>MASS BSF</v>
      </c>
      <c r="C505" t="str">
        <v>F8R-810</v>
      </c>
      <c r="D505" t="str">
        <v>F8R-810</v>
      </c>
      <c r="E505" t="str">
        <v/>
      </c>
      <c r="F505" t="str">
        <v>867806078868827</v>
      </c>
      <c r="G505" t="str">
        <v>TBD</v>
      </c>
      <c r="H505" t="str">
        <v/>
      </c>
      <c r="I505" t="str">
        <v/>
      </c>
      <c r="J505" t="str">
        <v>01/10/2026</v>
      </c>
      <c r="K505" t="str">
        <v>14:44:52</v>
      </c>
      <c r="L505">
        <v>-12.166777</v>
      </c>
      <c r="M505">
        <v>-76.946785</v>
      </c>
      <c r="N505">
        <f>HYPERLINK("https://www.google.com/maps/search/?api=1&amp;query=-12.166777,-76.946785","Jirón La Unión, Villa María del Triunfo, Lima")</f>
      </c>
      <c r="O505" t="str">
        <v>Acelerado y giro brusco</v>
      </c>
      <c r="P505" t="str">
        <v/>
      </c>
      <c r="Q505">
        <v>2168.9</v>
      </c>
      <c r="R505" t="str">
        <v/>
      </c>
      <c r="S505">
        <v>26.4</v>
      </c>
      <c r="T505">
        <v>83.65</v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>
        <v>87</v>
      </c>
      <c r="AC505" t="str">
        <v>01/10/2026</v>
      </c>
      <c r="AD505" t="str">
        <v>14:44:49</v>
      </c>
      <c r="AE505">
        <f>IF("ONLINE"="NOGPS","GPS Antiguo","En línea")</f>
      </c>
      <c r="AF505">
        <f>IF(0=0,"Sin atender", IF(0=1,"Atendida","Atendida y Reportada"))</f>
      </c>
      <c r="AG505" t="str">
        <v/>
      </c>
      <c r="AH505" t="str">
        <v/>
      </c>
      <c r="AI505" t="str">
        <v/>
      </c>
      <c r="AJ505" t="str">
        <v/>
      </c>
      <c r="AK505" t="str">
        <v>01/10/2026 14:45:05</v>
      </c>
      <c r="AL505" t="str">
        <v>14:45:05</v>
      </c>
      <c r="AM505" t="str">
        <v/>
      </c>
    </row>
    <row r="506">
      <c r="A506">
        <v>505</v>
      </c>
      <c r="B506" t="str">
        <v>MASS BSF</v>
      </c>
      <c r="C506" t="str">
        <v>F8R-810</v>
      </c>
      <c r="D506" t="str">
        <v>F8R-810</v>
      </c>
      <c r="E506" t="str">
        <v/>
      </c>
      <c r="F506" t="str">
        <v>867806078868827</v>
      </c>
      <c r="G506" t="str">
        <v>TBD</v>
      </c>
      <c r="H506" t="str">
        <v/>
      </c>
      <c r="I506" t="str">
        <v/>
      </c>
      <c r="J506" t="str">
        <v>01/10/2026</v>
      </c>
      <c r="K506" t="str">
        <v>14:44:58</v>
      </c>
      <c r="L506">
        <v>-12.167064</v>
      </c>
      <c r="M506">
        <v>-76.9466</v>
      </c>
      <c r="N506">
        <f>HYPERLINK("https://www.google.com/maps/search/?api=1&amp;query=-12.167064,-76.9466","Jirón La Unión, Villa María del Triunfo, Lima")</f>
      </c>
      <c r="O506" t="str">
        <v>Aceleración brusca</v>
      </c>
      <c r="P506" t="str">
        <v>CMT-910</v>
      </c>
      <c r="Q506">
        <v>2168.9</v>
      </c>
      <c r="R506" t="str">
        <v/>
      </c>
      <c r="S506">
        <v>26.1</v>
      </c>
      <c r="T506">
        <v>83.65</v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>
        <v>87</v>
      </c>
      <c r="AC506" t="str">
        <v>01/10/2026</v>
      </c>
      <c r="AD506" t="str">
        <v>14:44:54</v>
      </c>
      <c r="AE506">
        <f>IF("ONLINE"="NOGPS","GPS Antiguo","En línea")</f>
      </c>
      <c r="AF506">
        <f>IF(0=0,"Sin atender", IF(0=1,"Atendida","Atendida y Reportada"))</f>
      </c>
      <c r="AG506" t="str">
        <v/>
      </c>
      <c r="AH506" t="str">
        <v/>
      </c>
      <c r="AI506" t="str">
        <v/>
      </c>
      <c r="AJ506" t="str">
        <v/>
      </c>
      <c r="AK506" t="str">
        <v>01/10/2026 14:45:06</v>
      </c>
      <c r="AL506" t="str">
        <v>14:45:06</v>
      </c>
      <c r="AM506" t="str">
        <v/>
      </c>
    </row>
    <row r="507">
      <c r="A507">
        <v>506</v>
      </c>
      <c r="B507" t="str">
        <v>MASS BSF</v>
      </c>
      <c r="C507" t="str">
        <v>F8R-810</v>
      </c>
      <c r="D507" t="str">
        <v>F8R-810</v>
      </c>
      <c r="E507" t="str">
        <v/>
      </c>
      <c r="F507" t="str">
        <v>867806078868827</v>
      </c>
      <c r="G507" t="str">
        <v>TBD</v>
      </c>
      <c r="H507" t="str">
        <v/>
      </c>
      <c r="I507" t="str">
        <v/>
      </c>
      <c r="J507" t="str">
        <v>01/10/2026</v>
      </c>
      <c r="K507" t="str">
        <v>14:45:01</v>
      </c>
      <c r="L507">
        <v>-12.167272</v>
      </c>
      <c r="M507">
        <v>-76.946434</v>
      </c>
      <c r="N507">
        <f>HYPERLINK("https://www.google.com/maps/search/?api=1&amp;query=-12.167272,-76.946434","Jirón La Unión, Villa María del Triunfo, Lima")</f>
      </c>
      <c r="O507" t="str">
        <v>Acelerado y giro brusco</v>
      </c>
      <c r="P507" t="str">
        <v/>
      </c>
      <c r="Q507">
        <v>2168.9</v>
      </c>
      <c r="R507" t="str">
        <v/>
      </c>
      <c r="S507">
        <v>27.4</v>
      </c>
      <c r="T507">
        <v>83.65</v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>
        <v>90</v>
      </c>
      <c r="AC507" t="str">
        <v>01/10/2026</v>
      </c>
      <c r="AD507" t="str">
        <v>14:44:58</v>
      </c>
      <c r="AE507">
        <f>IF("ONLINE"="NOGPS","GPS Antiguo","En línea")</f>
      </c>
      <c r="AF507">
        <f>IF(0=0,"Sin atender", IF(0=1,"Atendida","Atendida y Reportada"))</f>
      </c>
      <c r="AG507" t="str">
        <v/>
      </c>
      <c r="AH507" t="str">
        <v/>
      </c>
      <c r="AI507" t="str">
        <v/>
      </c>
      <c r="AJ507" t="str">
        <v/>
      </c>
      <c r="AK507" t="str">
        <v>01/10/2026 14:45:14</v>
      </c>
      <c r="AL507" t="str">
        <v>14:45:14</v>
      </c>
      <c r="AM507" t="str">
        <v/>
      </c>
    </row>
    <row r="508">
      <c r="A508">
        <v>507</v>
      </c>
      <c r="B508" t="str">
        <v>MASS BSF</v>
      </c>
      <c r="C508" t="str">
        <v>F8R-810</v>
      </c>
      <c r="D508" t="str">
        <v>F8R-810</v>
      </c>
      <c r="E508" t="str">
        <v/>
      </c>
      <c r="F508" t="str">
        <v>867806078868827</v>
      </c>
      <c r="G508" t="str">
        <v>TBD</v>
      </c>
      <c r="H508" t="str">
        <v/>
      </c>
      <c r="I508" t="str">
        <v/>
      </c>
      <c r="J508" t="str">
        <v>01/10/2026</v>
      </c>
      <c r="K508" t="str">
        <v>14:45:18</v>
      </c>
      <c r="L508">
        <v>-12.168012</v>
      </c>
      <c r="M508">
        <v>-76.945915</v>
      </c>
      <c r="N508">
        <f>HYPERLINK("https://www.google.com/maps/search/?api=1&amp;query=-12.168012,-76.945915","Jirón La Unión, Villa María del Triunfo, Lima")</f>
      </c>
      <c r="O508" t="str">
        <v>Acelerado y giro brusco</v>
      </c>
      <c r="P508" t="str">
        <v/>
      </c>
      <c r="Q508">
        <v>2169</v>
      </c>
      <c r="R508" t="str">
        <v/>
      </c>
      <c r="S508">
        <v>0.3</v>
      </c>
      <c r="T508">
        <v>83.65</v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>
        <v>90</v>
      </c>
      <c r="AC508" t="str">
        <v>01/10/2026</v>
      </c>
      <c r="AD508" t="str">
        <v>14:45:15</v>
      </c>
      <c r="AE508">
        <f>IF("ONLINE"="NOGPS","GPS Antiguo","En línea")</f>
      </c>
      <c r="AF508">
        <f>IF(0=0,"Sin atender", IF(0=1,"Atendida","Atendida y Reportada"))</f>
      </c>
      <c r="AG508" t="str">
        <v/>
      </c>
      <c r="AH508" t="str">
        <v/>
      </c>
      <c r="AI508" t="str">
        <v/>
      </c>
      <c r="AJ508" t="str">
        <v/>
      </c>
      <c r="AK508" t="str">
        <v>01/10/2026 14:45:29</v>
      </c>
      <c r="AL508" t="str">
        <v>14:45:29</v>
      </c>
      <c r="AM508" t="str">
        <v/>
      </c>
    </row>
    <row r="509">
      <c r="A509">
        <v>508</v>
      </c>
      <c r="B509" t="str">
        <v>MASS BSF</v>
      </c>
      <c r="C509" t="str">
        <v>F8R-810</v>
      </c>
      <c r="D509" t="str">
        <v>F8R-810</v>
      </c>
      <c r="E509" t="str">
        <v/>
      </c>
      <c r="F509" t="str">
        <v>867806078868827</v>
      </c>
      <c r="G509" t="str">
        <v>TBD</v>
      </c>
      <c r="H509" t="str">
        <v/>
      </c>
      <c r="I509" t="str">
        <v/>
      </c>
      <c r="J509" t="str">
        <v>01/10/2026</v>
      </c>
      <c r="K509" t="str">
        <v>14:45:20</v>
      </c>
      <c r="L509">
        <v>-12.168035</v>
      </c>
      <c r="M509">
        <v>-76.9459</v>
      </c>
      <c r="N509">
        <f>HYPERLINK("https://www.google.com/maps/search/?api=1&amp;query=-12.168035,-76.9459","Jirón La Unión, Villa María del Triunfo, Lima")</f>
      </c>
      <c r="O509" t="str">
        <v>Bache</v>
      </c>
      <c r="P509" t="str">
        <v/>
      </c>
      <c r="Q509">
        <v>2169</v>
      </c>
      <c r="R509" t="str">
        <v/>
      </c>
      <c r="S509">
        <v>0.5</v>
      </c>
      <c r="T509">
        <v>83.65</v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>
        <v>90</v>
      </c>
      <c r="AC509" t="str">
        <v>01/10/2026</v>
      </c>
      <c r="AD509" t="str">
        <v>14:45:17</v>
      </c>
      <c r="AE509">
        <f>IF("ONLINE"="NOGPS","GPS Antiguo","En línea")</f>
      </c>
      <c r="AF509">
        <f>IF(0=0,"Sin atender", IF(0=1,"Atendida","Atendida y Reportada"))</f>
      </c>
      <c r="AG509" t="str">
        <v/>
      </c>
      <c r="AH509" t="str">
        <v/>
      </c>
      <c r="AI509" t="str">
        <v/>
      </c>
      <c r="AJ509" t="str">
        <v/>
      </c>
      <c r="AK509" t="str">
        <v>01/10/2026 14:45:33</v>
      </c>
      <c r="AL509" t="str">
        <v>14:45:33</v>
      </c>
      <c r="AM509" t="str">
        <v/>
      </c>
    </row>
    <row r="510">
      <c r="A510">
        <v>509</v>
      </c>
      <c r="B510" t="str">
        <v>MASS BSF</v>
      </c>
      <c r="C510" t="str">
        <v>F8R-810</v>
      </c>
      <c r="D510" t="str">
        <v>F8R-810</v>
      </c>
      <c r="E510" t="str">
        <v/>
      </c>
      <c r="F510" t="str">
        <v>867806078868827</v>
      </c>
      <c r="G510" t="str">
        <v>TBD</v>
      </c>
      <c r="H510" t="str">
        <v/>
      </c>
      <c r="I510" t="str">
        <v/>
      </c>
      <c r="J510" t="str">
        <v>01/10/2026</v>
      </c>
      <c r="K510" t="str">
        <v>14:45:36</v>
      </c>
      <c r="L510">
        <v>-12.168705</v>
      </c>
      <c r="M510">
        <v>-76.94543</v>
      </c>
      <c r="N510">
        <f>HYPERLINK("https://www.google.com/maps/search/?api=1&amp;query=-12.168705,-76.94543","Jirón La Unión, Villa María del Triunfo, Lima")</f>
      </c>
      <c r="O510" t="str">
        <v>Acelerado y giro brusco</v>
      </c>
      <c r="P510" t="str">
        <v/>
      </c>
      <c r="Q510">
        <v>2169.1</v>
      </c>
      <c r="R510" t="str">
        <v/>
      </c>
      <c r="S510">
        <v>22.9</v>
      </c>
      <c r="T510">
        <v>83.65</v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>
        <v>90</v>
      </c>
      <c r="AC510" t="str">
        <v>01/10/2026</v>
      </c>
      <c r="AD510" t="str">
        <v>14:45:33</v>
      </c>
      <c r="AE510">
        <f>IF("ONLINE"="NOGPS","GPS Antiguo","En línea")</f>
      </c>
      <c r="AF510">
        <f>IF(0=0,"Sin atender", IF(0=1,"Atendida","Atendida y Reportada"))</f>
      </c>
      <c r="AG510" t="str">
        <v/>
      </c>
      <c r="AH510" t="str">
        <v/>
      </c>
      <c r="AI510" t="str">
        <v/>
      </c>
      <c r="AJ510" t="str">
        <v/>
      </c>
      <c r="AK510" t="str">
        <v>01/10/2026 14:45:41</v>
      </c>
      <c r="AL510" t="str">
        <v>14:45:41</v>
      </c>
      <c r="AM510" t="str">
        <v/>
      </c>
    </row>
    <row r="511">
      <c r="A511">
        <v>510</v>
      </c>
      <c r="B511" t="str">
        <v>MASS BSF</v>
      </c>
      <c r="C511" t="str">
        <v>F8R-810</v>
      </c>
      <c r="D511" t="str">
        <v>F8R-810</v>
      </c>
      <c r="E511" t="str">
        <v/>
      </c>
      <c r="F511" t="str">
        <v>867806078868827</v>
      </c>
      <c r="G511" t="str">
        <v>TBD</v>
      </c>
      <c r="H511" t="str">
        <v/>
      </c>
      <c r="I511" t="str">
        <v/>
      </c>
      <c r="J511" t="str">
        <v>01/10/2026</v>
      </c>
      <c r="K511" t="str">
        <v>14:45:41</v>
      </c>
      <c r="L511">
        <v>-12.16883</v>
      </c>
      <c r="M511">
        <v>-76.94534</v>
      </c>
      <c r="N511">
        <f>HYPERLINK("https://www.google.com/maps/search/?api=1&amp;query=-12.16883,-76.94534","Jirón La Unión, Villa María del Triunfo, Lima")</f>
      </c>
      <c r="O511" t="str">
        <v>Bache</v>
      </c>
      <c r="P511" t="str">
        <v/>
      </c>
      <c r="Q511">
        <v>2169.1</v>
      </c>
      <c r="R511" t="str">
        <v/>
      </c>
      <c r="S511">
        <v>3.1</v>
      </c>
      <c r="T511">
        <v>83.65</v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>
        <v>90</v>
      </c>
      <c r="AC511" t="str">
        <v>01/10/2026</v>
      </c>
      <c r="AD511" t="str">
        <v>14:45:38</v>
      </c>
      <c r="AE511">
        <f>IF("ONLINE"="NOGPS","GPS Antiguo","En línea")</f>
      </c>
      <c r="AF511">
        <f>IF(0=0,"Sin atender", IF(0=1,"Atendida","Atendida y Reportada"))</f>
      </c>
      <c r="AG511" t="str">
        <v/>
      </c>
      <c r="AH511" t="str">
        <v/>
      </c>
      <c r="AI511" t="str">
        <v/>
      </c>
      <c r="AJ511" t="str">
        <v/>
      </c>
      <c r="AK511" t="str">
        <v>01/10/2026 14:45:47</v>
      </c>
      <c r="AL511" t="str">
        <v>14:45:47</v>
      </c>
      <c r="AM511" t="str">
        <v/>
      </c>
    </row>
    <row r="512">
      <c r="A512">
        <v>511</v>
      </c>
      <c r="B512" t="str">
        <v>MASS BSF</v>
      </c>
      <c r="C512" t="str">
        <v>F8R-810</v>
      </c>
      <c r="D512" t="str">
        <v>F8R-810</v>
      </c>
      <c r="E512" t="str">
        <v/>
      </c>
      <c r="F512" t="str">
        <v>867806078868827</v>
      </c>
      <c r="G512" t="str">
        <v>TBD</v>
      </c>
      <c r="H512" t="str">
        <v/>
      </c>
      <c r="I512" t="str">
        <v/>
      </c>
      <c r="J512" t="str">
        <v>01/10/2026</v>
      </c>
      <c r="K512" t="str">
        <v>14:45:45</v>
      </c>
      <c r="L512">
        <v>-12.168852</v>
      </c>
      <c r="M512">
        <v>-76.945335</v>
      </c>
      <c r="N512">
        <f>HYPERLINK("https://www.google.com/maps/search/?api=1&amp;query=-12.168852,-76.945335","Jirón La Unión, Villa María del Triunfo, Lima")</f>
      </c>
      <c r="O512" t="str">
        <v>Acelerado y giro brusco</v>
      </c>
      <c r="P512" t="str">
        <v/>
      </c>
      <c r="Q512">
        <v>2169.1</v>
      </c>
      <c r="R512" t="str">
        <v/>
      </c>
      <c r="S512">
        <v>0.1</v>
      </c>
      <c r="T512">
        <v>83.65</v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>
        <v>90</v>
      </c>
      <c r="AC512" t="str">
        <v>01/10/2026</v>
      </c>
      <c r="AD512" t="str">
        <v>14:45:42</v>
      </c>
      <c r="AE512">
        <f>IF("ONLINE"="NOGPS","GPS Antiguo","En línea")</f>
      </c>
      <c r="AF512">
        <f>IF(0=0,"Sin atender", IF(0=1,"Atendida","Atendida y Reportada"))</f>
      </c>
      <c r="AG512" t="str">
        <v/>
      </c>
      <c r="AH512" t="str">
        <v/>
      </c>
      <c r="AI512" t="str">
        <v/>
      </c>
      <c r="AJ512" t="str">
        <v/>
      </c>
      <c r="AK512" t="str">
        <v>01/10/2026 14:45:54</v>
      </c>
      <c r="AL512" t="str">
        <v>14:45:54</v>
      </c>
      <c r="AM512" t="str">
        <v/>
      </c>
    </row>
    <row r="513">
      <c r="A513">
        <v>512</v>
      </c>
      <c r="B513" t="str">
        <v>MASS BSF</v>
      </c>
      <c r="C513" t="str">
        <v>F8R-810</v>
      </c>
      <c r="D513" t="str">
        <v>F8R-810</v>
      </c>
      <c r="E513" t="str">
        <v/>
      </c>
      <c r="F513" t="str">
        <v>867806078868827</v>
      </c>
      <c r="G513" t="str">
        <v>TBD</v>
      </c>
      <c r="H513" t="str">
        <v/>
      </c>
      <c r="I513" t="str">
        <v/>
      </c>
      <c r="J513" t="str">
        <v>01/10/2026</v>
      </c>
      <c r="K513" t="str">
        <v>14:46:37</v>
      </c>
      <c r="L513">
        <v>-12.17038</v>
      </c>
      <c r="M513">
        <v>-76.94547</v>
      </c>
      <c r="N513">
        <f>HYPERLINK("https://www.google.com/maps/search/?api=1&amp;query=-12.17038,-76.94547","Avenida María Parado de Bellido, Villa María del Triunfo, Lima")</f>
      </c>
      <c r="O513" t="str">
        <v>Acelerado y giro brusco</v>
      </c>
      <c r="P513" t="str">
        <v/>
      </c>
      <c r="Q513">
        <v>2169.4</v>
      </c>
      <c r="R513" t="str">
        <v/>
      </c>
      <c r="S513">
        <v>13.7</v>
      </c>
      <c r="T513">
        <v>83.65</v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>
        <v>86</v>
      </c>
      <c r="AC513" t="str">
        <v>01/10/2026</v>
      </c>
      <c r="AD513" t="str">
        <v>14:46:34</v>
      </c>
      <c r="AE513">
        <f>IF("ONLINE"="NOGPS","GPS Antiguo","En línea")</f>
      </c>
      <c r="AF513">
        <f>IF(0=0,"Sin atender", IF(0=1,"Atendida","Atendida y Reportada"))</f>
      </c>
      <c r="AG513" t="str">
        <v/>
      </c>
      <c r="AH513" t="str">
        <v/>
      </c>
      <c r="AI513" t="str">
        <v/>
      </c>
      <c r="AJ513" t="str">
        <v/>
      </c>
      <c r="AK513" t="str">
        <v>01/10/2026 14:46:57</v>
      </c>
      <c r="AL513" t="str">
        <v>14:46:57</v>
      </c>
      <c r="AM513" t="str">
        <v/>
      </c>
    </row>
    <row r="514">
      <c r="A514">
        <v>513</v>
      </c>
      <c r="B514" t="str">
        <v>MASS BSF</v>
      </c>
      <c r="C514" t="str">
        <v>F8R-810</v>
      </c>
      <c r="D514" t="str">
        <v>F8R-810</v>
      </c>
      <c r="E514" t="str">
        <v/>
      </c>
      <c r="F514" t="str">
        <v>867806078868827</v>
      </c>
      <c r="G514" t="str">
        <v>TBD</v>
      </c>
      <c r="H514" t="str">
        <v/>
      </c>
      <c r="I514" t="str">
        <v/>
      </c>
      <c r="J514" t="str">
        <v>01/10/2026</v>
      </c>
      <c r="K514" t="str">
        <v>14:47:30</v>
      </c>
      <c r="L514">
        <v>-12.17067</v>
      </c>
      <c r="M514">
        <v>-76.94588</v>
      </c>
      <c r="N514">
        <f>HYPERLINK("https://www.google.com/maps/search/?api=1&amp;query=-12.17067,-76.94588","Avenida María Parado de Bellido, Villa María del Triunfo, Lima")</f>
      </c>
      <c r="O514" t="str">
        <v>Acelerado y giro brusco</v>
      </c>
      <c r="P514" t="str">
        <v/>
      </c>
      <c r="Q514">
        <v>2169.4</v>
      </c>
      <c r="R514" t="str">
        <v/>
      </c>
      <c r="S514">
        <v>9.2</v>
      </c>
      <c r="T514">
        <v>83.65</v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>
        <v>86</v>
      </c>
      <c r="AC514" t="str">
        <v>01/10/2026</v>
      </c>
      <c r="AD514" t="str">
        <v>14:47:27</v>
      </c>
      <c r="AE514">
        <f>IF("ONLINE"="NOGPS","GPS Antiguo","En línea")</f>
      </c>
      <c r="AF514">
        <f>IF(0=0,"Sin atender", IF(0=1,"Atendida","Atendida y Reportada"))</f>
      </c>
      <c r="AG514" t="str">
        <v/>
      </c>
      <c r="AH514" t="str">
        <v/>
      </c>
      <c r="AI514" t="str">
        <v/>
      </c>
      <c r="AJ514" t="str">
        <v/>
      </c>
      <c r="AK514" t="str">
        <v>01/10/2026 14:47:44</v>
      </c>
      <c r="AL514" t="str">
        <v>14:47:44</v>
      </c>
      <c r="AM514" t="str">
        <v/>
      </c>
    </row>
    <row r="515">
      <c r="A515">
        <v>514</v>
      </c>
      <c r="B515" t="str">
        <v>MASS BSF</v>
      </c>
      <c r="C515" t="str">
        <v>F8R-810</v>
      </c>
      <c r="D515" t="str">
        <v>F8R-810</v>
      </c>
      <c r="E515" t="str">
        <v/>
      </c>
      <c r="F515" t="str">
        <v>867806078868827</v>
      </c>
      <c r="G515" t="str">
        <v>TBD</v>
      </c>
      <c r="H515" t="str">
        <v/>
      </c>
      <c r="I515" t="str">
        <v/>
      </c>
      <c r="J515" t="str">
        <v>01/10/2026</v>
      </c>
      <c r="K515" t="str">
        <v>14:47:36</v>
      </c>
      <c r="L515">
        <v>-12.170723</v>
      </c>
      <c r="M515">
        <v>-76.94595</v>
      </c>
      <c r="N515">
        <f>HYPERLINK("https://www.google.com/maps/search/?api=1&amp;query=-12.170723,-76.94595","Avenida María Parado de Bellido, Villa María del Triunfo, Lima")</f>
      </c>
      <c r="O515" t="str">
        <v>Acelerado y giro brusco</v>
      </c>
      <c r="P515" t="str">
        <v/>
      </c>
      <c r="Q515">
        <v>2169.4</v>
      </c>
      <c r="R515" t="str">
        <v/>
      </c>
      <c r="S515">
        <v>5.3</v>
      </c>
      <c r="T515">
        <v>83.65</v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>
        <v>85</v>
      </c>
      <c r="AC515" t="str">
        <v>01/10/2026</v>
      </c>
      <c r="AD515" t="str">
        <v>14:47:33</v>
      </c>
      <c r="AE515">
        <f>IF("ONLINE"="NOGPS","GPS Antiguo","En línea")</f>
      </c>
      <c r="AF515">
        <f>IF(0=0,"Sin atender", IF(0=1,"Atendida","Atendida y Reportada"))</f>
      </c>
      <c r="AG515" t="str">
        <v/>
      </c>
      <c r="AH515" t="str">
        <v/>
      </c>
      <c r="AI515" t="str">
        <v/>
      </c>
      <c r="AJ515" t="str">
        <v/>
      </c>
      <c r="AK515" t="str">
        <v>01/10/2026 14:47:52</v>
      </c>
      <c r="AL515" t="str">
        <v>14:47:52</v>
      </c>
      <c r="AM515" t="str">
        <v/>
      </c>
    </row>
    <row r="516">
      <c r="A516">
        <v>515</v>
      </c>
      <c r="B516" t="str">
        <v>MASS BSF</v>
      </c>
      <c r="C516" t="str">
        <v>F8R-810</v>
      </c>
      <c r="D516" t="str">
        <v>F8R-810</v>
      </c>
      <c r="E516" t="str">
        <v/>
      </c>
      <c r="F516" t="str">
        <v>867806078868827</v>
      </c>
      <c r="G516" t="str">
        <v>TBD</v>
      </c>
      <c r="H516" t="str">
        <v/>
      </c>
      <c r="I516" t="str">
        <v/>
      </c>
      <c r="J516" t="str">
        <v>01/10/2026</v>
      </c>
      <c r="K516" t="str">
        <v>14:47:55</v>
      </c>
      <c r="L516">
        <v>-12.171126</v>
      </c>
      <c r="M516">
        <v>-76.94655</v>
      </c>
      <c r="N516">
        <f>HYPERLINK("https://www.google.com/maps/search/?api=1&amp;query=-12.171126,-76.94655","Avenida María Parado de Bellido, Villa María del Triunfo, Lima")</f>
      </c>
      <c r="O516" t="str">
        <v>Acelerado y giro brusco</v>
      </c>
      <c r="P516" t="str">
        <v/>
      </c>
      <c r="Q516">
        <v>2169.5</v>
      </c>
      <c r="R516" t="str">
        <v/>
      </c>
      <c r="S516">
        <v>29.8</v>
      </c>
      <c r="T516">
        <v>83.65</v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>
        <v>85</v>
      </c>
      <c r="AC516" t="str">
        <v>01/10/2026</v>
      </c>
      <c r="AD516" t="str">
        <v>14:47:52</v>
      </c>
      <c r="AE516">
        <f>IF("ONLINE"="NOGPS","GPS Antiguo","En línea")</f>
      </c>
      <c r="AF516">
        <f>IF(0=0,"Sin atender", IF(0=1,"Atendida","Atendida y Reportada"))</f>
      </c>
      <c r="AG516" t="str">
        <v/>
      </c>
      <c r="AH516" t="str">
        <v/>
      </c>
      <c r="AI516" t="str">
        <v/>
      </c>
      <c r="AJ516" t="str">
        <v/>
      </c>
      <c r="AK516" t="str">
        <v>01/10/2026 14:48:14</v>
      </c>
      <c r="AL516" t="str">
        <v>14:48:14</v>
      </c>
      <c r="AM516" t="str">
        <v/>
      </c>
    </row>
    <row r="517">
      <c r="A517">
        <v>516</v>
      </c>
      <c r="B517" t="str">
        <v>MASS BSF</v>
      </c>
      <c r="C517" t="str">
        <v>F8R-810</v>
      </c>
      <c r="D517" t="str">
        <v>F8R-810</v>
      </c>
      <c r="E517" t="str">
        <v/>
      </c>
      <c r="F517" t="str">
        <v>867806078868827</v>
      </c>
      <c r="G517" t="str">
        <v>TBD</v>
      </c>
      <c r="H517" t="str">
        <v/>
      </c>
      <c r="I517" t="str">
        <v/>
      </c>
      <c r="J517" t="str">
        <v>01/10/2026</v>
      </c>
      <c r="K517" t="str">
        <v>14:48:13</v>
      </c>
      <c r="L517">
        <v>-12.171556</v>
      </c>
      <c r="M517">
        <v>-76.947174</v>
      </c>
      <c r="N517">
        <f>HYPERLINK("https://www.google.com/maps/search/?api=1&amp;query=-12.171556,-76.947174","Avenida María Parado de Bellido, Villa María del Triunfo, Lima")</f>
      </c>
      <c r="O517" t="str">
        <v>Acelerado y giro brusco</v>
      </c>
      <c r="P517" t="str">
        <v/>
      </c>
      <c r="Q517">
        <v>2169.6</v>
      </c>
      <c r="R517" t="str">
        <v/>
      </c>
      <c r="S517">
        <v>26.1</v>
      </c>
      <c r="T517">
        <v>83.65</v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>
        <v>85</v>
      </c>
      <c r="AC517" t="str">
        <v>01/10/2026</v>
      </c>
      <c r="AD517" t="str">
        <v>14:48:10</v>
      </c>
      <c r="AE517">
        <f>IF("ONLINE"="NOGPS","GPS Antiguo","En línea")</f>
      </c>
      <c r="AF517">
        <f>IF(0=0,"Sin atender", IF(0=1,"Atendida","Atendida y Reportada"))</f>
      </c>
      <c r="AG517" t="str">
        <v/>
      </c>
      <c r="AH517" t="str">
        <v/>
      </c>
      <c r="AI517" t="str">
        <v/>
      </c>
      <c r="AJ517" t="str">
        <v/>
      </c>
      <c r="AK517" t="str">
        <v>01/10/2026 14:48:27</v>
      </c>
      <c r="AL517" t="str">
        <v>14:48:27</v>
      </c>
      <c r="AM517" t="str">
        <v/>
      </c>
    </row>
    <row r="518">
      <c r="A518">
        <v>517</v>
      </c>
      <c r="B518" t="str">
        <v>MASS BSF</v>
      </c>
      <c r="C518" t="str">
        <v>F8R-810</v>
      </c>
      <c r="D518" t="str">
        <v>F8R-810</v>
      </c>
      <c r="E518" t="str">
        <v/>
      </c>
      <c r="F518" t="str">
        <v>867806078868827</v>
      </c>
      <c r="G518" t="str">
        <v>TBD</v>
      </c>
      <c r="H518" t="str">
        <v/>
      </c>
      <c r="I518" t="str">
        <v/>
      </c>
      <c r="J518" t="str">
        <v>01/10/2026</v>
      </c>
      <c r="K518" t="str">
        <v>14:48:24</v>
      </c>
      <c r="L518">
        <v>-12.172045</v>
      </c>
      <c r="M518">
        <v>-76.94786</v>
      </c>
      <c r="N518">
        <f>HYPERLINK("https://www.google.com/maps/search/?api=1&amp;query=-12.172045,-76.94786","Avenida María Parado de Bellido, Villa María del Triunfo, Lima")</f>
      </c>
      <c r="O518" t="str">
        <v>Acelerado y giro brusco</v>
      </c>
      <c r="P518" t="str">
        <v/>
      </c>
      <c r="Q518">
        <v>2169.7</v>
      </c>
      <c r="R518" t="str">
        <v/>
      </c>
      <c r="S518">
        <v>28.5</v>
      </c>
      <c r="T518">
        <v>83.65</v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>
        <v>85</v>
      </c>
      <c r="AC518" t="str">
        <v>01/10/2026</v>
      </c>
      <c r="AD518" t="str">
        <v>14:48:21</v>
      </c>
      <c r="AE518">
        <f>IF("ONLINE"="NOGPS","GPS Antiguo","En línea")</f>
      </c>
      <c r="AF518">
        <f>IF(0=0,"Sin atender", IF(0=1,"Atendida","Atendida y Reportada"))</f>
      </c>
      <c r="AG518" t="str">
        <v/>
      </c>
      <c r="AH518" t="str">
        <v/>
      </c>
      <c r="AI518" t="str">
        <v/>
      </c>
      <c r="AJ518" t="str">
        <v/>
      </c>
      <c r="AK518" t="str">
        <v>01/10/2026 14:48:30</v>
      </c>
      <c r="AL518" t="str">
        <v>14:48:30</v>
      </c>
      <c r="AM518" t="str">
        <v/>
      </c>
    </row>
    <row r="519">
      <c r="A519">
        <v>518</v>
      </c>
      <c r="B519" t="str">
        <v>MASS BSF</v>
      </c>
      <c r="C519" t="str">
        <v>F8R-810</v>
      </c>
      <c r="D519" t="str">
        <v>F8R-810</v>
      </c>
      <c r="E519" t="str">
        <v/>
      </c>
      <c r="F519" t="str">
        <v>867806078868827</v>
      </c>
      <c r="G519" t="str">
        <v>TBD</v>
      </c>
      <c r="H519" t="str">
        <v/>
      </c>
      <c r="I519" t="str">
        <v/>
      </c>
      <c r="J519" t="str">
        <v>01/10/2026</v>
      </c>
      <c r="K519" t="str">
        <v>14:48:29</v>
      </c>
      <c r="L519">
        <v>-12.172222</v>
      </c>
      <c r="M519">
        <v>-76.94812</v>
      </c>
      <c r="N519">
        <f>HYPERLINK("https://www.google.com/maps/search/?api=1&amp;query=-12.172222,-76.94812","Avenida María Parado de Bellido, Villa María del Triunfo, Lima")</f>
      </c>
      <c r="O519" t="str">
        <v>Acelerado y giro brusco</v>
      </c>
      <c r="P519" t="str">
        <v/>
      </c>
      <c r="Q519">
        <v>2169.7</v>
      </c>
      <c r="R519" t="str">
        <v/>
      </c>
      <c r="S519">
        <v>18.5</v>
      </c>
      <c r="T519">
        <v>83.65</v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>
        <v>85</v>
      </c>
      <c r="AC519" t="str">
        <v>01/10/2026</v>
      </c>
      <c r="AD519" t="str">
        <v>14:48:26</v>
      </c>
      <c r="AE519">
        <f>IF("ONLINE"="NOGPS","GPS Antiguo","En línea")</f>
      </c>
      <c r="AF519">
        <f>IF(0=0,"Sin atender", IF(0=1,"Atendida","Atendida y Reportada"))</f>
      </c>
      <c r="AG519" t="str">
        <v/>
      </c>
      <c r="AH519" t="str">
        <v/>
      </c>
      <c r="AI519" t="str">
        <v/>
      </c>
      <c r="AJ519" t="str">
        <v/>
      </c>
      <c r="AK519" t="str">
        <v>01/10/2026 14:48:48</v>
      </c>
      <c r="AL519" t="str">
        <v>14:48:48</v>
      </c>
      <c r="AM519" t="str">
        <v/>
      </c>
    </row>
    <row r="520">
      <c r="A520">
        <v>519</v>
      </c>
      <c r="B520" t="str">
        <v>MASS BSF</v>
      </c>
      <c r="C520" t="str">
        <v>F8R-810</v>
      </c>
      <c r="D520" t="str">
        <v>F8R-810</v>
      </c>
      <c r="E520" t="str">
        <v/>
      </c>
      <c r="F520" t="str">
        <v>867806078868827</v>
      </c>
      <c r="G520" t="str">
        <v>TBD</v>
      </c>
      <c r="H520" t="str">
        <v/>
      </c>
      <c r="I520" t="str">
        <v/>
      </c>
      <c r="J520" t="str">
        <v>01/10/2026</v>
      </c>
      <c r="K520" t="str">
        <v>14:48:35</v>
      </c>
      <c r="L520">
        <v>-12.172338</v>
      </c>
      <c r="M520">
        <v>-76.948296</v>
      </c>
      <c r="N520">
        <f>HYPERLINK("https://www.google.com/maps/search/?api=1&amp;query=-12.172338,-76.948296","Avenida María Parado de Bellido, Villa María del Triunfo, Lima")</f>
      </c>
      <c r="O520" t="str">
        <v>Acelerado y giro brusco</v>
      </c>
      <c r="P520" t="str">
        <v/>
      </c>
      <c r="Q520">
        <v>2169.7</v>
      </c>
      <c r="R520" t="str">
        <v/>
      </c>
      <c r="S520">
        <v>8.1</v>
      </c>
      <c r="T520">
        <v>83.65</v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>
        <v>85</v>
      </c>
      <c r="AC520" t="str">
        <v>01/10/2026</v>
      </c>
      <c r="AD520" t="str">
        <v>14:48:32</v>
      </c>
      <c r="AE520">
        <f>IF("ONLINE"="NOGPS","GPS Antiguo","En línea")</f>
      </c>
      <c r="AF520">
        <f>IF(0=0,"Sin atender", IF(0=1,"Atendida","Atendida y Reportada"))</f>
      </c>
      <c r="AG520" t="str">
        <v/>
      </c>
      <c r="AH520" t="str">
        <v/>
      </c>
      <c r="AI520" t="str">
        <v/>
      </c>
      <c r="AJ520" t="str">
        <v/>
      </c>
      <c r="AK520" t="str">
        <v>01/10/2026 14:48:49</v>
      </c>
      <c r="AL520" t="str">
        <v>14:48:49</v>
      </c>
      <c r="AM520" t="str">
        <v/>
      </c>
    </row>
    <row r="521">
      <c r="A521">
        <v>520</v>
      </c>
      <c r="B521" t="str">
        <v>MASS BSF</v>
      </c>
      <c r="C521" t="str">
        <v>F8R-810</v>
      </c>
      <c r="D521" t="str">
        <v>F8R-810</v>
      </c>
      <c r="E521" t="str">
        <v/>
      </c>
      <c r="F521" t="str">
        <v>867806078868827</v>
      </c>
      <c r="G521" t="str">
        <v>TBD</v>
      </c>
      <c r="H521" t="str">
        <v/>
      </c>
      <c r="I521" t="str">
        <v/>
      </c>
      <c r="J521" t="str">
        <v>01/10/2026</v>
      </c>
      <c r="K521" t="str">
        <v>14:48:48</v>
      </c>
      <c r="L521">
        <v>-12.17239</v>
      </c>
      <c r="M521">
        <v>-76.94835</v>
      </c>
      <c r="N521">
        <f>HYPERLINK("https://www.google.com/maps/search/?api=1&amp;query=-12.17239,-76.94835","Avenida María Parado de Bellido, Villa María del Triunfo, Lima")</f>
      </c>
      <c r="O521" t="str">
        <v>Acelerado y giro brusco</v>
      </c>
      <c r="P521" t="str">
        <v/>
      </c>
      <c r="Q521">
        <v>2169.7</v>
      </c>
      <c r="R521" t="str">
        <v/>
      </c>
      <c r="S521">
        <v>8.1</v>
      </c>
      <c r="T521">
        <v>83.65</v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>
        <v>85</v>
      </c>
      <c r="AC521" t="str">
        <v>01/10/2026</v>
      </c>
      <c r="AD521" t="str">
        <v>14:48:44</v>
      </c>
      <c r="AE521">
        <f>IF("ONLINE"="NOGPS","GPS Antiguo","En línea")</f>
      </c>
      <c r="AF521">
        <f>IF(0=0,"Sin atender", IF(0=1,"Atendida","Atendida y Reportada"))</f>
      </c>
      <c r="AG521" t="str">
        <v/>
      </c>
      <c r="AH521" t="str">
        <v/>
      </c>
      <c r="AI521" t="str">
        <v/>
      </c>
      <c r="AJ521" t="str">
        <v/>
      </c>
      <c r="AK521" t="str">
        <v>01/10/2026 14:49:07</v>
      </c>
      <c r="AL521" t="str">
        <v>14:49:07</v>
      </c>
      <c r="AM521" t="str">
        <v/>
      </c>
    </row>
    <row r="522">
      <c r="A522">
        <v>521</v>
      </c>
      <c r="B522" t="str">
        <v>MASS BSF</v>
      </c>
      <c r="C522" t="str">
        <v>F8R-810</v>
      </c>
      <c r="D522" t="str">
        <v>F8R-810</v>
      </c>
      <c r="E522" t="str">
        <v/>
      </c>
      <c r="F522" t="str">
        <v>867806078868827</v>
      </c>
      <c r="G522" t="str">
        <v>TBD</v>
      </c>
      <c r="H522" t="str">
        <v/>
      </c>
      <c r="I522" t="str">
        <v/>
      </c>
      <c r="J522" t="str">
        <v>01/10/2026</v>
      </c>
      <c r="K522" t="str">
        <v>14:48:59</v>
      </c>
      <c r="L522">
        <v>-12.17275</v>
      </c>
      <c r="M522">
        <v>-76.94845</v>
      </c>
      <c r="N522">
        <f>HYPERLINK("https://www.google.com/maps/search/?api=1&amp;query=-12.17275,-76.94845","Avenida Pachacútec, Villa María del Triunfo, Lima")</f>
      </c>
      <c r="O522" t="str">
        <v>Giro brusco</v>
      </c>
      <c r="P522" t="str">
        <v/>
      </c>
      <c r="Q522">
        <v>2169.8</v>
      </c>
      <c r="R522" t="str">
        <v/>
      </c>
      <c r="S522">
        <v>20.1</v>
      </c>
      <c r="T522">
        <v>83.65</v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>
        <v>85</v>
      </c>
      <c r="AC522" t="str">
        <v>01/10/2026</v>
      </c>
      <c r="AD522" t="str">
        <v>14:48:56</v>
      </c>
      <c r="AE522">
        <f>IF("ONLINE"="NOGPS","GPS Antiguo","En línea")</f>
      </c>
      <c r="AF522">
        <f>IF(0=0,"Sin atender", IF(0=1,"Atendida","Atendida y Reportada"))</f>
      </c>
      <c r="AG522" t="str">
        <v/>
      </c>
      <c r="AH522" t="str">
        <v/>
      </c>
      <c r="AI522" t="str">
        <v/>
      </c>
      <c r="AJ522" t="str">
        <v/>
      </c>
      <c r="AK522" t="str">
        <v>01/10/2026 14:49:14</v>
      </c>
      <c r="AL522" t="str">
        <v>14:49:14</v>
      </c>
      <c r="AM522" t="str">
        <v/>
      </c>
    </row>
    <row r="523">
      <c r="A523">
        <v>522</v>
      </c>
      <c r="B523" t="str">
        <v>MASS BSF</v>
      </c>
      <c r="C523" t="str">
        <v>F8R-810</v>
      </c>
      <c r="D523" t="str">
        <v>F8R-810</v>
      </c>
      <c r="E523" t="str">
        <v/>
      </c>
      <c r="F523" t="str">
        <v>867806078868827</v>
      </c>
      <c r="G523" t="str">
        <v>TBD</v>
      </c>
      <c r="H523" t="str">
        <v/>
      </c>
      <c r="I523" t="str">
        <v/>
      </c>
      <c r="J523" t="str">
        <v>01/10/2026</v>
      </c>
      <c r="K523" t="str">
        <v>14:49:14</v>
      </c>
      <c r="L523">
        <v>-12.17361</v>
      </c>
      <c r="M523">
        <v>-76.94787</v>
      </c>
      <c r="N523">
        <f>HYPERLINK("https://www.google.com/maps/search/?api=1&amp;query=-12.17361,-76.94787","Avenida Pachacútec, Villa María del Triunfo, Lima")</f>
      </c>
      <c r="O523" t="str">
        <v>Aceleración brusca</v>
      </c>
      <c r="P523" t="str">
        <v>CMT-910</v>
      </c>
      <c r="Q523">
        <v>2169.9</v>
      </c>
      <c r="R523" t="str">
        <v/>
      </c>
      <c r="S523">
        <v>34</v>
      </c>
      <c r="T523">
        <v>83.65</v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>
        <v>85</v>
      </c>
      <c r="AC523" t="str">
        <v>01/10/2026</v>
      </c>
      <c r="AD523" t="str">
        <v>14:49:11</v>
      </c>
      <c r="AE523">
        <f>IF("ONLINE"="NOGPS","GPS Antiguo","En línea")</f>
      </c>
      <c r="AF523">
        <f>IF(0=0,"Sin atender", IF(0=1,"Atendida","Atendida y Reportada"))</f>
      </c>
      <c r="AG523" t="str">
        <v/>
      </c>
      <c r="AH523" t="str">
        <v/>
      </c>
      <c r="AI523" t="str">
        <v/>
      </c>
      <c r="AJ523" t="str">
        <v/>
      </c>
      <c r="AK523" t="str">
        <v>01/10/2026 14:49:30</v>
      </c>
      <c r="AL523" t="str">
        <v>14:49:30</v>
      </c>
      <c r="AM523" t="str">
        <v/>
      </c>
    </row>
    <row r="524">
      <c r="A524">
        <v>523</v>
      </c>
      <c r="B524" t="str">
        <v>MASS BSF</v>
      </c>
      <c r="C524" t="str">
        <v>F8R-810</v>
      </c>
      <c r="D524" t="str">
        <v>F8R-810</v>
      </c>
      <c r="E524" t="str">
        <v/>
      </c>
      <c r="F524" t="str">
        <v>867806078868827</v>
      </c>
      <c r="G524" t="str">
        <v>TBD</v>
      </c>
      <c r="H524" t="str">
        <v/>
      </c>
      <c r="I524" t="str">
        <v/>
      </c>
      <c r="J524" t="str">
        <v>01/10/2026</v>
      </c>
      <c r="K524" t="str">
        <v>14:49:28</v>
      </c>
      <c r="L524">
        <v>-12.174133</v>
      </c>
      <c r="M524">
        <v>-76.94748</v>
      </c>
      <c r="N524">
        <f>HYPERLINK("https://www.google.com/maps/search/?api=1&amp;query=-12.174133,-76.94748","Avenida Pachacútec, Villa María del Triunfo, Lima")</f>
      </c>
      <c r="O524" t="str">
        <v>Acelerado y giro brusco</v>
      </c>
      <c r="P524" t="str">
        <v/>
      </c>
      <c r="Q524">
        <v>2170</v>
      </c>
      <c r="R524" t="str">
        <v/>
      </c>
      <c r="S524">
        <v>2.5</v>
      </c>
      <c r="T524">
        <v>83.65</v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>
        <v>85</v>
      </c>
      <c r="AC524" t="str">
        <v>01/10/2026</v>
      </c>
      <c r="AD524" t="str">
        <v>14:49:25</v>
      </c>
      <c r="AE524">
        <f>IF("ONLINE"="NOGPS","GPS Antiguo","En línea")</f>
      </c>
      <c r="AF524">
        <f>IF(0=0,"Sin atender", IF(0=1,"Atendida","Atendida y Reportada"))</f>
      </c>
      <c r="AG524" t="str">
        <v/>
      </c>
      <c r="AH524" t="str">
        <v/>
      </c>
      <c r="AI524" t="str">
        <v/>
      </c>
      <c r="AJ524" t="str">
        <v/>
      </c>
      <c r="AK524" t="str">
        <v>01/10/2026 14:49:32</v>
      </c>
      <c r="AL524" t="str">
        <v>14:49:32</v>
      </c>
      <c r="AM524" t="str">
        <v/>
      </c>
    </row>
    <row r="525">
      <c r="A525">
        <v>524</v>
      </c>
      <c r="B525" t="str">
        <v>MASS BSF</v>
      </c>
      <c r="C525" t="str">
        <v>F8R-810</v>
      </c>
      <c r="D525" t="str">
        <v>F8R-810</v>
      </c>
      <c r="E525" t="str">
        <v/>
      </c>
      <c r="F525" t="str">
        <v>867806078868827</v>
      </c>
      <c r="G525" t="str">
        <v>TBD</v>
      </c>
      <c r="H525" t="str">
        <v/>
      </c>
      <c r="I525" t="str">
        <v/>
      </c>
      <c r="J525" t="str">
        <v>01/10/2026</v>
      </c>
      <c r="K525" t="str">
        <v>14:50:13</v>
      </c>
      <c r="L525">
        <v>-12.175061</v>
      </c>
      <c r="M525">
        <v>-76.946785</v>
      </c>
      <c r="N525">
        <f>HYPERLINK("https://www.google.com/maps/search/?api=1&amp;query=-12.175061,-76.946785","Avenida Pachacútec, Villa María del Triunfo, Lima")</f>
      </c>
      <c r="O525" t="str">
        <v>Aceleración brusca</v>
      </c>
      <c r="P525" t="str">
        <v>CMT-910</v>
      </c>
      <c r="Q525">
        <v>2170.1</v>
      </c>
      <c r="R525" t="str">
        <v/>
      </c>
      <c r="S525">
        <v>28.1</v>
      </c>
      <c r="T525">
        <v>83.65</v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>
        <v>86</v>
      </c>
      <c r="AC525" t="str">
        <v>01/10/2026</v>
      </c>
      <c r="AD525" t="str">
        <v>14:50:10</v>
      </c>
      <c r="AE525">
        <f>IF("ONLINE"="NOGPS","GPS Antiguo","En línea")</f>
      </c>
      <c r="AF525">
        <f>IF(0=0,"Sin atender", IF(0=1,"Atendida","Atendida y Reportada"))</f>
      </c>
      <c r="AG525" t="str">
        <v/>
      </c>
      <c r="AH525" t="str">
        <v/>
      </c>
      <c r="AI525" t="str">
        <v/>
      </c>
      <c r="AJ525" t="str">
        <v/>
      </c>
      <c r="AK525" t="str">
        <v>01/10/2026 14:50:34</v>
      </c>
      <c r="AL525" t="str">
        <v>14:50:34</v>
      </c>
      <c r="AM525" t="str">
        <v/>
      </c>
    </row>
    <row r="526">
      <c r="A526">
        <v>525</v>
      </c>
      <c r="B526" t="str">
        <v>MASS BSF</v>
      </c>
      <c r="C526" t="str">
        <v>F8R-810</v>
      </c>
      <c r="D526" t="str">
        <v>F8R-810</v>
      </c>
      <c r="E526" t="str">
        <v/>
      </c>
      <c r="F526" t="str">
        <v>867806078868827</v>
      </c>
      <c r="G526" t="str">
        <v>TBD</v>
      </c>
      <c r="H526" t="str">
        <v/>
      </c>
      <c r="I526" t="str">
        <v/>
      </c>
      <c r="J526" t="str">
        <v>01/10/2026</v>
      </c>
      <c r="K526" t="str">
        <v>14:50:20</v>
      </c>
      <c r="L526">
        <v>-12.175457</v>
      </c>
      <c r="M526">
        <v>-76.94654</v>
      </c>
      <c r="N526">
        <f>HYPERLINK("https://www.google.com/maps/search/?api=1&amp;query=-12.175457,-76.94654","Avenida Pachacútec, Villa María del Triunfo, Lima")</f>
      </c>
      <c r="O526" t="str">
        <v>Aceleración brusca</v>
      </c>
      <c r="P526" t="str">
        <v>CMT-910</v>
      </c>
      <c r="Q526">
        <v>2170.1</v>
      </c>
      <c r="R526" t="str">
        <v/>
      </c>
      <c r="S526">
        <v>24.8</v>
      </c>
      <c r="T526">
        <v>83.65</v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>
        <v>86</v>
      </c>
      <c r="AC526" t="str">
        <v>01/10/2026</v>
      </c>
      <c r="AD526" t="str">
        <v>14:50:17</v>
      </c>
      <c r="AE526">
        <f>IF("ONLINE"="NOGPS","GPS Antiguo","En línea")</f>
      </c>
      <c r="AF526">
        <f>IF(0=0,"Sin atender", IF(0=1,"Atendida","Atendida y Reportada"))</f>
      </c>
      <c r="AG526" t="str">
        <v/>
      </c>
      <c r="AH526" t="str">
        <v/>
      </c>
      <c r="AI526" t="str">
        <v/>
      </c>
      <c r="AJ526" t="str">
        <v/>
      </c>
      <c r="AK526" t="str">
        <v>01/10/2026 14:50:28</v>
      </c>
      <c r="AL526" t="str">
        <v>14:50:28</v>
      </c>
      <c r="AM526" t="str">
        <v/>
      </c>
    </row>
    <row r="527">
      <c r="A527">
        <v>526</v>
      </c>
      <c r="B527" t="str">
        <v>MASS BSF</v>
      </c>
      <c r="C527" t="str">
        <v>F8R-810</v>
      </c>
      <c r="D527" t="str">
        <v>F8R-810</v>
      </c>
      <c r="E527" t="str">
        <v/>
      </c>
      <c r="F527" t="str">
        <v>867806078868827</v>
      </c>
      <c r="G527" t="str">
        <v>TBD</v>
      </c>
      <c r="H527" t="str">
        <v/>
      </c>
      <c r="I527" t="str">
        <v/>
      </c>
      <c r="J527" t="str">
        <v>01/10/2026</v>
      </c>
      <c r="K527" t="str">
        <v>14:50:36</v>
      </c>
      <c r="L527">
        <v>-12.175883</v>
      </c>
      <c r="M527">
        <v>-76.94629</v>
      </c>
      <c r="N527">
        <f>HYPERLINK("https://www.google.com/maps/search/?api=1&amp;query=-12.175883,-76.94629","Avenida Pachacútec, Villa María del Triunfo, Lima")</f>
      </c>
      <c r="O527" t="str">
        <v>Acelerado y giro brusco</v>
      </c>
      <c r="P527" t="str">
        <v/>
      </c>
      <c r="Q527">
        <v>2170.2</v>
      </c>
      <c r="R527" t="str">
        <v/>
      </c>
      <c r="S527">
        <v>11.2</v>
      </c>
      <c r="T527">
        <v>83.65</v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>
        <v>86</v>
      </c>
      <c r="AC527" t="str">
        <v>01/10/2026</v>
      </c>
      <c r="AD527" t="str">
        <v>14:50:33</v>
      </c>
      <c r="AE527">
        <f>IF("ONLINE"="NOGPS","GPS Antiguo","En línea")</f>
      </c>
      <c r="AF527">
        <f>IF(0=0,"Sin atender", IF(0=1,"Atendida","Atendida y Reportada"))</f>
      </c>
      <c r="AG527" t="str">
        <v/>
      </c>
      <c r="AH527" t="str">
        <v/>
      </c>
      <c r="AI527" t="str">
        <v/>
      </c>
      <c r="AJ527" t="str">
        <v/>
      </c>
      <c r="AK527" t="str">
        <v>01/10/2026 14:50:55</v>
      </c>
      <c r="AL527" t="str">
        <v>14:50:55</v>
      </c>
      <c r="AM527" t="str">
        <v/>
      </c>
    </row>
    <row r="528">
      <c r="A528">
        <v>527</v>
      </c>
      <c r="B528" t="str">
        <v>MASS BSF</v>
      </c>
      <c r="C528" t="str">
        <v>F8R-810</v>
      </c>
      <c r="D528" t="str">
        <v>F8R-810</v>
      </c>
      <c r="E528" t="str">
        <v/>
      </c>
      <c r="F528" t="str">
        <v>867806078868827</v>
      </c>
      <c r="G528" t="str">
        <v>TBD</v>
      </c>
      <c r="H528" t="str">
        <v/>
      </c>
      <c r="I528" t="str">
        <v/>
      </c>
      <c r="J528" t="str">
        <v>01/10/2026</v>
      </c>
      <c r="K528" t="str">
        <v>14:50:45</v>
      </c>
      <c r="L528">
        <v>-12.176164</v>
      </c>
      <c r="M528">
        <v>-76.94613</v>
      </c>
      <c r="N528">
        <f>HYPERLINK("https://www.google.com/maps/search/?api=1&amp;query=-12.176164,-76.94613","Avenida Pachacútec, Villa María del Triunfo, Lima")</f>
      </c>
      <c r="O528" t="str">
        <v>Aceleración brusca</v>
      </c>
      <c r="P528" t="str">
        <v>CMT-910</v>
      </c>
      <c r="Q528">
        <v>2170.2</v>
      </c>
      <c r="R528" t="str">
        <v/>
      </c>
      <c r="S528">
        <v>19</v>
      </c>
      <c r="T528">
        <v>83.65</v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>
        <v>86</v>
      </c>
      <c r="AC528" t="str">
        <v>01/10/2026</v>
      </c>
      <c r="AD528" t="str">
        <v>14:50:42</v>
      </c>
      <c r="AE528">
        <f>IF("ONLINE"="NOGPS","GPS Antiguo","En línea")</f>
      </c>
      <c r="AF528">
        <f>IF(0=0,"Sin atender", IF(0=1,"Atendida","Atendida y Reportada"))</f>
      </c>
      <c r="AG528" t="str">
        <v/>
      </c>
      <c r="AH528" t="str">
        <v/>
      </c>
      <c r="AI528" t="str">
        <v/>
      </c>
      <c r="AJ528" t="str">
        <v/>
      </c>
      <c r="AK528" t="str">
        <v>01/10/2026 14:50:56</v>
      </c>
      <c r="AL528" t="str">
        <v>14:50:56</v>
      </c>
      <c r="AM528" t="str">
        <v/>
      </c>
    </row>
    <row r="529">
      <c r="A529">
        <v>528</v>
      </c>
      <c r="B529" t="str">
        <v>MASS BSF</v>
      </c>
      <c r="C529" t="str">
        <v>F8R-810</v>
      </c>
      <c r="D529" t="str">
        <v>F8R-810</v>
      </c>
      <c r="E529" t="str">
        <v/>
      </c>
      <c r="F529" t="str">
        <v>867806078868827</v>
      </c>
      <c r="G529" t="str">
        <v>TBD</v>
      </c>
      <c r="H529" t="str">
        <v/>
      </c>
      <c r="I529" t="str">
        <v/>
      </c>
      <c r="J529" t="str">
        <v>01/10/2026</v>
      </c>
      <c r="K529" t="str">
        <v>14:51:06</v>
      </c>
      <c r="L529">
        <v>-12.177647</v>
      </c>
      <c r="M529">
        <v>-76.94524</v>
      </c>
      <c r="N529">
        <f>HYPERLINK("https://www.google.com/maps/search/?api=1&amp;query=-12.177647,-76.94524","Avenida Pachacútec, Villa María del Triunfo, Lima")</f>
      </c>
      <c r="O529" t="str">
        <v>Acelerado y giro brusco</v>
      </c>
      <c r="P529" t="str">
        <v/>
      </c>
      <c r="Q529">
        <v>2170.4</v>
      </c>
      <c r="R529" t="str">
        <v/>
      </c>
      <c r="S529">
        <v>42.2</v>
      </c>
      <c r="T529">
        <v>83.65</v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>
        <v>86</v>
      </c>
      <c r="AC529" t="str">
        <v>01/10/2026</v>
      </c>
      <c r="AD529" t="str">
        <v>14:51:03</v>
      </c>
      <c r="AE529">
        <f>IF("ONLINE"="NOGPS","GPS Antiguo","En línea")</f>
      </c>
      <c r="AF529">
        <f>IF(0=0,"Sin atender", IF(0=1,"Atendida","Atendida y Reportada"))</f>
      </c>
      <c r="AG529" t="str">
        <v/>
      </c>
      <c r="AH529" t="str">
        <v/>
      </c>
      <c r="AI529" t="str">
        <v/>
      </c>
      <c r="AJ529" t="str">
        <v/>
      </c>
      <c r="AK529" t="str">
        <v>01/10/2026 14:51:34</v>
      </c>
      <c r="AL529" t="str">
        <v>14:51:34</v>
      </c>
      <c r="AM529" t="str">
        <v/>
      </c>
    </row>
    <row r="530">
      <c r="A530">
        <v>529</v>
      </c>
      <c r="B530" t="str">
        <v>MASS BSF</v>
      </c>
      <c r="C530" t="str">
        <v>F8R-810</v>
      </c>
      <c r="D530" t="str">
        <v>F8R-810</v>
      </c>
      <c r="E530" t="str">
        <v/>
      </c>
      <c r="F530" t="str">
        <v>867806078868827</v>
      </c>
      <c r="G530" t="str">
        <v>TBD</v>
      </c>
      <c r="H530" t="str">
        <v/>
      </c>
      <c r="I530" t="str">
        <v/>
      </c>
      <c r="J530" t="str">
        <v>01/10/2026</v>
      </c>
      <c r="K530" t="str">
        <v>14:51:18</v>
      </c>
      <c r="L530">
        <v>-12.178707</v>
      </c>
      <c r="M530">
        <v>-76.94459</v>
      </c>
      <c r="N530">
        <f>HYPERLINK("https://www.google.com/maps/search/?api=1&amp;query=-12.178707,-76.94459","Avenida Pachacútec, Villa María del Triunfo, Lima")</f>
      </c>
      <c r="O530" t="str">
        <v>Aceleración brusca</v>
      </c>
      <c r="P530" t="str">
        <v>CMT-910</v>
      </c>
      <c r="Q530">
        <v>2170.6</v>
      </c>
      <c r="R530" t="str">
        <v/>
      </c>
      <c r="S530">
        <v>38.3</v>
      </c>
      <c r="T530">
        <v>83.65</v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>
        <v>86</v>
      </c>
      <c r="AC530" t="str">
        <v>01/10/2026</v>
      </c>
      <c r="AD530" t="str">
        <v>14:51:15</v>
      </c>
      <c r="AE530">
        <f>IF("ONLINE"="NOGPS","GPS Antiguo","En línea")</f>
      </c>
      <c r="AF530">
        <f>IF(0=0,"Sin atender", IF(0=1,"Atendida","Atendida y Reportada"))</f>
      </c>
      <c r="AG530" t="str">
        <v/>
      </c>
      <c r="AH530" t="str">
        <v/>
      </c>
      <c r="AI530" t="str">
        <v/>
      </c>
      <c r="AJ530" t="str">
        <v/>
      </c>
      <c r="AK530" t="str">
        <v>01/10/2026 14:51:40</v>
      </c>
      <c r="AL530" t="str">
        <v>14:51:40</v>
      </c>
      <c r="AM530" t="str">
        <v/>
      </c>
    </row>
    <row r="531">
      <c r="A531">
        <v>530</v>
      </c>
      <c r="B531" t="str">
        <v>MASS BSF</v>
      </c>
      <c r="C531" t="str">
        <v>F8R-810</v>
      </c>
      <c r="D531" t="str">
        <v>F8R-810</v>
      </c>
      <c r="E531" t="str">
        <v/>
      </c>
      <c r="F531" t="str">
        <v>867806078868827</v>
      </c>
      <c r="G531" t="str">
        <v>TBD</v>
      </c>
      <c r="H531" t="str">
        <v/>
      </c>
      <c r="I531" t="str">
        <v/>
      </c>
      <c r="J531" t="str">
        <v>01/10/2026</v>
      </c>
      <c r="K531" t="str">
        <v>14:51:23</v>
      </c>
      <c r="L531">
        <v>-12.179125</v>
      </c>
      <c r="M531">
        <v>-76.94434</v>
      </c>
      <c r="N531">
        <f>HYPERLINK("https://www.google.com/maps/search/?api=1&amp;query=-12.179125,-76.94434","Avenida Pachacútec, Villa María del Triunfo, Lima")</f>
      </c>
      <c r="O531" t="str">
        <v>Aceleración brusca</v>
      </c>
      <c r="P531" t="str">
        <v>CMT-910</v>
      </c>
      <c r="Q531">
        <v>2170.6</v>
      </c>
      <c r="R531" t="str">
        <v/>
      </c>
      <c r="S531">
        <v>38.8</v>
      </c>
      <c r="T531">
        <v>83.65</v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>
        <v>86</v>
      </c>
      <c r="AC531" t="str">
        <v>01/10/2026</v>
      </c>
      <c r="AD531" t="str">
        <v>14:51:20</v>
      </c>
      <c r="AE531">
        <f>IF("ONLINE"="NOGPS","GPS Antiguo","En línea")</f>
      </c>
      <c r="AF531">
        <f>IF(0=0,"Sin atender", IF(0=1,"Atendida","Atendida y Reportada"))</f>
      </c>
      <c r="AG531" t="str">
        <v/>
      </c>
      <c r="AH531" t="str">
        <v/>
      </c>
      <c r="AI531" t="str">
        <v/>
      </c>
      <c r="AJ531" t="str">
        <v/>
      </c>
      <c r="AK531" t="str">
        <v>01/10/2026 14:51:38</v>
      </c>
      <c r="AL531" t="str">
        <v>14:51:38</v>
      </c>
      <c r="AM531" t="str">
        <v/>
      </c>
    </row>
    <row r="532">
      <c r="A532">
        <v>531</v>
      </c>
      <c r="B532" t="str">
        <v>MASS BSF</v>
      </c>
      <c r="C532" t="str">
        <v>F8R-810</v>
      </c>
      <c r="D532" t="str">
        <v>F8R-810</v>
      </c>
      <c r="E532" t="str">
        <v/>
      </c>
      <c r="F532" t="str">
        <v>867806078868827</v>
      </c>
      <c r="G532" t="str">
        <v>TBD</v>
      </c>
      <c r="H532" t="str">
        <v/>
      </c>
      <c r="I532" t="str">
        <v/>
      </c>
      <c r="J532" t="str">
        <v>01/10/2026</v>
      </c>
      <c r="K532" t="str">
        <v>14:53:02</v>
      </c>
      <c r="L532">
        <v>-12.18206</v>
      </c>
      <c r="M532">
        <v>-76.942566</v>
      </c>
      <c r="N532">
        <f>HYPERLINK("https://www.google.com/maps/search/?api=1&amp;query=-12.18206,-76.942566","Avenida Pachacútec, Villa María del Triunfo, Lima")</f>
      </c>
      <c r="O532" t="str">
        <v>Acelerado y giro brusco</v>
      </c>
      <c r="P532" t="str">
        <v/>
      </c>
      <c r="Q532">
        <v>2171</v>
      </c>
      <c r="R532" t="str">
        <v/>
      </c>
      <c r="S532">
        <v>0</v>
      </c>
      <c r="T532">
        <v>83.65</v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>
        <v>86</v>
      </c>
      <c r="AC532" t="str">
        <v>01/10/2026</v>
      </c>
      <c r="AD532" t="str">
        <v>14:52:59</v>
      </c>
      <c r="AE532">
        <f>IF("ONLINE"="NOGPS","GPS Antiguo","En línea")</f>
      </c>
      <c r="AF532">
        <f>IF(0=0,"Sin atender", IF(0=1,"Atendida","Atendida y Reportada"))</f>
      </c>
      <c r="AG532" t="str">
        <v/>
      </c>
      <c r="AH532" t="str">
        <v/>
      </c>
      <c r="AI532" t="str">
        <v/>
      </c>
      <c r="AJ532" t="str">
        <v/>
      </c>
      <c r="AK532" t="str">
        <v>01/10/2026 14:53:13</v>
      </c>
      <c r="AL532" t="str">
        <v>14:53:13</v>
      </c>
      <c r="AM532" t="str">
        <v/>
      </c>
    </row>
    <row r="533">
      <c r="A533">
        <v>532</v>
      </c>
      <c r="B533" t="str">
        <v>MASS BSF</v>
      </c>
      <c r="C533" t="str">
        <v>F8R-810</v>
      </c>
      <c r="D533" t="str">
        <v>F8R-810</v>
      </c>
      <c r="E533" t="str">
        <v/>
      </c>
      <c r="F533" t="str">
        <v>867806078868827</v>
      </c>
      <c r="G533" t="str">
        <v>TBD</v>
      </c>
      <c r="H533" t="str">
        <v/>
      </c>
      <c r="I533" t="str">
        <v/>
      </c>
      <c r="J533" t="str">
        <v>01/10/2026</v>
      </c>
      <c r="K533" t="str">
        <v>14:53:14</v>
      </c>
      <c r="L533">
        <v>-12.18239</v>
      </c>
      <c r="M533">
        <v>-76.94239</v>
      </c>
      <c r="N533">
        <f>HYPERLINK("https://www.google.com/maps/search/?api=1&amp;query=-12.18239,-76.94239","Avenida Pachacútec, Villa María del Triunfo, Lima")</f>
      </c>
      <c r="O533" t="str">
        <v>Acelerado y giro brusco</v>
      </c>
      <c r="P533" t="str">
        <v/>
      </c>
      <c r="Q533">
        <v>2171</v>
      </c>
      <c r="R533" t="str">
        <v/>
      </c>
      <c r="S533">
        <v>14.8</v>
      </c>
      <c r="T533">
        <v>83.65</v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>
        <v>86</v>
      </c>
      <c r="AC533" t="str">
        <v>01/10/2026</v>
      </c>
      <c r="AD533" t="str">
        <v>14:53:11</v>
      </c>
      <c r="AE533">
        <f>IF("ONLINE"="NOGPS","GPS Antiguo","En línea")</f>
      </c>
      <c r="AF533">
        <f>IF(0=0,"Sin atender", IF(0=1,"Atendida","Atendida y Reportada"))</f>
      </c>
      <c r="AG533" t="str">
        <v/>
      </c>
      <c r="AH533" t="str">
        <v/>
      </c>
      <c r="AI533" t="str">
        <v/>
      </c>
      <c r="AJ533" t="str">
        <v/>
      </c>
      <c r="AK533" t="str">
        <v>01/10/2026 14:53:26</v>
      </c>
      <c r="AL533" t="str">
        <v>14:53:26</v>
      </c>
      <c r="AM533" t="str">
        <v/>
      </c>
    </row>
    <row r="534">
      <c r="A534">
        <v>533</v>
      </c>
      <c r="B534" t="str">
        <v>MASS BSF</v>
      </c>
      <c r="C534" t="str">
        <v>F8R-810</v>
      </c>
      <c r="D534" t="str">
        <v>F8R-810</v>
      </c>
      <c r="E534" t="str">
        <v/>
      </c>
      <c r="F534" t="str">
        <v>867806078868827</v>
      </c>
      <c r="G534" t="str">
        <v>TBD</v>
      </c>
      <c r="H534" t="str">
        <v/>
      </c>
      <c r="I534" t="str">
        <v/>
      </c>
      <c r="J534" t="str">
        <v>01/10/2026</v>
      </c>
      <c r="K534" t="str">
        <v>14:53:19</v>
      </c>
      <c r="L534">
        <v>-12.182528</v>
      </c>
      <c r="M534">
        <v>-76.94234</v>
      </c>
      <c r="N534">
        <f>HYPERLINK("https://www.google.com/maps/search/?api=1&amp;query=-12.182528,-76.94234","Avenida Pachacútec, Villa El Salvador, Lima")</f>
      </c>
      <c r="O534" t="str">
        <v>Acelerado y giro brusco</v>
      </c>
      <c r="P534" t="str">
        <v/>
      </c>
      <c r="Q534">
        <v>2171</v>
      </c>
      <c r="R534" t="str">
        <v/>
      </c>
      <c r="S534">
        <v>10</v>
      </c>
      <c r="T534">
        <v>83.65</v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>
        <v>86</v>
      </c>
      <c r="AC534" t="str">
        <v>01/10/2026</v>
      </c>
      <c r="AD534" t="str">
        <v>14:53:16</v>
      </c>
      <c r="AE534">
        <f>IF("ONLINE"="NOGPS","GPS Antiguo","En línea")</f>
      </c>
      <c r="AF534">
        <f>IF(0=0,"Sin atender", IF(0=1,"Atendida","Atendida y Reportada"))</f>
      </c>
      <c r="AG534" t="str">
        <v/>
      </c>
      <c r="AH534" t="str">
        <v/>
      </c>
      <c r="AI534" t="str">
        <v/>
      </c>
      <c r="AJ534" t="str">
        <v/>
      </c>
      <c r="AK534" t="str">
        <v>01/10/2026 14:53:37</v>
      </c>
      <c r="AL534" t="str">
        <v>14:53:37</v>
      </c>
      <c r="AM534" t="str">
        <v/>
      </c>
    </row>
    <row r="535">
      <c r="A535">
        <v>534</v>
      </c>
      <c r="B535" t="str">
        <v>MASS BSF</v>
      </c>
      <c r="C535" t="str">
        <v>F8R-810</v>
      </c>
      <c r="D535" t="str">
        <v>F8R-810</v>
      </c>
      <c r="E535" t="str">
        <v/>
      </c>
      <c r="F535" t="str">
        <v>867806078868827</v>
      </c>
      <c r="G535" t="str">
        <v>TBD</v>
      </c>
      <c r="H535" t="str">
        <v/>
      </c>
      <c r="I535" t="str">
        <v/>
      </c>
      <c r="J535" t="str">
        <v>01/10/2026</v>
      </c>
      <c r="K535" t="str">
        <v>14:53:24</v>
      </c>
      <c r="L535">
        <v>-12.182635</v>
      </c>
      <c r="M535">
        <v>-76.94229</v>
      </c>
      <c r="N535">
        <f>HYPERLINK("https://www.google.com/maps/search/?api=1&amp;query=-12.182635,-76.94229","Avenida Mateo Pumacahua, Villa El Salvador, Lima")</f>
      </c>
      <c r="O535" t="str">
        <v>Aceleración brusca</v>
      </c>
      <c r="P535" t="str">
        <v>CMT-910</v>
      </c>
      <c r="Q535">
        <v>2171.1</v>
      </c>
      <c r="R535" t="str">
        <v/>
      </c>
      <c r="S535">
        <v>11.1</v>
      </c>
      <c r="T535">
        <v>83.65</v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>
        <v>86</v>
      </c>
      <c r="AC535" t="str">
        <v>01/10/2026</v>
      </c>
      <c r="AD535" t="str">
        <v>14:53:21</v>
      </c>
      <c r="AE535">
        <f>IF("ONLINE"="NOGPS","GPS Antiguo","En línea")</f>
      </c>
      <c r="AF535">
        <f>IF(0=0,"Sin atender", IF(0=1,"Atendida","Atendida y Reportada"))</f>
      </c>
      <c r="AG535" t="str">
        <v/>
      </c>
      <c r="AH535" t="str">
        <v/>
      </c>
      <c r="AI535" t="str">
        <v/>
      </c>
      <c r="AJ535" t="str">
        <v/>
      </c>
      <c r="AK535" t="str">
        <v>01/10/2026 14:53:37</v>
      </c>
      <c r="AL535" t="str">
        <v>14:53:37</v>
      </c>
      <c r="AM535" t="str">
        <v/>
      </c>
    </row>
    <row r="536">
      <c r="A536">
        <v>535</v>
      </c>
      <c r="B536" t="str">
        <v>MASS BSF</v>
      </c>
      <c r="C536" t="str">
        <v>F8R-810</v>
      </c>
      <c r="D536" t="str">
        <v>F8R-810</v>
      </c>
      <c r="E536" t="str">
        <v/>
      </c>
      <c r="F536" t="str">
        <v>867806078868827</v>
      </c>
      <c r="G536" t="str">
        <v>TBD</v>
      </c>
      <c r="H536" t="str">
        <v/>
      </c>
      <c r="I536" t="str">
        <v/>
      </c>
      <c r="J536" t="str">
        <v>01/10/2026</v>
      </c>
      <c r="K536" t="str">
        <v>14:53:47</v>
      </c>
      <c r="L536">
        <v>-12.183413</v>
      </c>
      <c r="M536">
        <v>-76.941696</v>
      </c>
      <c r="N536">
        <f>HYPERLINK("https://www.google.com/maps/search/?api=1&amp;query=-12.183413,-76.941696","Avenida Pachacútec, Villa María del Triunfo, Lima")</f>
      </c>
      <c r="O536" t="str">
        <v>Acelerado y giro brusco</v>
      </c>
      <c r="P536" t="str">
        <v/>
      </c>
      <c r="Q536">
        <v>2171.2</v>
      </c>
      <c r="R536" t="str">
        <v/>
      </c>
      <c r="S536">
        <v>27</v>
      </c>
      <c r="T536">
        <v>83.65</v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>
        <v>86</v>
      </c>
      <c r="AC536" t="str">
        <v>01/10/2026</v>
      </c>
      <c r="AD536" t="str">
        <v>14:53:44</v>
      </c>
      <c r="AE536">
        <f>IF("ONLINE"="NOGPS","GPS Antiguo","En línea")</f>
      </c>
      <c r="AF536">
        <f>IF(0=0,"Sin atender", IF(0=1,"Atendida","Atendida y Reportada"))</f>
      </c>
      <c r="AG536" t="str">
        <v/>
      </c>
      <c r="AH536" t="str">
        <v/>
      </c>
      <c r="AI536" t="str">
        <v/>
      </c>
      <c r="AJ536" t="str">
        <v/>
      </c>
      <c r="AK536" t="str">
        <v>01/10/2026 14:54:05</v>
      </c>
      <c r="AL536" t="str">
        <v>14:54:05</v>
      </c>
      <c r="AM536" t="str">
        <v/>
      </c>
    </row>
    <row r="537">
      <c r="A537">
        <v>536</v>
      </c>
      <c r="B537" t="str">
        <v>MASS BSF</v>
      </c>
      <c r="C537" t="str">
        <v>F8R-810</v>
      </c>
      <c r="D537" t="str">
        <v>F8R-810</v>
      </c>
      <c r="E537" t="str">
        <v/>
      </c>
      <c r="F537" t="str">
        <v>867806078868827</v>
      </c>
      <c r="G537" t="str">
        <v>TBD</v>
      </c>
      <c r="H537" t="str">
        <v/>
      </c>
      <c r="I537" t="str">
        <v/>
      </c>
      <c r="J537" t="str">
        <v>01/10/2026</v>
      </c>
      <c r="K537" t="str">
        <v>14:54:01</v>
      </c>
      <c r="L537">
        <v>-12.184116</v>
      </c>
      <c r="M537">
        <v>-76.94128</v>
      </c>
      <c r="N537">
        <f>HYPERLINK("https://www.google.com/maps/search/?api=1&amp;query=-12.184116,-76.94128","Avenida Pachacútec, Villa María del Triunfo, Lima")</f>
      </c>
      <c r="O537" t="str">
        <v>Acelerado y giro brusco</v>
      </c>
      <c r="P537" t="str">
        <v/>
      </c>
      <c r="Q537">
        <v>2171.2</v>
      </c>
      <c r="R537" t="str">
        <v/>
      </c>
      <c r="S537">
        <v>25.5</v>
      </c>
      <c r="T537">
        <v>83.65</v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>
        <v>85</v>
      </c>
      <c r="AC537" t="str">
        <v>01/10/2026</v>
      </c>
      <c r="AD537" t="str">
        <v>14:53:58</v>
      </c>
      <c r="AE537">
        <f>IF("ONLINE"="NOGPS","GPS Antiguo","En línea")</f>
      </c>
      <c r="AF537">
        <f>IF(0=0,"Sin atender", IF(0=1,"Atendida","Atendida y Reportada"))</f>
      </c>
      <c r="AG537" t="str">
        <v/>
      </c>
      <c r="AH537" t="str">
        <v/>
      </c>
      <c r="AI537" t="str">
        <v/>
      </c>
      <c r="AJ537" t="str">
        <v/>
      </c>
      <c r="AK537" t="str">
        <v>01/10/2026 14:54:17</v>
      </c>
      <c r="AL537" t="str">
        <v>14:54:17</v>
      </c>
      <c r="AM537" t="str">
        <v/>
      </c>
    </row>
    <row r="538">
      <c r="A538">
        <v>537</v>
      </c>
      <c r="B538" t="str">
        <v>MASS BSF</v>
      </c>
      <c r="C538" t="str">
        <v>F8R-810</v>
      </c>
      <c r="D538" t="str">
        <v>F8R-810</v>
      </c>
      <c r="E538" t="str">
        <v/>
      </c>
      <c r="F538" t="str">
        <v>867806078868827</v>
      </c>
      <c r="G538" t="str">
        <v>TBD</v>
      </c>
      <c r="H538" t="str">
        <v/>
      </c>
      <c r="I538" t="str">
        <v/>
      </c>
      <c r="J538" t="str">
        <v>01/10/2026</v>
      </c>
      <c r="K538" t="str">
        <v>14:54:23</v>
      </c>
      <c r="L538">
        <v>-12.18539</v>
      </c>
      <c r="M538">
        <v>-76.940506</v>
      </c>
      <c r="N538">
        <f>HYPERLINK("https://www.google.com/maps/search/?api=1&amp;query=-12.18539,-76.940506","Avenida Pachacútec, Villa María del Triunfo, Lima")</f>
      </c>
      <c r="O538" t="str">
        <v>Aceleración brusca</v>
      </c>
      <c r="P538" t="str">
        <v>CMT-910</v>
      </c>
      <c r="Q538">
        <v>2171.4</v>
      </c>
      <c r="R538" t="str">
        <v/>
      </c>
      <c r="S538">
        <v>24</v>
      </c>
      <c r="T538">
        <v>83.65</v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>
        <v>85</v>
      </c>
      <c r="AC538" t="str">
        <v>01/10/2026</v>
      </c>
      <c r="AD538" t="str">
        <v>14:54:20</v>
      </c>
      <c r="AE538">
        <f>IF("ONLINE"="NOGPS","GPS Antiguo","En línea")</f>
      </c>
      <c r="AF538">
        <f>IF(0=0,"Sin atender", IF(0=1,"Atendida","Atendida y Reportada"))</f>
      </c>
      <c r="AG538" t="str">
        <v/>
      </c>
      <c r="AH538" t="str">
        <v/>
      </c>
      <c r="AI538" t="str">
        <v/>
      </c>
      <c r="AJ538" t="str">
        <v/>
      </c>
      <c r="AK538" t="str">
        <v>01/10/2026 14:54:39</v>
      </c>
      <c r="AL538" t="str">
        <v>14:54:39</v>
      </c>
      <c r="AM538" t="str">
        <v/>
      </c>
    </row>
    <row r="539">
      <c r="A539">
        <v>538</v>
      </c>
      <c r="B539" t="str">
        <v>MASS BSF</v>
      </c>
      <c r="C539" t="str">
        <v>F8R-810</v>
      </c>
      <c r="D539" t="str">
        <v>F8R-810</v>
      </c>
      <c r="E539" t="str">
        <v/>
      </c>
      <c r="F539" t="str">
        <v>867806078868827</v>
      </c>
      <c r="G539" t="str">
        <v>TBD</v>
      </c>
      <c r="H539" t="str">
        <v/>
      </c>
      <c r="I539" t="str">
        <v/>
      </c>
      <c r="J539" t="str">
        <v>01/10/2026</v>
      </c>
      <c r="K539" t="str">
        <v>14:54:28</v>
      </c>
      <c r="L539">
        <v>-12.185555</v>
      </c>
      <c r="M539">
        <v>-76.94043</v>
      </c>
      <c r="N539">
        <f>HYPERLINK("https://www.google.com/maps/search/?api=1&amp;query=-12.185555,-76.94043","Avenida Pachacútec, Villa María del Triunfo, Lima")</f>
      </c>
      <c r="O539" t="str">
        <v>Acelerado y giro brusco</v>
      </c>
      <c r="P539" t="str">
        <v/>
      </c>
      <c r="Q539">
        <v>2171.4</v>
      </c>
      <c r="R539" t="str">
        <v/>
      </c>
      <c r="S539">
        <v>14</v>
      </c>
      <c r="T539">
        <v>83.65</v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>
        <v>85</v>
      </c>
      <c r="AC539" t="str">
        <v>01/10/2026</v>
      </c>
      <c r="AD539" t="str">
        <v>14:54:24</v>
      </c>
      <c r="AE539">
        <f>IF("ONLINE"="NOGPS","GPS Antiguo","En línea")</f>
      </c>
      <c r="AF539">
        <f>IF(0=0,"Sin atender", IF(0=1,"Atendida","Atendida y Reportada"))</f>
      </c>
      <c r="AG539" t="str">
        <v/>
      </c>
      <c r="AH539" t="str">
        <v/>
      </c>
      <c r="AI539" t="str">
        <v/>
      </c>
      <c r="AJ539" t="str">
        <v/>
      </c>
      <c r="AK539" t="str">
        <v>01/10/2026 14:54:58</v>
      </c>
      <c r="AL539" t="str">
        <v>14:54:58</v>
      </c>
      <c r="AM539" t="str">
        <v/>
      </c>
    </row>
    <row r="540">
      <c r="A540">
        <v>539</v>
      </c>
      <c r="B540" t="str">
        <v>MASS BSF</v>
      </c>
      <c r="C540" t="str">
        <v>F8R-810</v>
      </c>
      <c r="D540" t="str">
        <v>F8R-810</v>
      </c>
      <c r="E540" t="str">
        <v/>
      </c>
      <c r="F540" t="str">
        <v>867806078868827</v>
      </c>
      <c r="G540" t="str">
        <v>TBD</v>
      </c>
      <c r="H540" t="str">
        <v/>
      </c>
      <c r="I540" t="str">
        <v/>
      </c>
      <c r="J540" t="str">
        <v>01/10/2026</v>
      </c>
      <c r="K540" t="str">
        <v>14:55:20</v>
      </c>
      <c r="L540">
        <v>-12.189128</v>
      </c>
      <c r="M540">
        <v>-76.93829</v>
      </c>
      <c r="N540">
        <f>HYPERLINK("https://www.google.com/maps/search/?api=1&amp;query=-12.189128,-76.93829","Avenida Pachacútec, Villa María del Triunfo, Lima")</f>
      </c>
      <c r="O540" t="str">
        <v>Acelerado y giro brusco</v>
      </c>
      <c r="P540" t="str">
        <v/>
      </c>
      <c r="Q540">
        <v>2171.9</v>
      </c>
      <c r="R540" t="str">
        <v/>
      </c>
      <c r="S540">
        <v>41.2</v>
      </c>
      <c r="T540">
        <v>83.65</v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>
        <v>85</v>
      </c>
      <c r="AC540" t="str">
        <v>01/10/2026</v>
      </c>
      <c r="AD540" t="str">
        <v>14:55:17</v>
      </c>
      <c r="AE540">
        <f>IF("ONLINE"="NOGPS","GPS Antiguo","En línea")</f>
      </c>
      <c r="AF540">
        <f>IF(0=0,"Sin atender", IF(0=1,"Atendida","Atendida y Reportada"))</f>
      </c>
      <c r="AG540" t="str">
        <v/>
      </c>
      <c r="AH540" t="str">
        <v/>
      </c>
      <c r="AI540" t="str">
        <v/>
      </c>
      <c r="AJ540" t="str">
        <v/>
      </c>
      <c r="AK540" t="str">
        <v>01/10/2026 14:55:31</v>
      </c>
      <c r="AL540" t="str">
        <v>14:55:31</v>
      </c>
      <c r="AM540" t="str">
        <v/>
      </c>
    </row>
    <row r="541">
      <c r="A541">
        <v>540</v>
      </c>
      <c r="B541" t="str">
        <v>MASS BSF</v>
      </c>
      <c r="C541" t="str">
        <v>F8R-810</v>
      </c>
      <c r="D541" t="str">
        <v>F8R-810</v>
      </c>
      <c r="E541" t="str">
        <v/>
      </c>
      <c r="F541" t="str">
        <v>867806078868827</v>
      </c>
      <c r="G541" t="str">
        <v>TBD</v>
      </c>
      <c r="H541" t="str">
        <v/>
      </c>
      <c r="I541" t="str">
        <v/>
      </c>
      <c r="J541" t="str">
        <v>01/10/2026</v>
      </c>
      <c r="K541" t="str">
        <v>14:55:38</v>
      </c>
      <c r="L541">
        <v>-12.190813</v>
      </c>
      <c r="M541">
        <v>-76.93752</v>
      </c>
      <c r="N541">
        <f>HYPERLINK("https://www.google.com/maps/search/?api=1&amp;query=-12.190813,-76.93752","Avenida Pachacútec, Villa El Salvador, Lima")</f>
      </c>
      <c r="O541" t="str">
        <v>Aceleración brusca</v>
      </c>
      <c r="P541" t="str">
        <v>CMT-910</v>
      </c>
      <c r="Q541">
        <v>2172.1</v>
      </c>
      <c r="R541" t="str">
        <v/>
      </c>
      <c r="S541">
        <v>40.1</v>
      </c>
      <c r="T541">
        <v>83.65</v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>
        <v>85</v>
      </c>
      <c r="AC541" t="str">
        <v>01/10/2026</v>
      </c>
      <c r="AD541" t="str">
        <v>14:55:35</v>
      </c>
      <c r="AE541">
        <f>IF("ONLINE"="NOGPS","GPS Antiguo","En línea")</f>
      </c>
      <c r="AF541">
        <f>IF(0=0,"Sin atender", IF(0=1,"Atendida","Atendida y Reportada"))</f>
      </c>
      <c r="AG541" t="str">
        <v/>
      </c>
      <c r="AH541" t="str">
        <v/>
      </c>
      <c r="AI541" t="str">
        <v/>
      </c>
      <c r="AJ541" t="str">
        <v/>
      </c>
      <c r="AK541" t="str">
        <v>01/10/2026 14:55:43</v>
      </c>
      <c r="AL541" t="str">
        <v>14:55:43</v>
      </c>
      <c r="AM541" t="str">
        <v/>
      </c>
    </row>
    <row r="542">
      <c r="A542">
        <v>541</v>
      </c>
      <c r="B542" t="str">
        <v>MASS BSF</v>
      </c>
      <c r="C542" t="str">
        <v>F8R-810</v>
      </c>
      <c r="D542" t="str">
        <v>F8R-810</v>
      </c>
      <c r="E542" t="str">
        <v/>
      </c>
      <c r="F542" t="str">
        <v>867806078868827</v>
      </c>
      <c r="G542" t="str">
        <v>TBD</v>
      </c>
      <c r="H542" t="str">
        <v/>
      </c>
      <c r="I542" t="str">
        <v/>
      </c>
      <c r="J542" t="str">
        <v>01/10/2026</v>
      </c>
      <c r="K542" t="str">
        <v>14:55:57</v>
      </c>
      <c r="L542">
        <v>-12.192431</v>
      </c>
      <c r="M542">
        <v>-76.93655</v>
      </c>
      <c r="N542">
        <f>HYPERLINK("https://www.google.com/maps/search/?api=1&amp;query=-12.192431,-76.93655","Avenida Pachacútec, Villa El Salvador, Lima")</f>
      </c>
      <c r="O542" t="str">
        <v>Aceleración brusca</v>
      </c>
      <c r="P542" t="str">
        <v>CMT-910</v>
      </c>
      <c r="Q542">
        <v>2172.3</v>
      </c>
      <c r="R542" t="str">
        <v/>
      </c>
      <c r="S542">
        <v>39.4</v>
      </c>
      <c r="T542">
        <v>83.65</v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>
        <v>85</v>
      </c>
      <c r="AC542" t="str">
        <v>01/10/2026</v>
      </c>
      <c r="AD542" t="str">
        <v>14:55:54</v>
      </c>
      <c r="AE542">
        <f>IF("ONLINE"="NOGPS","GPS Antiguo","En línea")</f>
      </c>
      <c r="AF542">
        <f>IF(0=0,"Sin atender", IF(0=1,"Atendida","Atendida y Reportada"))</f>
      </c>
      <c r="AG542" t="str">
        <v/>
      </c>
      <c r="AH542" t="str">
        <v/>
      </c>
      <c r="AI542" t="str">
        <v/>
      </c>
      <c r="AJ542" t="str">
        <v/>
      </c>
      <c r="AK542" t="str">
        <v>01/10/2026 14:56:11</v>
      </c>
      <c r="AL542" t="str">
        <v>14:56:11</v>
      </c>
      <c r="AM542" t="str">
        <v/>
      </c>
    </row>
    <row r="543">
      <c r="A543">
        <v>542</v>
      </c>
      <c r="B543" t="str">
        <v>MASS BSF</v>
      </c>
      <c r="C543" t="str">
        <v>F8R-810</v>
      </c>
      <c r="D543" t="str">
        <v>F8R-810</v>
      </c>
      <c r="E543" t="str">
        <v/>
      </c>
      <c r="F543" t="str">
        <v>867806078868827</v>
      </c>
      <c r="G543" t="str">
        <v>TBD</v>
      </c>
      <c r="H543" t="str">
        <v/>
      </c>
      <c r="I543" t="str">
        <v/>
      </c>
      <c r="J543" t="str">
        <v>01/10/2026</v>
      </c>
      <c r="K543" t="str">
        <v>14:56:08</v>
      </c>
      <c r="L543">
        <v>-12.193006</v>
      </c>
      <c r="M543">
        <v>-76.93617</v>
      </c>
      <c r="N543">
        <f>HYPERLINK("https://www.google.com/maps/search/?api=1&amp;query=-12.193006,-76.93617","Avenida Pachacútec, Villa El Salvador, Lima")</f>
      </c>
      <c r="O543" t="str">
        <v>Acelerado y giro brusco</v>
      </c>
      <c r="P543" t="str">
        <v/>
      </c>
      <c r="Q543">
        <v>2172.4</v>
      </c>
      <c r="R543" t="str">
        <v/>
      </c>
      <c r="S543">
        <v>12</v>
      </c>
      <c r="T543">
        <v>83.65</v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>
        <v>85</v>
      </c>
      <c r="AC543" t="str">
        <v>01/10/2026</v>
      </c>
      <c r="AD543" t="str">
        <v>14:56:04</v>
      </c>
      <c r="AE543">
        <f>IF("ONLINE"="NOGPS","GPS Antiguo","En línea")</f>
      </c>
      <c r="AF543">
        <f>IF(0=0,"Sin atender", IF(0=1,"Atendida","Atendida y Reportada"))</f>
      </c>
      <c r="AG543" t="str">
        <v/>
      </c>
      <c r="AH543" t="str">
        <v/>
      </c>
      <c r="AI543" t="str">
        <v/>
      </c>
      <c r="AJ543" t="str">
        <v/>
      </c>
      <c r="AK543" t="str">
        <v>01/10/2026 14:56:24</v>
      </c>
      <c r="AL543" t="str">
        <v>14:56:24</v>
      </c>
      <c r="AM543" t="str">
        <v/>
      </c>
    </row>
    <row r="544">
      <c r="A544">
        <v>543</v>
      </c>
      <c r="B544" t="str">
        <v>MASS BSF</v>
      </c>
      <c r="C544" t="str">
        <v>F8R-810</v>
      </c>
      <c r="D544" t="str">
        <v>F8R-810</v>
      </c>
      <c r="E544" t="str">
        <v/>
      </c>
      <c r="F544" t="str">
        <v>867806078868827</v>
      </c>
      <c r="G544" t="str">
        <v>TBD</v>
      </c>
      <c r="H544" t="str">
        <v/>
      </c>
      <c r="I544" t="str">
        <v/>
      </c>
      <c r="J544" t="str">
        <v>01/10/2026</v>
      </c>
      <c r="K544" t="str">
        <v>14:56:54</v>
      </c>
      <c r="L544">
        <v>-12.193058</v>
      </c>
      <c r="M544">
        <v>-76.936134</v>
      </c>
      <c r="N544">
        <f>HYPERLINK("https://www.google.com/maps/search/?api=1&amp;query=-12.193058,-76.936134","Avenida Pachacútec, Villa El Salvador, Lima")</f>
      </c>
      <c r="O544" t="str">
        <v>Aceleración brusca</v>
      </c>
      <c r="P544" t="str">
        <v>CMT-910</v>
      </c>
      <c r="Q544">
        <v>2172.4</v>
      </c>
      <c r="R544" t="str">
        <v/>
      </c>
      <c r="S544">
        <v>0</v>
      </c>
      <c r="T544">
        <v>83.65</v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>
        <v>85</v>
      </c>
      <c r="AC544" t="str">
        <v>01/10/2026</v>
      </c>
      <c r="AD544" t="str">
        <v>14:56:50</v>
      </c>
      <c r="AE544">
        <f>IF("ONLINE"="NOGPS","GPS Antiguo","En línea")</f>
      </c>
      <c r="AF544">
        <f>IF(0=0,"Sin atender", IF(0=1,"Atendida","Atendida y Reportada"))</f>
      </c>
      <c r="AG544" t="str">
        <v/>
      </c>
      <c r="AH544" t="str">
        <v/>
      </c>
      <c r="AI544" t="str">
        <v/>
      </c>
      <c r="AJ544" t="str">
        <v/>
      </c>
      <c r="AK544" t="str">
        <v>01/10/2026 14:57:07</v>
      </c>
      <c r="AL544" t="str">
        <v>14:57:07</v>
      </c>
      <c r="AM544" t="str">
        <v/>
      </c>
    </row>
    <row r="545">
      <c r="A545">
        <v>544</v>
      </c>
      <c r="B545" t="str">
        <v>MASS BSF</v>
      </c>
      <c r="C545" t="str">
        <v>F8R-810</v>
      </c>
      <c r="D545" t="str">
        <v>F8R-810</v>
      </c>
      <c r="E545" t="str">
        <v/>
      </c>
      <c r="F545" t="str">
        <v>867806078868827</v>
      </c>
      <c r="G545" t="str">
        <v>TBD</v>
      </c>
      <c r="H545" t="str">
        <v/>
      </c>
      <c r="I545" t="str">
        <v/>
      </c>
      <c r="J545" t="str">
        <v>01/10/2026</v>
      </c>
      <c r="K545" t="str">
        <v>14:57:13</v>
      </c>
      <c r="L545">
        <v>-12.194087</v>
      </c>
      <c r="M545">
        <v>-76.93557</v>
      </c>
      <c r="N545">
        <f>HYPERLINK("https://www.google.com/maps/search/?api=1&amp;query=-12.194087,-76.93557","Avenida Pachacútec, Villa El Salvador, Lima")</f>
      </c>
      <c r="O545" t="str">
        <v>Aceleración brusca</v>
      </c>
      <c r="P545" t="str">
        <v>CMT-910</v>
      </c>
      <c r="Q545">
        <v>2172.5</v>
      </c>
      <c r="R545" t="str">
        <v/>
      </c>
      <c r="S545">
        <v>34.8</v>
      </c>
      <c r="T545">
        <v>83.65</v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>
        <v>90</v>
      </c>
      <c r="AC545" t="str">
        <v>01/10/2026</v>
      </c>
      <c r="AD545" t="str">
        <v>14:57:10</v>
      </c>
      <c r="AE545">
        <f>IF("ONLINE"="NOGPS","GPS Antiguo","En línea")</f>
      </c>
      <c r="AF545">
        <f>IF(0=0,"Sin atender", IF(0=1,"Atendida","Atendida y Reportada"))</f>
      </c>
      <c r="AG545" t="str">
        <v/>
      </c>
      <c r="AH545" t="str">
        <v/>
      </c>
      <c r="AI545" t="str">
        <v/>
      </c>
      <c r="AJ545" t="str">
        <v/>
      </c>
      <c r="AK545" t="str">
        <v>01/10/2026 14:57:31</v>
      </c>
      <c r="AL545" t="str">
        <v>14:57:31</v>
      </c>
      <c r="AM545" t="str">
        <v/>
      </c>
    </row>
    <row r="546">
      <c r="A546">
        <v>545</v>
      </c>
      <c r="B546" t="str">
        <v>MASS BSF</v>
      </c>
      <c r="C546" t="str">
        <v>F8R-810</v>
      </c>
      <c r="D546" t="str">
        <v>F8R-810</v>
      </c>
      <c r="E546" t="str">
        <v/>
      </c>
      <c r="F546" t="str">
        <v>867806078868827</v>
      </c>
      <c r="G546" t="str">
        <v>TBD</v>
      </c>
      <c r="H546" t="str">
        <v/>
      </c>
      <c r="I546" t="str">
        <v/>
      </c>
      <c r="J546" t="str">
        <v>01/10/2026</v>
      </c>
      <c r="K546" t="str">
        <v>14:57:22</v>
      </c>
      <c r="L546">
        <v>-12.194875</v>
      </c>
      <c r="M546">
        <v>-76.935356</v>
      </c>
      <c r="N546">
        <f>HYPERLINK("https://www.google.com/maps/search/?api=1&amp;query=-12.194875,-76.935356","Avenida Pachacútec, Villa El Salvador, Lima")</f>
      </c>
      <c r="O546" t="str">
        <v>Acelerado y giro brusco</v>
      </c>
      <c r="P546" t="str">
        <v/>
      </c>
      <c r="Q546">
        <v>2172.6</v>
      </c>
      <c r="R546" t="str">
        <v/>
      </c>
      <c r="S546">
        <v>35</v>
      </c>
      <c r="T546">
        <v>83.65</v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>
        <v>90</v>
      </c>
      <c r="AC546" t="str">
        <v>01/10/2026</v>
      </c>
      <c r="AD546" t="str">
        <v>14:57:19</v>
      </c>
      <c r="AE546">
        <f>IF("ONLINE"="NOGPS","GPS Antiguo","En línea")</f>
      </c>
      <c r="AF546">
        <f>IF(0=0,"Sin atender", IF(0=1,"Atendida","Atendida y Reportada"))</f>
      </c>
      <c r="AG546" t="str">
        <v/>
      </c>
      <c r="AH546" t="str">
        <v/>
      </c>
      <c r="AI546" t="str">
        <v/>
      </c>
      <c r="AJ546" t="str">
        <v/>
      </c>
      <c r="AK546" t="str">
        <v>01/10/2026 14:57:31</v>
      </c>
      <c r="AL546" t="str">
        <v>14:57:31</v>
      </c>
      <c r="AM546" t="str">
        <v/>
      </c>
    </row>
    <row r="547">
      <c r="A547">
        <v>546</v>
      </c>
      <c r="B547" t="str">
        <v>MASS BSF</v>
      </c>
      <c r="C547" t="str">
        <v>F8R-810</v>
      </c>
      <c r="D547" t="str">
        <v>F8R-810</v>
      </c>
      <c r="E547" t="str">
        <v/>
      </c>
      <c r="F547" t="str">
        <v>867806078868827</v>
      </c>
      <c r="G547" t="str">
        <v>TBD</v>
      </c>
      <c r="H547" t="str">
        <v/>
      </c>
      <c r="I547" t="str">
        <v/>
      </c>
      <c r="J547" t="str">
        <v>01/10/2026</v>
      </c>
      <c r="K547" t="str">
        <v>14:57:35</v>
      </c>
      <c r="L547">
        <v>-12.19552</v>
      </c>
      <c r="M547">
        <v>-76.93588</v>
      </c>
      <c r="N547">
        <f>HYPERLINK("https://www.google.com/maps/search/?api=1&amp;query=-12.19552,-76.93588","Avenida El Sol, Villa El Salvador, Lima")</f>
      </c>
      <c r="O547" t="str">
        <v>Acelerado y giro brusco</v>
      </c>
      <c r="P547" t="str">
        <v/>
      </c>
      <c r="Q547">
        <v>2172.7</v>
      </c>
      <c r="R547" t="str">
        <v/>
      </c>
      <c r="S547">
        <v>38.8</v>
      </c>
      <c r="T547">
        <v>83.65</v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>
        <v>90</v>
      </c>
      <c r="AC547" t="str">
        <v>01/10/2026</v>
      </c>
      <c r="AD547" t="str">
        <v>14:57:31</v>
      </c>
      <c r="AE547">
        <f>IF("ONLINE"="NOGPS","GPS Antiguo","En línea")</f>
      </c>
      <c r="AF547">
        <f>IF(0=0,"Sin atender", IF(0=1,"Atendida","Atendida y Reportada"))</f>
      </c>
      <c r="AG547" t="str">
        <v/>
      </c>
      <c r="AH547" t="str">
        <v/>
      </c>
      <c r="AI547" t="str">
        <v/>
      </c>
      <c r="AJ547" t="str">
        <v/>
      </c>
      <c r="AK547" t="str">
        <v>01/10/2026 14:57:54</v>
      </c>
      <c r="AL547" t="str">
        <v>14:57:54</v>
      </c>
      <c r="AM547" t="str">
        <v/>
      </c>
    </row>
    <row r="548">
      <c r="A548">
        <v>547</v>
      </c>
      <c r="B548" t="str">
        <v>MASS BSF</v>
      </c>
      <c r="C548" t="str">
        <v>F8R-810</v>
      </c>
      <c r="D548" t="str">
        <v>F8R-810</v>
      </c>
      <c r="E548" t="str">
        <v/>
      </c>
      <c r="F548" t="str">
        <v>867806078868827</v>
      </c>
      <c r="G548" t="str">
        <v>TBD</v>
      </c>
      <c r="H548" t="str">
        <v/>
      </c>
      <c r="I548" t="str">
        <v/>
      </c>
      <c r="J548" t="str">
        <v>01/10/2026</v>
      </c>
      <c r="K548" t="str">
        <v>14:57:39</v>
      </c>
      <c r="L548">
        <v>-12.195785</v>
      </c>
      <c r="M548">
        <v>-76.93634</v>
      </c>
      <c r="N548">
        <f>HYPERLINK("https://www.google.com/maps/search/?api=1&amp;query=-12.195785,-76.93634","Avenida El Sol, Villa El Salvador, Lima")</f>
      </c>
      <c r="O548" t="str">
        <v>Acelerado y giro brusco</v>
      </c>
      <c r="P548" t="str">
        <v/>
      </c>
      <c r="Q548">
        <v>2172.8</v>
      </c>
      <c r="R548" t="str">
        <v/>
      </c>
      <c r="S548">
        <v>43.7</v>
      </c>
      <c r="T548">
        <v>83.65</v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>
        <v>90</v>
      </c>
      <c r="AC548" t="str">
        <v>01/10/2026</v>
      </c>
      <c r="AD548" t="str">
        <v>14:57:36</v>
      </c>
      <c r="AE548">
        <f>IF("ONLINE"="NOGPS","GPS Antiguo","En línea")</f>
      </c>
      <c r="AF548">
        <f>IF(0=0,"Sin atender", IF(0=1,"Atendida","Atendida y Reportada"))</f>
      </c>
      <c r="AG548" t="str">
        <v/>
      </c>
      <c r="AH548" t="str">
        <v/>
      </c>
      <c r="AI548" t="str">
        <v/>
      </c>
      <c r="AJ548" t="str">
        <v/>
      </c>
      <c r="AK548" t="str">
        <v>01/10/2026 14:57:57</v>
      </c>
      <c r="AL548" t="str">
        <v>14:57:57</v>
      </c>
      <c r="AM548" t="str">
        <v/>
      </c>
    </row>
    <row r="549">
      <c r="A549">
        <v>548</v>
      </c>
      <c r="B549" t="str">
        <v>MASS BSF</v>
      </c>
      <c r="C549" t="str">
        <v>F8R-810</v>
      </c>
      <c r="D549" t="str">
        <v>F8R-810</v>
      </c>
      <c r="E549" t="str">
        <v/>
      </c>
      <c r="F549" t="str">
        <v>867806078868827</v>
      </c>
      <c r="G549" t="str">
        <v>TBD</v>
      </c>
      <c r="H549" t="str">
        <v/>
      </c>
      <c r="I549" t="str">
        <v/>
      </c>
      <c r="J549" t="str">
        <v>01/10/2026</v>
      </c>
      <c r="K549" t="str">
        <v>14:57:50</v>
      </c>
      <c r="L549">
        <v>-12.196397</v>
      </c>
      <c r="M549">
        <v>-76.937386</v>
      </c>
      <c r="N549">
        <f>HYPERLINK("https://www.google.com/maps/search/?api=1&amp;query=-12.196397,-76.937386","Avenida El Sol, Villa El Salvador, Lima")</f>
      </c>
      <c r="O549" t="str">
        <v>Acelerado y giro brusco</v>
      </c>
      <c r="P549" t="str">
        <v/>
      </c>
      <c r="Q549">
        <v>2172.9</v>
      </c>
      <c r="R549" t="str">
        <v/>
      </c>
      <c r="S549">
        <v>34.8</v>
      </c>
      <c r="T549">
        <v>83.65</v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>
        <v>90</v>
      </c>
      <c r="AC549" t="str">
        <v>01/10/2026</v>
      </c>
      <c r="AD549" t="str">
        <v>14:57:47</v>
      </c>
      <c r="AE549">
        <f>IF("ONLINE"="NOGPS","GPS Antiguo","En línea")</f>
      </c>
      <c r="AF549">
        <f>IF(0=0,"Sin atender", IF(0=1,"Atendida","Atendida y Reportada"))</f>
      </c>
      <c r="AG549" t="str">
        <v/>
      </c>
      <c r="AH549" t="str">
        <v/>
      </c>
      <c r="AI549" t="str">
        <v/>
      </c>
      <c r="AJ549" t="str">
        <v/>
      </c>
      <c r="AK549" t="str">
        <v>01/10/2026 14:58:00</v>
      </c>
      <c r="AL549" t="str">
        <v>14:58:00</v>
      </c>
      <c r="AM549" t="str">
        <v/>
      </c>
    </row>
    <row r="550">
      <c r="A550">
        <v>549</v>
      </c>
      <c r="B550" t="str">
        <v>MASS BSF</v>
      </c>
      <c r="C550" t="str">
        <v>F8R-810</v>
      </c>
      <c r="D550" t="str">
        <v>F8R-810</v>
      </c>
      <c r="E550" t="str">
        <v/>
      </c>
      <c r="F550" t="str">
        <v>867806078868827</v>
      </c>
      <c r="G550" t="str">
        <v>TBD</v>
      </c>
      <c r="H550" t="str">
        <v/>
      </c>
      <c r="I550" t="str">
        <v/>
      </c>
      <c r="J550" t="str">
        <v>01/10/2026</v>
      </c>
      <c r="K550" t="str">
        <v>14:57:59</v>
      </c>
      <c r="L550">
        <v>-12.196892</v>
      </c>
      <c r="M550">
        <v>-76.93801</v>
      </c>
      <c r="N550">
        <f>HYPERLINK("https://www.google.com/maps/search/?api=1&amp;query=-12.196892,-76.93801","Avenida El Sol, Villa El Salvador, Lima")</f>
      </c>
      <c r="O550" t="str">
        <v>Acelerado y giro brusco</v>
      </c>
      <c r="P550" t="str">
        <v/>
      </c>
      <c r="Q550">
        <v>2173</v>
      </c>
      <c r="R550" t="str">
        <v/>
      </c>
      <c r="S550">
        <v>39.8</v>
      </c>
      <c r="T550">
        <v>83.65</v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>
        <v>91</v>
      </c>
      <c r="AC550" t="str">
        <v>01/10/2026</v>
      </c>
      <c r="AD550" t="str">
        <v>14:57:56</v>
      </c>
      <c r="AE550">
        <f>IF("ONLINE"="NOGPS","GPS Antiguo","En línea")</f>
      </c>
      <c r="AF550">
        <f>IF(0=0,"Sin atender", IF(0=1,"Atendida","Atendida y Reportada"))</f>
      </c>
      <c r="AG550" t="str">
        <v/>
      </c>
      <c r="AH550" t="str">
        <v/>
      </c>
      <c r="AI550" t="str">
        <v/>
      </c>
      <c r="AJ550" t="str">
        <v/>
      </c>
      <c r="AK550" t="str">
        <v>01/10/2026 14:58:07</v>
      </c>
      <c r="AL550" t="str">
        <v>14:58:07</v>
      </c>
      <c r="AM550" t="str">
        <v/>
      </c>
    </row>
    <row r="551">
      <c r="A551">
        <v>550</v>
      </c>
      <c r="B551" t="str">
        <v>MASS BSF</v>
      </c>
      <c r="C551" t="str">
        <v>F8R-810</v>
      </c>
      <c r="D551" t="str">
        <v>F8R-810</v>
      </c>
      <c r="E551" t="str">
        <v/>
      </c>
      <c r="F551" t="str">
        <v>867806078868827</v>
      </c>
      <c r="G551" t="str">
        <v>TBD</v>
      </c>
      <c r="H551" t="str">
        <v/>
      </c>
      <c r="I551" t="str">
        <v/>
      </c>
      <c r="J551" t="str">
        <v>01/10/2026</v>
      </c>
      <c r="K551" t="str">
        <v>14:58:09</v>
      </c>
      <c r="L551">
        <v>-12.19747</v>
      </c>
      <c r="M551">
        <v>-76.93883</v>
      </c>
      <c r="N551">
        <f>HYPERLINK("https://www.google.com/maps/search/?api=1&amp;query=-12.19747,-76.93883","Avenida El Sol, Villa El Salvador, Lima")</f>
      </c>
      <c r="O551" t="str">
        <v>Acelerado y giro brusco</v>
      </c>
      <c r="P551" t="str">
        <v/>
      </c>
      <c r="Q551">
        <v>2173.1</v>
      </c>
      <c r="R551" t="str">
        <v/>
      </c>
      <c r="S551">
        <v>33.5</v>
      </c>
      <c r="T551">
        <v>83.65</v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>
        <v>91</v>
      </c>
      <c r="AC551" t="str">
        <v>01/10/2026</v>
      </c>
      <c r="AD551" t="str">
        <v>14:58:06</v>
      </c>
      <c r="AE551">
        <f>IF("ONLINE"="NOGPS","GPS Antiguo","En línea")</f>
      </c>
      <c r="AF551">
        <f>IF(0=0,"Sin atender", IF(0=1,"Atendida","Atendida y Reportada"))</f>
      </c>
      <c r="AG551" t="str">
        <v/>
      </c>
      <c r="AH551" t="str">
        <v/>
      </c>
      <c r="AI551" t="str">
        <v/>
      </c>
      <c r="AJ551" t="str">
        <v/>
      </c>
      <c r="AK551" t="str">
        <v>01/10/2026 14:58:16</v>
      </c>
      <c r="AL551" t="str">
        <v>14:58:16</v>
      </c>
      <c r="AM551" t="str">
        <v/>
      </c>
    </row>
    <row r="552">
      <c r="A552">
        <v>551</v>
      </c>
      <c r="B552" t="str">
        <v>MASS BSF</v>
      </c>
      <c r="C552" t="str">
        <v>F8R-810</v>
      </c>
      <c r="D552" t="str">
        <v>F8R-810</v>
      </c>
      <c r="E552" t="str">
        <v/>
      </c>
      <c r="F552" t="str">
        <v>867806078868827</v>
      </c>
      <c r="G552" t="str">
        <v>TBD</v>
      </c>
      <c r="H552" t="str">
        <v/>
      </c>
      <c r="I552" t="str">
        <v/>
      </c>
      <c r="J552" t="str">
        <v>01/10/2026</v>
      </c>
      <c r="K552" t="str">
        <v>14:58:21</v>
      </c>
      <c r="L552">
        <v>-12.197948</v>
      </c>
      <c r="M552">
        <v>-76.939575</v>
      </c>
      <c r="N552">
        <f>HYPERLINK("https://www.google.com/maps/search/?api=1&amp;query=-12.197948,-76.939575","Avenida El Sol, Villa El Salvador, Lima")</f>
      </c>
      <c r="O552" t="str">
        <v>Acelerado y giro brusco</v>
      </c>
      <c r="P552" t="str">
        <v/>
      </c>
      <c r="Q552">
        <v>2173.2</v>
      </c>
      <c r="R552" t="str">
        <v/>
      </c>
      <c r="S552">
        <v>25.9</v>
      </c>
      <c r="T552">
        <v>83.65</v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>
        <v>91</v>
      </c>
      <c r="AC552" t="str">
        <v>01/10/2026</v>
      </c>
      <c r="AD552" t="str">
        <v>14:58:18</v>
      </c>
      <c r="AE552">
        <f>IF("ONLINE"="NOGPS","GPS Antiguo","En línea")</f>
      </c>
      <c r="AF552">
        <f>IF(0=0,"Sin atender", IF(0=1,"Atendida","Atendida y Reportada"))</f>
      </c>
      <c r="AG552" t="str">
        <v/>
      </c>
      <c r="AH552" t="str">
        <v/>
      </c>
      <c r="AI552" t="str">
        <v/>
      </c>
      <c r="AJ552" t="str">
        <v/>
      </c>
      <c r="AK552" t="str">
        <v>01/10/2026 14:58:40</v>
      </c>
      <c r="AL552" t="str">
        <v>14:58:40</v>
      </c>
      <c r="AM552" t="str">
        <v/>
      </c>
    </row>
    <row r="553">
      <c r="A553">
        <v>552</v>
      </c>
      <c r="B553" t="str">
        <v>MASS BSF</v>
      </c>
      <c r="C553" t="str">
        <v>F8R-810</v>
      </c>
      <c r="D553" t="str">
        <v>F8R-810</v>
      </c>
      <c r="E553" t="str">
        <v/>
      </c>
      <c r="F553" t="str">
        <v>867806078868827</v>
      </c>
      <c r="G553" t="str">
        <v>TBD</v>
      </c>
      <c r="H553" t="str">
        <v/>
      </c>
      <c r="I553" t="str">
        <v/>
      </c>
      <c r="J553" t="str">
        <v>01/10/2026</v>
      </c>
      <c r="K553" t="str">
        <v>14:58:41</v>
      </c>
      <c r="L553">
        <v>-12.198526</v>
      </c>
      <c r="M553">
        <v>-76.9411</v>
      </c>
      <c r="N553">
        <f>HYPERLINK("https://www.google.com/maps/search/?api=1&amp;query=-12.198526,-76.9411","Avenida El Sol, Villa El Salvador, Lima")</f>
      </c>
      <c r="O553" t="str">
        <v>Acelerado y giro brusco</v>
      </c>
      <c r="P553" t="str">
        <v/>
      </c>
      <c r="Q553">
        <v>2173.4</v>
      </c>
      <c r="R553" t="str">
        <v/>
      </c>
      <c r="S553">
        <v>45.9</v>
      </c>
      <c r="T553">
        <v>83.65</v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>
        <v>91</v>
      </c>
      <c r="AC553" t="str">
        <v>01/10/2026</v>
      </c>
      <c r="AD553" t="str">
        <v>14:58:38</v>
      </c>
      <c r="AE553">
        <f>IF("ONLINE"="NOGPS","GPS Antiguo","En línea")</f>
      </c>
      <c r="AF553">
        <f>IF(0=0,"Sin atender", IF(0=1,"Atendida","Atendida y Reportada"))</f>
      </c>
      <c r="AG553" t="str">
        <v/>
      </c>
      <c r="AH553" t="str">
        <v/>
      </c>
      <c r="AI553" t="str">
        <v/>
      </c>
      <c r="AJ553" t="str">
        <v/>
      </c>
      <c r="AK553" t="str">
        <v>01/10/2026 14:58:55</v>
      </c>
      <c r="AL553" t="str">
        <v>14:58:55</v>
      </c>
      <c r="AM553" t="str">
        <v/>
      </c>
    </row>
    <row r="554">
      <c r="A554">
        <v>553</v>
      </c>
      <c r="B554" t="str">
        <v>MASS BSF</v>
      </c>
      <c r="C554" t="str">
        <v>F8R-810</v>
      </c>
      <c r="D554" t="str">
        <v>F8R-810</v>
      </c>
      <c r="E554" t="str">
        <v/>
      </c>
      <c r="F554" t="str">
        <v>867806078868827</v>
      </c>
      <c r="G554" t="str">
        <v>TBD</v>
      </c>
      <c r="H554" t="str">
        <v/>
      </c>
      <c r="I554" t="str">
        <v/>
      </c>
      <c r="J554" t="str">
        <v>01/10/2026</v>
      </c>
      <c r="K554" t="str">
        <v>14:59:37</v>
      </c>
      <c r="L554">
        <v>-12.198945</v>
      </c>
      <c r="M554">
        <v>-76.941826</v>
      </c>
      <c r="N554">
        <f>HYPERLINK("https://www.google.com/maps/search/?api=1&amp;query=-12.198945,-76.941826","Avenida El Sol, Villa El Salvador, Lima")</f>
      </c>
      <c r="O554" t="str">
        <v>Aceleración brusca</v>
      </c>
      <c r="P554" t="str">
        <v>CMT-910</v>
      </c>
      <c r="Q554">
        <v>2173.4</v>
      </c>
      <c r="R554" t="str">
        <v/>
      </c>
      <c r="S554">
        <v>11.1</v>
      </c>
      <c r="T554">
        <v>83.65</v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>
        <v>88</v>
      </c>
      <c r="AC554" t="str">
        <v>01/10/2026</v>
      </c>
      <c r="AD554" t="str">
        <v>14:59:33</v>
      </c>
      <c r="AE554">
        <f>IF("ONLINE"="NOGPS","GPS Antiguo","En línea")</f>
      </c>
      <c r="AF554">
        <f>IF(0=0,"Sin atender", IF(0=1,"Atendida","Atendida y Reportada"))</f>
      </c>
      <c r="AG554" t="str">
        <v/>
      </c>
      <c r="AH554" t="str">
        <v/>
      </c>
      <c r="AI554" t="str">
        <v/>
      </c>
      <c r="AJ554" t="str">
        <v/>
      </c>
      <c r="AK554" t="str">
        <v>01/10/2026 14:59:51</v>
      </c>
      <c r="AL554" t="str">
        <v>14:59:51</v>
      </c>
      <c r="AM554" t="str">
        <v/>
      </c>
    </row>
    <row r="555">
      <c r="A555">
        <v>554</v>
      </c>
      <c r="B555" t="str">
        <v>MASS BSF</v>
      </c>
      <c r="C555" t="str">
        <v>F8R-810</v>
      </c>
      <c r="D555" t="str">
        <v>F8R-810</v>
      </c>
      <c r="E555" t="str">
        <v/>
      </c>
      <c r="F555" t="str">
        <v>867806078868827</v>
      </c>
      <c r="G555" t="str">
        <v>TBD</v>
      </c>
      <c r="H555" t="str">
        <v/>
      </c>
      <c r="I555" t="str">
        <v/>
      </c>
      <c r="J555" t="str">
        <v>01/10/2026</v>
      </c>
      <c r="K555" t="str">
        <v>14:59:48</v>
      </c>
      <c r="L555">
        <v>-12.199322</v>
      </c>
      <c r="M555">
        <v>-76.94247</v>
      </c>
      <c r="N555">
        <f>HYPERLINK("https://www.google.com/maps/search/?api=1&amp;query=-12.199322,-76.94247","Avenida El Sol, Villa El Salvador, Lima")</f>
      </c>
      <c r="O555" t="str">
        <v>Aceleración brusca</v>
      </c>
      <c r="P555" t="str">
        <v>CMT-910</v>
      </c>
      <c r="Q555">
        <v>2173.5</v>
      </c>
      <c r="R555" t="str">
        <v/>
      </c>
      <c r="S555">
        <v>36.4</v>
      </c>
      <c r="T555">
        <v>83.65</v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>
        <v>88</v>
      </c>
      <c r="AC555" t="str">
        <v>01/10/2026</v>
      </c>
      <c r="AD555" t="str">
        <v>14:59:45</v>
      </c>
      <c r="AE555">
        <f>IF("ONLINE"="NOGPS","GPS Antiguo","En línea")</f>
      </c>
      <c r="AF555">
        <f>IF(0=0,"Sin atender", IF(0=1,"Atendida","Atendida y Reportada"))</f>
      </c>
      <c r="AG555" t="str">
        <v/>
      </c>
      <c r="AH555" t="str">
        <v/>
      </c>
      <c r="AI555" t="str">
        <v/>
      </c>
      <c r="AJ555" t="str">
        <v/>
      </c>
      <c r="AK555" t="str">
        <v>01/10/2026 14:59:57</v>
      </c>
      <c r="AL555" t="str">
        <v>14:59:57</v>
      </c>
      <c r="AM555" t="str">
        <v/>
      </c>
    </row>
    <row r="556">
      <c r="A556">
        <v>555</v>
      </c>
      <c r="B556" t="str">
        <v>MASS BSF</v>
      </c>
      <c r="C556" t="str">
        <v>F8R-810</v>
      </c>
      <c r="D556" t="str">
        <v>F8R-810</v>
      </c>
      <c r="E556" t="str">
        <v/>
      </c>
      <c r="F556" t="str">
        <v>867806078868827</v>
      </c>
      <c r="G556" t="str">
        <v>TBD</v>
      </c>
      <c r="H556" t="str">
        <v/>
      </c>
      <c r="I556" t="str">
        <v/>
      </c>
      <c r="J556" t="str">
        <v>01/10/2026</v>
      </c>
      <c r="K556" t="str">
        <v>14:59:57</v>
      </c>
      <c r="L556">
        <v>-12.199495</v>
      </c>
      <c r="M556">
        <v>-76.94289</v>
      </c>
      <c r="N556">
        <f>HYPERLINK("https://www.google.com/maps/search/?api=1&amp;query=-12.199495,-76.94289","Avenida El Sol, Villa El Salvador, Lima")</f>
      </c>
      <c r="O556" t="str">
        <v>Acelerado y giro brusco</v>
      </c>
      <c r="P556" t="str">
        <v/>
      </c>
      <c r="Q556">
        <v>2173.6</v>
      </c>
      <c r="R556" t="str">
        <v/>
      </c>
      <c r="S556">
        <v>8.1</v>
      </c>
      <c r="T556">
        <v>83.65</v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>
        <v>87</v>
      </c>
      <c r="AC556" t="str">
        <v>01/10/2026</v>
      </c>
      <c r="AD556" t="str">
        <v>14:59:54</v>
      </c>
      <c r="AE556">
        <f>IF("ONLINE"="NOGPS","GPS Antiguo","En línea")</f>
      </c>
      <c r="AF556">
        <f>IF(0=0,"Sin atender", IF(0=1,"Atendida","Atendida y Reportada"))</f>
      </c>
      <c r="AG556" t="str">
        <v/>
      </c>
      <c r="AH556" t="str">
        <v/>
      </c>
      <c r="AI556" t="str">
        <v/>
      </c>
      <c r="AJ556" t="str">
        <v/>
      </c>
      <c r="AK556" t="str">
        <v>01/10/2026 15:00:17</v>
      </c>
      <c r="AL556" t="str">
        <v>15:00:17</v>
      </c>
      <c r="AM556" t="str">
        <v/>
      </c>
    </row>
    <row r="557">
      <c r="A557">
        <v>556</v>
      </c>
      <c r="B557" t="str">
        <v>MASS BSF</v>
      </c>
      <c r="C557" t="str">
        <v>F8R-810</v>
      </c>
      <c r="D557" t="str">
        <v>F8R-810</v>
      </c>
      <c r="E557" t="str">
        <v/>
      </c>
      <c r="F557" t="str">
        <v>867806078868827</v>
      </c>
      <c r="G557" t="str">
        <v>TBD</v>
      </c>
      <c r="H557" t="str">
        <v/>
      </c>
      <c r="I557" t="str">
        <v/>
      </c>
      <c r="J557" t="str">
        <v>01/10/2026</v>
      </c>
      <c r="K557" t="str">
        <v>15:00:09</v>
      </c>
      <c r="L557">
        <v>-12.199482</v>
      </c>
      <c r="M557">
        <v>-76.94286</v>
      </c>
      <c r="N557">
        <f>HYPERLINK("https://www.google.com/maps/search/?api=1&amp;query=-12.199482,-76.94286","Avenida El Sol, Villa El Salvador, Lima")</f>
      </c>
      <c r="O557" t="str">
        <v>Acelerado y giro brusco</v>
      </c>
      <c r="P557" t="str">
        <v/>
      </c>
      <c r="Q557">
        <v>2173.6</v>
      </c>
      <c r="R557" t="str">
        <v/>
      </c>
      <c r="S557">
        <v>0</v>
      </c>
      <c r="T557">
        <v>83.65</v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>
        <v>87</v>
      </c>
      <c r="AC557" t="str">
        <v>01/10/2026</v>
      </c>
      <c r="AD557" t="str">
        <v>15:00:06</v>
      </c>
      <c r="AE557">
        <f>IF("ONLINE"="NOGPS","GPS Antiguo","En línea")</f>
      </c>
      <c r="AF557">
        <f>IF(0=0,"Sin atender", IF(0=1,"Atendida","Atendida y Reportada"))</f>
      </c>
      <c r="AG557" t="str">
        <v/>
      </c>
      <c r="AH557" t="str">
        <v/>
      </c>
      <c r="AI557" t="str">
        <v/>
      </c>
      <c r="AJ557" t="str">
        <v/>
      </c>
      <c r="AK557" t="str">
        <v>01/10/2026 15:00:24</v>
      </c>
      <c r="AL557" t="str">
        <v>15:00:24</v>
      </c>
      <c r="AM557" t="str">
        <v/>
      </c>
    </row>
    <row r="558">
      <c r="A558">
        <v>557</v>
      </c>
      <c r="B558" t="str">
        <v>MASS BSF</v>
      </c>
      <c r="C558" t="str">
        <v>F8R-810</v>
      </c>
      <c r="D558" t="str">
        <v>F8R-810</v>
      </c>
      <c r="E558" t="str">
        <v/>
      </c>
      <c r="F558" t="str">
        <v>867806078868827</v>
      </c>
      <c r="G558" t="str">
        <v>TBD</v>
      </c>
      <c r="H558" t="str">
        <v/>
      </c>
      <c r="I558" t="str">
        <v/>
      </c>
      <c r="J558" t="str">
        <v>01/10/2026</v>
      </c>
      <c r="K558" t="str">
        <v>15:00:15</v>
      </c>
      <c r="L558">
        <v>-12.199482</v>
      </c>
      <c r="M558">
        <v>-76.94286</v>
      </c>
      <c r="N558">
        <f>HYPERLINK("https://www.google.com/maps/search/?api=1&amp;query=-12.199482,-76.94286","Avenida El Sol, Villa El Salvador, Lima")</f>
      </c>
      <c r="O558" t="str">
        <v>Acelerado y giro brusco</v>
      </c>
      <c r="P558" t="str">
        <v/>
      </c>
      <c r="Q558">
        <v>2173.6</v>
      </c>
      <c r="R558" t="str">
        <v/>
      </c>
      <c r="S558">
        <v>0</v>
      </c>
      <c r="T558">
        <v>83.65</v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>
        <v>87</v>
      </c>
      <c r="AC558" t="str">
        <v>01/10/2026</v>
      </c>
      <c r="AD558" t="str">
        <v>15:00:12</v>
      </c>
      <c r="AE558">
        <f>IF("ONLINE"="NOGPS","GPS Antiguo","En línea")</f>
      </c>
      <c r="AF558">
        <f>IF(0=0,"Sin atender", IF(0=1,"Atendida","Atendida y Reportada"))</f>
      </c>
      <c r="AG558" t="str">
        <v/>
      </c>
      <c r="AH558" t="str">
        <v/>
      </c>
      <c r="AI558" t="str">
        <v/>
      </c>
      <c r="AJ558" t="str">
        <v/>
      </c>
      <c r="AK558" t="str">
        <v>01/10/2026 15:00:21</v>
      </c>
      <c r="AL558" t="str">
        <v>15:00:21</v>
      </c>
      <c r="AM558" t="str">
        <v/>
      </c>
    </row>
    <row r="559">
      <c r="A559">
        <v>558</v>
      </c>
      <c r="B559" t="str">
        <v>MASS BSF</v>
      </c>
      <c r="C559" t="str">
        <v>F8R-810</v>
      </c>
      <c r="D559" t="str">
        <v>F8R-810</v>
      </c>
      <c r="E559" t="str">
        <v/>
      </c>
      <c r="F559" t="str">
        <v>867806078868827</v>
      </c>
      <c r="G559" t="str">
        <v>TBD</v>
      </c>
      <c r="H559" t="str">
        <v/>
      </c>
      <c r="I559" t="str">
        <v/>
      </c>
      <c r="J559" t="str">
        <v>01/10/2026</v>
      </c>
      <c r="K559" t="str">
        <v>15:00:45</v>
      </c>
      <c r="L559">
        <v>-12.199447</v>
      </c>
      <c r="M559">
        <v>-76.94281</v>
      </c>
      <c r="N559">
        <f>HYPERLINK("https://www.google.com/maps/search/?api=1&amp;query=-12.199447,-76.94281","Avenida El Sol, Villa El Salvador, Lima")</f>
      </c>
      <c r="O559" t="str">
        <v>Vehículo apagado</v>
      </c>
      <c r="P559" t="str">
        <v>Vehículo Apagado</v>
      </c>
      <c r="Q559">
        <v>2173.6</v>
      </c>
      <c r="R559" t="str">
        <v/>
      </c>
      <c r="S559">
        <v>0</v>
      </c>
      <c r="T559">
        <v>83.95</v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>
        <v>87</v>
      </c>
      <c r="AC559" t="str">
        <v>01/10/2026</v>
      </c>
      <c r="AD559" t="str">
        <v>15:00:42</v>
      </c>
      <c r="AE559">
        <f>IF("ONLINE"="NOGPS","GPS Antiguo","En línea")</f>
      </c>
      <c r="AF559">
        <f>IF(0=0,"Sin atender", IF(0=1,"Atendida","Atendida y Reportada"))</f>
      </c>
      <c r="AG559" t="str">
        <v/>
      </c>
      <c r="AH559" t="str">
        <v/>
      </c>
      <c r="AI559" t="str">
        <v/>
      </c>
      <c r="AJ559" t="str">
        <v/>
      </c>
      <c r="AK559" t="str">
        <v>01/10/2026 15:01:02</v>
      </c>
      <c r="AL559" t="str">
        <v>15:01:02</v>
      </c>
      <c r="AM559" t="str">
        <v/>
      </c>
    </row>
    <row r="560">
      <c r="A560">
        <v>559</v>
      </c>
      <c r="B560" t="str">
        <v>MASS BSF</v>
      </c>
      <c r="C560" t="str">
        <v>F8R-810</v>
      </c>
      <c r="D560" t="str">
        <v>F8R-810</v>
      </c>
      <c r="E560" t="str">
        <v/>
      </c>
      <c r="F560" t="str">
        <v>867806078868827</v>
      </c>
      <c r="G560" t="str">
        <v>TBD</v>
      </c>
      <c r="H560" t="str">
        <v/>
      </c>
      <c r="I560" t="str">
        <v/>
      </c>
      <c r="J560" t="str">
        <v>01/10/2026</v>
      </c>
      <c r="K560" t="str">
        <v>15:07:58</v>
      </c>
      <c r="L560">
        <v>-12.199447</v>
      </c>
      <c r="M560">
        <v>-76.94281</v>
      </c>
      <c r="N560">
        <f>HYPERLINK("https://www.google.com/maps/search/?api=1&amp;query=-12.199447,-76.94281","Avenida El Sol, Villa El Salvador, Lima")</f>
      </c>
      <c r="O560" t="str">
        <v>Se detuvo</v>
      </c>
      <c r="P560" t="str">
        <v>Unidad se detuvo</v>
      </c>
      <c r="Q560">
        <v>2173.6</v>
      </c>
      <c r="R560" t="str">
        <v/>
      </c>
      <c r="S560">
        <v>0</v>
      </c>
      <c r="T560">
        <v>83.95</v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>
        <v>87</v>
      </c>
      <c r="AC560" t="str">
        <v>01/10/2026</v>
      </c>
      <c r="AD560" t="str">
        <v>15:07:54</v>
      </c>
      <c r="AE560">
        <f>IF("ONLINE"="NOGPS","GPS Antiguo","En línea")</f>
      </c>
      <c r="AF560">
        <f>IF(0=0,"Sin atender", IF(0=1,"Atendida","Atendida y Reportada"))</f>
      </c>
      <c r="AG560" t="str">
        <v/>
      </c>
      <c r="AH560" t="str">
        <v/>
      </c>
      <c r="AI560" t="str">
        <v/>
      </c>
      <c r="AJ560" t="str">
        <v/>
      </c>
      <c r="AK560" t="str">
        <v>01/10/2026 15:08:11</v>
      </c>
      <c r="AL560" t="str">
        <v>15:08:11</v>
      </c>
      <c r="AM560" t="str">
        <v/>
      </c>
    </row>
    <row r="561">
      <c r="A561">
        <v>560</v>
      </c>
      <c r="B561" t="str">
        <v>MASS BSF</v>
      </c>
      <c r="C561" t="str">
        <v>F8R-810</v>
      </c>
      <c r="D561" t="str">
        <v>F8R-810</v>
      </c>
      <c r="E561" t="str">
        <v/>
      </c>
      <c r="F561" t="str">
        <v>867806078868827</v>
      </c>
      <c r="G561" t="str">
        <v>TBD</v>
      </c>
      <c r="H561" t="str">
        <v/>
      </c>
      <c r="I561" t="str">
        <v/>
      </c>
      <c r="J561" t="str">
        <v>01/10/2026</v>
      </c>
      <c r="K561" t="str">
        <v>15:19:50</v>
      </c>
      <c r="L561">
        <v>-12.199447</v>
      </c>
      <c r="M561">
        <v>-76.94281</v>
      </c>
      <c r="N561">
        <f>HYPERLINK("https://www.google.com/maps/search/?api=1&amp;query=-12.199447,-76.94281","Avenida El Sol, Villa El Salvador, Lima")</f>
      </c>
      <c r="O561" t="str">
        <v>Vehículo encendido</v>
      </c>
      <c r="P561" t="str">
        <v/>
      </c>
      <c r="Q561">
        <v>2173.6</v>
      </c>
      <c r="R561" t="str">
        <v/>
      </c>
      <c r="S561">
        <v>0</v>
      </c>
      <c r="T561">
        <v>83.95</v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>
        <v>95</v>
      </c>
      <c r="AC561" t="str">
        <v>01/10/2026</v>
      </c>
      <c r="AD561" t="str">
        <v>15:19:47</v>
      </c>
      <c r="AE561">
        <f>IF("ONLINE"="NOGPS","GPS Antiguo","En línea")</f>
      </c>
      <c r="AF561">
        <f>IF(0=0,"Sin atender", IF(0=1,"Atendida","Atendida y Reportada"))</f>
      </c>
      <c r="AG561" t="str">
        <v/>
      </c>
      <c r="AH561" t="str">
        <v/>
      </c>
      <c r="AI561" t="str">
        <v/>
      </c>
      <c r="AJ561" t="str">
        <v/>
      </c>
      <c r="AK561" t="str">
        <v>01/10/2026 15:19:53</v>
      </c>
      <c r="AL561" t="str">
        <v>15:19:53</v>
      </c>
      <c r="AM561" t="str">
        <v/>
      </c>
    </row>
    <row r="562">
      <c r="A562">
        <v>561</v>
      </c>
      <c r="B562" t="str">
        <v>MASS BSF</v>
      </c>
      <c r="C562" t="str">
        <v>F8R-810</v>
      </c>
      <c r="D562" t="str">
        <v>F8R-810</v>
      </c>
      <c r="E562" t="str">
        <v/>
      </c>
      <c r="F562" t="str">
        <v>867806078868827</v>
      </c>
      <c r="G562" t="str">
        <v>TBD</v>
      </c>
      <c r="H562" t="str">
        <v/>
      </c>
      <c r="I562" t="str">
        <v/>
      </c>
      <c r="J562" t="str">
        <v>01/10/2026</v>
      </c>
      <c r="K562" t="str">
        <v>15:20:29</v>
      </c>
      <c r="L562">
        <v>-12.199547</v>
      </c>
      <c r="M562">
        <v>-76.9429</v>
      </c>
      <c r="N562">
        <f>HYPERLINK("https://www.google.com/maps/search/?api=1&amp;query=-12.199547,-76.9429","Avenida El Sol, Villa El Salvador, Lima")</f>
      </c>
      <c r="O562" t="str">
        <v>Aceleración brusca</v>
      </c>
      <c r="P562" t="str">
        <v>CMT-910</v>
      </c>
      <c r="Q562">
        <v>2173.6</v>
      </c>
      <c r="R562" t="str">
        <v/>
      </c>
      <c r="S562">
        <v>14.2</v>
      </c>
      <c r="T562">
        <v>83.95</v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>
        <v>95</v>
      </c>
      <c r="AC562" t="str">
        <v>01/10/2026</v>
      </c>
      <c r="AD562" t="str">
        <v>15:20:26</v>
      </c>
      <c r="AE562">
        <f>IF("ONLINE"="NOGPS","GPS Antiguo","En línea")</f>
      </c>
      <c r="AF562">
        <f>IF(0=0,"Sin atender", IF(0=1,"Atendida","Atendida y Reportada"))</f>
      </c>
      <c r="AG562" t="str">
        <v/>
      </c>
      <c r="AH562" t="str">
        <v/>
      </c>
      <c r="AI562" t="str">
        <v/>
      </c>
      <c r="AJ562" t="str">
        <v/>
      </c>
      <c r="AK562" t="str">
        <v>01/10/2026 15:20:32</v>
      </c>
      <c r="AL562" t="str">
        <v>15:20:32</v>
      </c>
      <c r="AM562" t="str">
        <v/>
      </c>
    </row>
    <row r="563">
      <c r="A563">
        <v>562</v>
      </c>
      <c r="B563" t="str">
        <v>MASS BSF</v>
      </c>
      <c r="C563" t="str">
        <v>F8R-810</v>
      </c>
      <c r="D563" t="str">
        <v>F8R-810</v>
      </c>
      <c r="E563" t="str">
        <v/>
      </c>
      <c r="F563" t="str">
        <v>867806078868827</v>
      </c>
      <c r="G563" t="str">
        <v>TBD</v>
      </c>
      <c r="H563" t="str">
        <v/>
      </c>
      <c r="I563" t="str">
        <v/>
      </c>
      <c r="J563" t="str">
        <v>01/10/2026</v>
      </c>
      <c r="K563" t="str">
        <v>15:21:03</v>
      </c>
      <c r="L563">
        <v>-12.200363</v>
      </c>
      <c r="M563">
        <v>-76.944305</v>
      </c>
      <c r="N563">
        <f>HYPERLINK("https://www.google.com/maps/search/?api=1&amp;query=-12.200363,-76.944305","Avenida El Sol, Villa El Salvador, Lima")</f>
      </c>
      <c r="O563" t="str">
        <v>Acelerado y giro brusco</v>
      </c>
      <c r="P563" t="str">
        <v/>
      </c>
      <c r="Q563">
        <v>2173.8</v>
      </c>
      <c r="R563" t="str">
        <v/>
      </c>
      <c r="S563">
        <v>5.7</v>
      </c>
      <c r="T563">
        <v>83.95</v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>
        <v>95</v>
      </c>
      <c r="AC563" t="str">
        <v>01/10/2026</v>
      </c>
      <c r="AD563" t="str">
        <v>15:20:59</v>
      </c>
      <c r="AE563">
        <f>IF("ONLINE"="NOGPS","GPS Antiguo","En línea")</f>
      </c>
      <c r="AF563">
        <f>IF(0=0,"Sin atender", IF(0=1,"Atendida","Atendida y Reportada"))</f>
      </c>
      <c r="AG563" t="str">
        <v/>
      </c>
      <c r="AH563" t="str">
        <v/>
      </c>
      <c r="AI563" t="str">
        <v/>
      </c>
      <c r="AJ563" t="str">
        <v/>
      </c>
      <c r="AK563" t="str">
        <v>01/10/2026 15:21:25</v>
      </c>
      <c r="AL563" t="str">
        <v>15:21:25</v>
      </c>
      <c r="AM563" t="str">
        <v/>
      </c>
    </row>
    <row r="564">
      <c r="A564">
        <v>563</v>
      </c>
      <c r="B564" t="str">
        <v>MASS BSF</v>
      </c>
      <c r="C564" t="str">
        <v>F8R-810</v>
      </c>
      <c r="D564" t="str">
        <v>F8R-810</v>
      </c>
      <c r="E564" t="str">
        <v/>
      </c>
      <c r="F564" t="str">
        <v>867806078868827</v>
      </c>
      <c r="G564" t="str">
        <v>TBD</v>
      </c>
      <c r="H564" t="str">
        <v/>
      </c>
      <c r="I564" t="str">
        <v/>
      </c>
      <c r="J564" t="str">
        <v>01/10/2026</v>
      </c>
      <c r="K564" t="str">
        <v>15:21:10</v>
      </c>
      <c r="L564">
        <v>-12.20037</v>
      </c>
      <c r="M564">
        <v>-76.94432</v>
      </c>
      <c r="N564">
        <f>HYPERLINK("https://www.google.com/maps/search/?api=1&amp;query=-12.20037,-76.94432","Avenida El Sol, Villa El Salvador, Lima")</f>
      </c>
      <c r="O564" t="str">
        <v>Acelerado y giro brusco</v>
      </c>
      <c r="P564" t="str">
        <v/>
      </c>
      <c r="Q564">
        <v>2173.8</v>
      </c>
      <c r="R564" t="str">
        <v/>
      </c>
      <c r="S564">
        <v>0</v>
      </c>
      <c r="T564">
        <v>83.95</v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>
        <v>95</v>
      </c>
      <c r="AC564" t="str">
        <v>01/10/2026</v>
      </c>
      <c r="AD564" t="str">
        <v>15:21:07</v>
      </c>
      <c r="AE564">
        <f>IF("ONLINE"="NOGPS","GPS Antiguo","En línea")</f>
      </c>
      <c r="AF564">
        <f>IF(0=0,"Sin atender", IF(0=1,"Atendida","Atendida y Reportada"))</f>
      </c>
      <c r="AG564" t="str">
        <v/>
      </c>
      <c r="AH564" t="str">
        <v/>
      </c>
      <c r="AI564" t="str">
        <v/>
      </c>
      <c r="AJ564" t="str">
        <v/>
      </c>
      <c r="AK564" t="str">
        <v>01/10/2026 15:21:27</v>
      </c>
      <c r="AL564" t="str">
        <v>15:21:27</v>
      </c>
      <c r="AM564" t="str">
        <v/>
      </c>
    </row>
    <row r="565">
      <c r="A565">
        <v>564</v>
      </c>
      <c r="B565" t="str">
        <v>MASS BSF</v>
      </c>
      <c r="C565" t="str">
        <v>F8R-810</v>
      </c>
      <c r="D565" t="str">
        <v>F8R-810</v>
      </c>
      <c r="E565" t="str">
        <v/>
      </c>
      <c r="F565" t="str">
        <v>867806078868827</v>
      </c>
      <c r="G565" t="str">
        <v>TBD</v>
      </c>
      <c r="H565" t="str">
        <v/>
      </c>
      <c r="I565" t="str">
        <v/>
      </c>
      <c r="J565" t="str">
        <v>01/10/2026</v>
      </c>
      <c r="K565" t="str">
        <v>15:21:29</v>
      </c>
      <c r="L565">
        <v>-12.200434</v>
      </c>
      <c r="M565">
        <v>-76.94441</v>
      </c>
      <c r="N565">
        <f>HYPERLINK("https://www.google.com/maps/search/?api=1&amp;query=-12.200434,-76.94441","Avenida Revolución, Villa El Salvador, Lima")</f>
      </c>
      <c r="O565" t="str">
        <v>Acelerado y giro brusco</v>
      </c>
      <c r="P565" t="str">
        <v/>
      </c>
      <c r="Q565">
        <v>2173.8</v>
      </c>
      <c r="R565" t="str">
        <v/>
      </c>
      <c r="S565">
        <v>15</v>
      </c>
      <c r="T565">
        <v>83.95</v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>
        <v>85</v>
      </c>
      <c r="AC565" t="str">
        <v>01/10/2026</v>
      </c>
      <c r="AD565" t="str">
        <v>15:21:26</v>
      </c>
      <c r="AE565">
        <f>IF("ONLINE"="NOGPS","GPS Antiguo","En línea")</f>
      </c>
      <c r="AF565">
        <f>IF(0=0,"Sin atender", IF(0=1,"Atendida","Atendida y Reportada"))</f>
      </c>
      <c r="AG565" t="str">
        <v/>
      </c>
      <c r="AH565" t="str">
        <v/>
      </c>
      <c r="AI565" t="str">
        <v/>
      </c>
      <c r="AJ565" t="str">
        <v/>
      </c>
      <c r="AK565" t="str">
        <v>01/10/2026 15:21:39</v>
      </c>
      <c r="AL565" t="str">
        <v>15:21:39</v>
      </c>
      <c r="AM565" t="str">
        <v/>
      </c>
    </row>
    <row r="566">
      <c r="A566">
        <v>565</v>
      </c>
      <c r="B566" t="str">
        <v>MASS BSF</v>
      </c>
      <c r="C566" t="str">
        <v>F8R-810</v>
      </c>
      <c r="D566" t="str">
        <v>F8R-810</v>
      </c>
      <c r="E566" t="str">
        <v/>
      </c>
      <c r="F566" t="str">
        <v>867806078868827</v>
      </c>
      <c r="G566" t="str">
        <v>TBD</v>
      </c>
      <c r="H566" t="str">
        <v/>
      </c>
      <c r="I566" t="str">
        <v/>
      </c>
      <c r="J566" t="str">
        <v>01/10/2026</v>
      </c>
      <c r="K566" t="str">
        <v>15:21:34</v>
      </c>
      <c r="L566">
        <v>-12.200523</v>
      </c>
      <c r="M566">
        <v>-76.944565</v>
      </c>
      <c r="N566">
        <f>HYPERLINK("https://www.google.com/maps/search/?api=1&amp;query=-12.200523,-76.944565","Avenida El Sol, Villa El Salvador, Lima")</f>
      </c>
      <c r="O566" t="str">
        <v>Acelerado y giro brusco</v>
      </c>
      <c r="P566" t="str">
        <v/>
      </c>
      <c r="Q566">
        <v>2173.8</v>
      </c>
      <c r="R566" t="str">
        <v/>
      </c>
      <c r="S566">
        <v>22</v>
      </c>
      <c r="T566">
        <v>83.95</v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>
        <v>85</v>
      </c>
      <c r="AC566" t="str">
        <v>01/10/2026</v>
      </c>
      <c r="AD566" t="str">
        <v>15:21:30</v>
      </c>
      <c r="AE566">
        <f>IF("ONLINE"="NOGPS","GPS Antiguo","En línea")</f>
      </c>
      <c r="AF566">
        <f>IF(0=0,"Sin atender", IF(0=1,"Atendida","Atendida y Reportada"))</f>
      </c>
      <c r="AG566" t="str">
        <v/>
      </c>
      <c r="AH566" t="str">
        <v/>
      </c>
      <c r="AI566" t="str">
        <v/>
      </c>
      <c r="AJ566" t="str">
        <v/>
      </c>
      <c r="AK566" t="str">
        <v>01/10/2026 15:21:42</v>
      </c>
      <c r="AL566" t="str">
        <v>15:21:42</v>
      </c>
      <c r="AM566" t="str">
        <v/>
      </c>
    </row>
    <row r="567">
      <c r="A567">
        <v>566</v>
      </c>
      <c r="B567" t="str">
        <v>MASS BSF</v>
      </c>
      <c r="C567" t="str">
        <v>F8R-810</v>
      </c>
      <c r="D567" t="str">
        <v>F8R-810</v>
      </c>
      <c r="E567" t="str">
        <v/>
      </c>
      <c r="F567" t="str">
        <v>867806078868827</v>
      </c>
      <c r="G567" t="str">
        <v>TBD</v>
      </c>
      <c r="H567" t="str">
        <v/>
      </c>
      <c r="I567" t="str">
        <v/>
      </c>
      <c r="J567" t="str">
        <v>01/10/2026</v>
      </c>
      <c r="K567" t="str">
        <v>15:21:42</v>
      </c>
      <c r="L567">
        <v>-12.200797</v>
      </c>
      <c r="M567">
        <v>-76.94503</v>
      </c>
      <c r="N567">
        <f>HYPERLINK("https://www.google.com/maps/search/?api=1&amp;query=-12.200797,-76.94503","Avenida El Sol, Villa El Salvador, Lima")</f>
      </c>
      <c r="O567" t="str">
        <v>Aceleración brusca</v>
      </c>
      <c r="P567" t="str">
        <v>CMT-910</v>
      </c>
      <c r="Q567">
        <v>2173.9</v>
      </c>
      <c r="R567" t="str">
        <v/>
      </c>
      <c r="S567">
        <v>32.2</v>
      </c>
      <c r="T567">
        <v>83.95</v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>
        <v>85</v>
      </c>
      <c r="AC567" t="str">
        <v>01/10/2026</v>
      </c>
      <c r="AD567" t="str">
        <v>15:21:38</v>
      </c>
      <c r="AE567">
        <f>IF("ONLINE"="NOGPS","GPS Antiguo","En línea")</f>
      </c>
      <c r="AF567">
        <f>IF(0=0,"Sin atender", IF(0=1,"Atendida","Atendida y Reportada"))</f>
      </c>
      <c r="AG567" t="str">
        <v/>
      </c>
      <c r="AH567" t="str">
        <v/>
      </c>
      <c r="AI567" t="str">
        <v/>
      </c>
      <c r="AJ567" t="str">
        <v/>
      </c>
      <c r="AK567" t="str">
        <v>01/10/2026 15:21:57</v>
      </c>
      <c r="AL567" t="str">
        <v>15:21:57</v>
      </c>
      <c r="AM567" t="str">
        <v/>
      </c>
    </row>
    <row r="568">
      <c r="A568">
        <v>567</v>
      </c>
      <c r="B568" t="str">
        <v>MASS BSF</v>
      </c>
      <c r="C568" t="str">
        <v>F8R-810</v>
      </c>
      <c r="D568" t="str">
        <v>F8R-810</v>
      </c>
      <c r="E568" t="str">
        <v/>
      </c>
      <c r="F568" t="str">
        <v>867806078868827</v>
      </c>
      <c r="G568" t="str">
        <v>TBD</v>
      </c>
      <c r="H568" t="str">
        <v/>
      </c>
      <c r="I568" t="str">
        <v/>
      </c>
      <c r="J568" t="str">
        <v>01/10/2026</v>
      </c>
      <c r="K568" t="str">
        <v>15:21:47</v>
      </c>
      <c r="L568">
        <v>-12.201007</v>
      </c>
      <c r="M568">
        <v>-76.94539</v>
      </c>
      <c r="N568">
        <f>HYPERLINK("https://www.google.com/maps/search/?api=1&amp;query=-12.201007,-76.94539","Avenida El Sol, Villa El Salvador, Lima")</f>
      </c>
      <c r="O568" t="str">
        <v>Acelerado y giro brusco</v>
      </c>
      <c r="P568" t="str">
        <v/>
      </c>
      <c r="Q568">
        <v>2173.9</v>
      </c>
      <c r="R568" t="str">
        <v/>
      </c>
      <c r="S568">
        <v>35.3</v>
      </c>
      <c r="T568">
        <v>83.95</v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>
        <v>85</v>
      </c>
      <c r="AC568" t="str">
        <v>01/10/2026</v>
      </c>
      <c r="AD568" t="str">
        <v>15:21:43</v>
      </c>
      <c r="AE568">
        <f>IF("ONLINE"="NOGPS","GPS Antiguo","En línea")</f>
      </c>
      <c r="AF568">
        <f>IF(0=0,"Sin atender", IF(0=1,"Atendida","Atendida y Reportada"))</f>
      </c>
      <c r="AG568" t="str">
        <v/>
      </c>
      <c r="AH568" t="str">
        <v/>
      </c>
      <c r="AI568" t="str">
        <v/>
      </c>
      <c r="AJ568" t="str">
        <v/>
      </c>
      <c r="AK568" t="str">
        <v>01/10/2026 15:21:55</v>
      </c>
      <c r="AL568" t="str">
        <v>15:21:55</v>
      </c>
      <c r="AM568" t="str">
        <v/>
      </c>
    </row>
    <row r="569">
      <c r="A569">
        <v>568</v>
      </c>
      <c r="B569" t="str">
        <v>MASS BSF</v>
      </c>
      <c r="C569" t="str">
        <v>F8R-810</v>
      </c>
      <c r="D569" t="str">
        <v>F8R-810</v>
      </c>
      <c r="E569" t="str">
        <v/>
      </c>
      <c r="F569" t="str">
        <v>867806078868827</v>
      </c>
      <c r="G569" t="str">
        <v>TBD</v>
      </c>
      <c r="H569" t="str">
        <v/>
      </c>
      <c r="I569" t="str">
        <v/>
      </c>
      <c r="J569" t="str">
        <v>01/10/2026</v>
      </c>
      <c r="K569" t="str">
        <v>15:22:06</v>
      </c>
      <c r="L569">
        <v>-12.201775</v>
      </c>
      <c r="M569">
        <v>-76.94671</v>
      </c>
      <c r="N569">
        <f>HYPERLINK("https://www.google.com/maps/search/?api=1&amp;query=-12.201775,-76.94671","Avenida El Sol, Villa El Salvador, Lima")</f>
      </c>
      <c r="O569" t="str">
        <v>Aceleración brusca</v>
      </c>
      <c r="P569" t="str">
        <v>CMT-910</v>
      </c>
      <c r="Q569">
        <v>2174.1</v>
      </c>
      <c r="R569" t="str">
        <v/>
      </c>
      <c r="S569">
        <v>13.5</v>
      </c>
      <c r="T569">
        <v>83.95</v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>
        <v>85</v>
      </c>
      <c r="AC569" t="str">
        <v>01/10/2026</v>
      </c>
      <c r="AD569" t="str">
        <v>15:22:03</v>
      </c>
      <c r="AE569">
        <f>IF("ONLINE"="NOGPS","GPS Antiguo","En línea")</f>
      </c>
      <c r="AF569">
        <f>IF(0=0,"Sin atender", IF(0=1,"Atendida","Atendida y Reportada"))</f>
      </c>
      <c r="AG569" t="str">
        <v/>
      </c>
      <c r="AH569" t="str">
        <v/>
      </c>
      <c r="AI569" t="str">
        <v/>
      </c>
      <c r="AJ569" t="str">
        <v/>
      </c>
      <c r="AK569" t="str">
        <v>01/10/2026 15:22:05</v>
      </c>
      <c r="AL569" t="str">
        <v>15:22:05</v>
      </c>
      <c r="AM569" t="str">
        <v/>
      </c>
    </row>
    <row r="570">
      <c r="A570">
        <v>569</v>
      </c>
      <c r="B570" t="str">
        <v>MASS BSF</v>
      </c>
      <c r="C570" t="str">
        <v>F8R-810</v>
      </c>
      <c r="D570" t="str">
        <v>F8R-810</v>
      </c>
      <c r="E570" t="str">
        <v/>
      </c>
      <c r="F570" t="str">
        <v>867806078868827</v>
      </c>
      <c r="G570" t="str">
        <v>TBD</v>
      </c>
      <c r="H570" t="str">
        <v/>
      </c>
      <c r="I570" t="str">
        <v/>
      </c>
      <c r="J570" t="str">
        <v>01/10/2026</v>
      </c>
      <c r="K570" t="str">
        <v>15:22:16</v>
      </c>
      <c r="L570">
        <v>-12.201917</v>
      </c>
      <c r="M570">
        <v>-76.94696</v>
      </c>
      <c r="N570">
        <f>HYPERLINK("https://www.google.com/maps/search/?api=1&amp;query=-12.201917,-76.94696","Avenida El Sol, Villa El Salvador, Lima")</f>
      </c>
      <c r="O570" t="str">
        <v>Acelerado y giro brusco</v>
      </c>
      <c r="P570" t="str">
        <v/>
      </c>
      <c r="Q570">
        <v>2174.1</v>
      </c>
      <c r="R570" t="str">
        <v/>
      </c>
      <c r="S570">
        <v>23.1</v>
      </c>
      <c r="T570">
        <v>83.95</v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>
        <v>85</v>
      </c>
      <c r="AC570" t="str">
        <v>01/10/2026</v>
      </c>
      <c r="AD570" t="str">
        <v>15:22:13</v>
      </c>
      <c r="AE570">
        <f>IF("ONLINE"="NOGPS","GPS Antiguo","En línea")</f>
      </c>
      <c r="AF570">
        <f>IF(0=0,"Sin atender", IF(0=1,"Atendida","Atendida y Reportada"))</f>
      </c>
      <c r="AG570" t="str">
        <v/>
      </c>
      <c r="AH570" t="str">
        <v/>
      </c>
      <c r="AI570" t="str">
        <v/>
      </c>
      <c r="AJ570" t="str">
        <v/>
      </c>
      <c r="AK570" t="str">
        <v>01/10/2026 15:22:28</v>
      </c>
      <c r="AL570" t="str">
        <v>15:22:28</v>
      </c>
      <c r="AM570" t="str">
        <v/>
      </c>
    </row>
    <row r="571">
      <c r="A571">
        <v>570</v>
      </c>
      <c r="B571" t="str">
        <v>MASS BSF</v>
      </c>
      <c r="C571" t="str">
        <v>F8R-810</v>
      </c>
      <c r="D571" t="str">
        <v>F8R-810</v>
      </c>
      <c r="E571" t="str">
        <v/>
      </c>
      <c r="F571" t="str">
        <v>867806078868827</v>
      </c>
      <c r="G571" t="str">
        <v>TBD</v>
      </c>
      <c r="H571" t="str">
        <v/>
      </c>
      <c r="I571" t="str">
        <v/>
      </c>
      <c r="J571" t="str">
        <v>01/10/2026</v>
      </c>
      <c r="K571" t="str">
        <v>15:22:21</v>
      </c>
      <c r="L571">
        <v>-12.202082</v>
      </c>
      <c r="M571">
        <v>-76.94725</v>
      </c>
      <c r="N571">
        <f>HYPERLINK("https://www.google.com/maps/search/?api=1&amp;query=-12.202082,-76.94725","Avenida El Sol, Villa El Salvador, Lima")</f>
      </c>
      <c r="O571" t="str">
        <v>Acelerado y giro brusco</v>
      </c>
      <c r="P571" t="str">
        <v/>
      </c>
      <c r="Q571">
        <v>2174.1</v>
      </c>
      <c r="R571" t="str">
        <v/>
      </c>
      <c r="S571">
        <v>30.3</v>
      </c>
      <c r="T571">
        <v>83.95</v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>
        <v>85</v>
      </c>
      <c r="AC571" t="str">
        <v>01/10/2026</v>
      </c>
      <c r="AD571" t="str">
        <v>15:22:18</v>
      </c>
      <c r="AE571">
        <f>IF("ONLINE"="NOGPS","GPS Antiguo","En línea")</f>
      </c>
      <c r="AF571">
        <f>IF(0=0,"Sin atender", IF(0=1,"Atendida","Atendida y Reportada"))</f>
      </c>
      <c r="AG571" t="str">
        <v/>
      </c>
      <c r="AH571" t="str">
        <v/>
      </c>
      <c r="AI571" t="str">
        <v/>
      </c>
      <c r="AJ571" t="str">
        <v/>
      </c>
      <c r="AK571" t="str">
        <v>01/10/2026 15:22:24</v>
      </c>
      <c r="AL571" t="str">
        <v>15:22:24</v>
      </c>
      <c r="AM571" t="str">
        <v/>
      </c>
    </row>
    <row r="572">
      <c r="A572">
        <v>571</v>
      </c>
      <c r="B572" t="str">
        <v>MASS BSF</v>
      </c>
      <c r="C572" t="str">
        <v>F8R-810</v>
      </c>
      <c r="D572" t="str">
        <v>F8R-810</v>
      </c>
      <c r="E572" t="str">
        <v/>
      </c>
      <c r="F572" t="str">
        <v>867806078868827</v>
      </c>
      <c r="G572" t="str">
        <v>TBD</v>
      </c>
      <c r="H572" t="str">
        <v/>
      </c>
      <c r="I572" t="str">
        <v/>
      </c>
      <c r="J572" t="str">
        <v>01/10/2026</v>
      </c>
      <c r="K572" t="str">
        <v>15:22:44</v>
      </c>
      <c r="L572">
        <v>-12.202989</v>
      </c>
      <c r="M572">
        <v>-76.94875</v>
      </c>
      <c r="N572">
        <f>HYPERLINK("https://www.google.com/maps/search/?api=1&amp;query=-12.202989,-76.94875","Avenida El Sol, Villa El Salvador, Lima")</f>
      </c>
      <c r="O572" t="str">
        <v>Acelerado y giro brusco</v>
      </c>
      <c r="P572" t="str">
        <v/>
      </c>
      <c r="Q572">
        <v>2174.3</v>
      </c>
      <c r="R572" t="str">
        <v/>
      </c>
      <c r="S572">
        <v>19</v>
      </c>
      <c r="T572">
        <v>83.95</v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>
        <v>85</v>
      </c>
      <c r="AC572" t="str">
        <v>01/10/2026</v>
      </c>
      <c r="AD572" t="str">
        <v>15:22:41</v>
      </c>
      <c r="AE572">
        <f>IF("ONLINE"="NOGPS","GPS Antiguo","En línea")</f>
      </c>
      <c r="AF572">
        <f>IF(0=0,"Sin atender", IF(0=1,"Atendida","Atendida y Reportada"))</f>
      </c>
      <c r="AG572" t="str">
        <v/>
      </c>
      <c r="AH572" t="str">
        <v/>
      </c>
      <c r="AI572" t="str">
        <v/>
      </c>
      <c r="AJ572" t="str">
        <v/>
      </c>
      <c r="AK572" t="str">
        <v>01/10/2026 15:23:07</v>
      </c>
      <c r="AL572" t="str">
        <v>15:23:07</v>
      </c>
      <c r="AM572" t="str">
        <v/>
      </c>
    </row>
    <row r="573">
      <c r="A573">
        <v>572</v>
      </c>
      <c r="B573" t="str">
        <v>MASS BSF</v>
      </c>
      <c r="C573" t="str">
        <v>F8R-810</v>
      </c>
      <c r="D573" t="str">
        <v>F8R-810</v>
      </c>
      <c r="E573" t="str">
        <v/>
      </c>
      <c r="F573" t="str">
        <v>867806078868827</v>
      </c>
      <c r="G573" t="str">
        <v>TBD</v>
      </c>
      <c r="H573" t="str">
        <v/>
      </c>
      <c r="I573" t="str">
        <v/>
      </c>
      <c r="J573" t="str">
        <v>01/10/2026</v>
      </c>
      <c r="K573" t="str">
        <v>15:22:50</v>
      </c>
      <c r="L573">
        <v>-12.203107</v>
      </c>
      <c r="M573">
        <v>-76.94895</v>
      </c>
      <c r="N573">
        <f>HYPERLINK("https://www.google.com/maps/search/?api=1&amp;query=-12.203107,-76.94895","Avenida El Sol, Villa El Salvador, Lima")</f>
      </c>
      <c r="O573" t="str">
        <v>Acelerado y giro brusco</v>
      </c>
      <c r="P573" t="str">
        <v/>
      </c>
      <c r="Q573">
        <v>2174.4</v>
      </c>
      <c r="R573" t="str">
        <v/>
      </c>
      <c r="S573">
        <v>9.4</v>
      </c>
      <c r="T573">
        <v>83.95</v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>
        <v>85</v>
      </c>
      <c r="AC573" t="str">
        <v>01/10/2026</v>
      </c>
      <c r="AD573" t="str">
        <v>15:22:47</v>
      </c>
      <c r="AE573">
        <f>IF("ONLINE"="NOGPS","GPS Antiguo","En línea")</f>
      </c>
      <c r="AF573">
        <f>IF(0=0,"Sin atender", IF(0=1,"Atendida","Atendida y Reportada"))</f>
      </c>
      <c r="AG573" t="str">
        <v/>
      </c>
      <c r="AH573" t="str">
        <v/>
      </c>
      <c r="AI573" t="str">
        <v/>
      </c>
      <c r="AJ573" t="str">
        <v/>
      </c>
      <c r="AK573" t="str">
        <v>01/10/2026 15:22:59</v>
      </c>
      <c r="AL573" t="str">
        <v>15:22:59</v>
      </c>
      <c r="AM573" t="str">
        <v/>
      </c>
    </row>
    <row r="574">
      <c r="A574">
        <v>573</v>
      </c>
      <c r="B574" t="str">
        <v>MASS BSF</v>
      </c>
      <c r="C574" t="str">
        <v>F8R-810</v>
      </c>
      <c r="D574" t="str">
        <v>F8R-810</v>
      </c>
      <c r="E574" t="str">
        <v/>
      </c>
      <c r="F574" t="str">
        <v>867806078868827</v>
      </c>
      <c r="G574" t="str">
        <v>TBD</v>
      </c>
      <c r="H574" t="str">
        <v/>
      </c>
      <c r="I574" t="str">
        <v/>
      </c>
      <c r="J574" t="str">
        <v>01/10/2026</v>
      </c>
      <c r="K574" t="str">
        <v>15:23:01</v>
      </c>
      <c r="L574">
        <v>-12.203123</v>
      </c>
      <c r="M574">
        <v>-76.94898</v>
      </c>
      <c r="N574">
        <f>HYPERLINK("https://www.google.com/maps/search/?api=1&amp;query=-12.203123,-76.94898","Avenida El Sol, Villa El Salvador, Lima")</f>
      </c>
      <c r="O574" t="str">
        <v>Acelerado y giro brusco</v>
      </c>
      <c r="P574" t="str">
        <v/>
      </c>
      <c r="Q574">
        <v>2174.4</v>
      </c>
      <c r="R574" t="str">
        <v/>
      </c>
      <c r="S574">
        <v>0</v>
      </c>
      <c r="T574">
        <v>83.95</v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>
        <v>85</v>
      </c>
      <c r="AC574" t="str">
        <v>01/10/2026</v>
      </c>
      <c r="AD574" t="str">
        <v>15:22:58</v>
      </c>
      <c r="AE574">
        <f>IF("ONLINE"="NOGPS","GPS Antiguo","En línea")</f>
      </c>
      <c r="AF574">
        <f>IF(0=0,"Sin atender", IF(0=1,"Atendida","Atendida y Reportada"))</f>
      </c>
      <c r="AG574" t="str">
        <v/>
      </c>
      <c r="AH574" t="str">
        <v/>
      </c>
      <c r="AI574" t="str">
        <v/>
      </c>
      <c r="AJ574" t="str">
        <v/>
      </c>
      <c r="AK574" t="str">
        <v>01/10/2026 15:23:19</v>
      </c>
      <c r="AL574" t="str">
        <v>15:23:19</v>
      </c>
      <c r="AM574" t="str">
        <v/>
      </c>
    </row>
    <row r="575">
      <c r="A575">
        <v>574</v>
      </c>
      <c r="B575" t="str">
        <v>MASS BSF</v>
      </c>
      <c r="C575" t="str">
        <v>F8R-810</v>
      </c>
      <c r="D575" t="str">
        <v>F8R-810</v>
      </c>
      <c r="E575" t="str">
        <v/>
      </c>
      <c r="F575" t="str">
        <v>867806078868827</v>
      </c>
      <c r="G575" t="str">
        <v>TBD</v>
      </c>
      <c r="H575" t="str">
        <v/>
      </c>
      <c r="I575" t="str">
        <v/>
      </c>
      <c r="J575" t="str">
        <v>01/10/2026</v>
      </c>
      <c r="K575" t="str">
        <v>15:23:11</v>
      </c>
      <c r="L575">
        <v>-12.203181</v>
      </c>
      <c r="M575">
        <v>-76.94909</v>
      </c>
      <c r="N575">
        <f>HYPERLINK("https://www.google.com/maps/search/?api=1&amp;query=-12.203181,-76.94909","Avenida El Sol, Villa El Salvador, Lima")</f>
      </c>
      <c r="O575" t="str">
        <v>Acelerado y giro brusco</v>
      </c>
      <c r="P575" t="str">
        <v/>
      </c>
      <c r="Q575">
        <v>2174.4</v>
      </c>
      <c r="R575" t="str">
        <v/>
      </c>
      <c r="S575">
        <v>16.4</v>
      </c>
      <c r="T575">
        <v>83.95</v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>
        <v>85</v>
      </c>
      <c r="AC575" t="str">
        <v>01/10/2026</v>
      </c>
      <c r="AD575" t="str">
        <v>15:23:08</v>
      </c>
      <c r="AE575">
        <f>IF("ONLINE"="NOGPS","GPS Antiguo","En línea")</f>
      </c>
      <c r="AF575">
        <f>IF(0=0,"Sin atender", IF(0=1,"Atendida","Atendida y Reportada"))</f>
      </c>
      <c r="AG575" t="str">
        <v/>
      </c>
      <c r="AH575" t="str">
        <v/>
      </c>
      <c r="AI575" t="str">
        <v/>
      </c>
      <c r="AJ575" t="str">
        <v/>
      </c>
      <c r="AK575" t="str">
        <v>01/10/2026 15:23:26</v>
      </c>
      <c r="AL575" t="str">
        <v>15:23:26</v>
      </c>
      <c r="AM575" t="str">
        <v/>
      </c>
    </row>
    <row r="576">
      <c r="A576">
        <v>575</v>
      </c>
      <c r="B576" t="str">
        <v>MASS BSF</v>
      </c>
      <c r="C576" t="str">
        <v>F8R-810</v>
      </c>
      <c r="D576" t="str">
        <v>F8R-810</v>
      </c>
      <c r="E576" t="str">
        <v/>
      </c>
      <c r="F576" t="str">
        <v>867806078868827</v>
      </c>
      <c r="G576" t="str">
        <v>TBD</v>
      </c>
      <c r="H576" t="str">
        <v/>
      </c>
      <c r="I576" t="str">
        <v xml:space="preserve"> </v>
      </c>
      <c r="J576" t="str">
        <v>01/10/2026</v>
      </c>
      <c r="K576" t="str">
        <v>15:23:22</v>
      </c>
      <c r="L576">
        <v>-12.203508</v>
      </c>
      <c r="M576">
        <v>-76.94965</v>
      </c>
      <c r="N576">
        <f>HYPERLINK("https://www.google.com/maps/search/?api=1&amp;query=-12.203508,-76.94965","Avenida El Sol, Villa El Salvador, Lima")</f>
      </c>
      <c r="O576" t="str">
        <v>Llegó a la zona</v>
      </c>
      <c r="P576" t="str">
        <v/>
      </c>
      <c r="Q576">
        <v>2174.2</v>
      </c>
      <c r="R576" t="str">
        <v>324-MASS SAN JUAN</v>
      </c>
      <c r="S576">
        <v>31.2</v>
      </c>
      <c r="T576">
        <v>83.93</v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>
        <v>93</v>
      </c>
      <c r="AC576" t="str">
        <v>01/10/2026</v>
      </c>
      <c r="AD576" t="str">
        <v>15:23:19</v>
      </c>
      <c r="AE576">
        <f>IF("ONLINE"="NOGPS","GPS Antiguo","En línea")</f>
      </c>
      <c r="AF576">
        <f>IF(0=0,"Sin atender", IF(0=1,"Atendida","Atendida y Reportada"))</f>
      </c>
      <c r="AG576" t="str">
        <v/>
      </c>
      <c r="AH576" t="str">
        <v/>
      </c>
      <c r="AI576" t="str">
        <v/>
      </c>
      <c r="AJ576" t="str">
        <v/>
      </c>
      <c r="AK576" t="str">
        <v>01/10/2026 15:23:31</v>
      </c>
      <c r="AL576" t="str">
        <v>15:23:31</v>
      </c>
      <c r="AM576" t="str">
        <v/>
      </c>
    </row>
    <row r="577">
      <c r="A577">
        <v>576</v>
      </c>
      <c r="B577" t="str">
        <v>MASS BSF</v>
      </c>
      <c r="C577" t="str">
        <v>F8R-810</v>
      </c>
      <c r="D577" t="str">
        <v>F8R-810</v>
      </c>
      <c r="E577" t="str">
        <v/>
      </c>
      <c r="F577" t="str">
        <v>867806078868827</v>
      </c>
      <c r="G577" t="str">
        <v>TBD</v>
      </c>
      <c r="H577" t="str">
        <v/>
      </c>
      <c r="I577" t="str">
        <v/>
      </c>
      <c r="J577" t="str">
        <v>01/10/2026</v>
      </c>
      <c r="K577" t="str">
        <v>15:23:22</v>
      </c>
      <c r="L577">
        <v>-12.203508</v>
      </c>
      <c r="M577">
        <v>-76.94965</v>
      </c>
      <c r="N577">
        <f>HYPERLINK("https://www.google.com/maps/search/?api=1&amp;query=-12.203508,-76.94965","Avenida El Sol, Villa El Salvador, Lima")</f>
      </c>
      <c r="O577" t="str">
        <v>Aceleración brusca</v>
      </c>
      <c r="P577" t="str">
        <v>CMT-910</v>
      </c>
      <c r="Q577">
        <v>2174.4</v>
      </c>
      <c r="R577" t="str">
        <v/>
      </c>
      <c r="S577">
        <v>31.2</v>
      </c>
      <c r="T577">
        <v>83.95</v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>
        <v>85</v>
      </c>
      <c r="AC577" t="str">
        <v>01/10/2026</v>
      </c>
      <c r="AD577" t="str">
        <v>15:23:19</v>
      </c>
      <c r="AE577">
        <f>IF("ONLINE"="NOGPS","GPS Antiguo","En línea")</f>
      </c>
      <c r="AF577">
        <f>IF(0=0,"Sin atender", IF(0=1,"Atendida","Atendida y Reportada"))</f>
      </c>
      <c r="AG577" t="str">
        <v/>
      </c>
      <c r="AH577" t="str">
        <v/>
      </c>
      <c r="AI577" t="str">
        <v/>
      </c>
      <c r="AJ577" t="str">
        <v/>
      </c>
      <c r="AK577" t="str">
        <v>01/10/2026 15:23:26</v>
      </c>
      <c r="AL577" t="str">
        <v>15:23:26</v>
      </c>
      <c r="AM577" t="str">
        <v/>
      </c>
    </row>
    <row r="578">
      <c r="A578">
        <v>577</v>
      </c>
      <c r="B578" t="str">
        <v>MASS BSF</v>
      </c>
      <c r="C578" t="str">
        <v>F8R-810</v>
      </c>
      <c r="D578" t="str">
        <v>F8R-810</v>
      </c>
      <c r="E578" t="str">
        <v/>
      </c>
      <c r="F578" t="str">
        <v>867806078868827</v>
      </c>
      <c r="G578" t="str">
        <v>TBD</v>
      </c>
      <c r="H578" t="str">
        <v/>
      </c>
      <c r="I578" t="str">
        <v xml:space="preserve"> </v>
      </c>
      <c r="J578" t="str">
        <v>01/10/2026</v>
      </c>
      <c r="K578" t="str">
        <v>15:23:35</v>
      </c>
      <c r="L578">
        <v>-12.204133</v>
      </c>
      <c r="M578">
        <v>-76.95072</v>
      </c>
      <c r="N578">
        <f>HYPERLINK("https://www.google.com/maps/search/?api=1&amp;query=-12.204133,-76.95072","Avenida El Sol, Villa El Salvador, Lima")</f>
      </c>
      <c r="O578" t="str">
        <v>Salió de zona</v>
      </c>
      <c r="P578" t="str">
        <v/>
      </c>
      <c r="Q578">
        <v>2174.2</v>
      </c>
      <c r="R578" t="str">
        <v>324-MASS SAN JUAN</v>
      </c>
      <c r="S578">
        <v>41.4</v>
      </c>
      <c r="T578">
        <v>83.93</v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>
        <v>93</v>
      </c>
      <c r="AC578" t="str">
        <v>01/10/2026</v>
      </c>
      <c r="AD578" t="str">
        <v>15:23:32</v>
      </c>
      <c r="AE578">
        <f>IF("ONLINE"="NOGPS","GPS Antiguo","En línea")</f>
      </c>
      <c r="AF578">
        <f>IF(0=0,"Sin atender", IF(0=1,"Atendida","Atendida y Reportada"))</f>
      </c>
      <c r="AG578" t="str">
        <v/>
      </c>
      <c r="AH578" t="str">
        <v/>
      </c>
      <c r="AI578" t="str">
        <v/>
      </c>
      <c r="AJ578" t="str">
        <v/>
      </c>
      <c r="AK578" t="str">
        <v>01/10/2026 15:23:44</v>
      </c>
      <c r="AL578" t="str">
        <v>15:23:44</v>
      </c>
      <c r="AM578" t="str">
        <v/>
      </c>
    </row>
    <row r="579">
      <c r="A579">
        <v>578</v>
      </c>
      <c r="B579" t="str">
        <v>MASS BSF</v>
      </c>
      <c r="C579" t="str">
        <v>F8R-810</v>
      </c>
      <c r="D579" t="str">
        <v>F8R-810</v>
      </c>
      <c r="E579" t="str">
        <v/>
      </c>
      <c r="F579" t="str">
        <v>867806078868827</v>
      </c>
      <c r="G579" t="str">
        <v>TBD</v>
      </c>
      <c r="H579" t="str">
        <v/>
      </c>
      <c r="I579" t="str">
        <v/>
      </c>
      <c r="J579" t="str">
        <v>01/10/2026</v>
      </c>
      <c r="K579" t="str">
        <v>15:23:35</v>
      </c>
      <c r="L579">
        <v>-12.204133</v>
      </c>
      <c r="M579">
        <v>-76.95072</v>
      </c>
      <c r="N579">
        <f>HYPERLINK("https://www.google.com/maps/search/?api=1&amp;query=-12.204133,-76.95072","Avenida El Sol, Villa El Salvador, Lima")</f>
      </c>
      <c r="O579" t="str">
        <v>Aceleración brusca</v>
      </c>
      <c r="P579" t="str">
        <v>CMT-910</v>
      </c>
      <c r="Q579">
        <v>2174.6</v>
      </c>
      <c r="R579" t="str">
        <v/>
      </c>
      <c r="S579">
        <v>41.4</v>
      </c>
      <c r="T579">
        <v>83.95</v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>
        <v>85</v>
      </c>
      <c r="AC579" t="str">
        <v>01/10/2026</v>
      </c>
      <c r="AD579" t="str">
        <v>15:23:32</v>
      </c>
      <c r="AE579">
        <f>IF("ONLINE"="NOGPS","GPS Antiguo","En línea")</f>
      </c>
      <c r="AF579">
        <f>IF(0=0,"Sin atender", IF(0=1,"Atendida","Atendida y Reportada"))</f>
      </c>
      <c r="AG579" t="str">
        <v/>
      </c>
      <c r="AH579" t="str">
        <v/>
      </c>
      <c r="AI579" t="str">
        <v/>
      </c>
      <c r="AJ579" t="str">
        <v/>
      </c>
      <c r="AK579" t="str">
        <v>01/10/2026 15:23:50</v>
      </c>
      <c r="AL579" t="str">
        <v>15:23:50</v>
      </c>
      <c r="AM579" t="str">
        <v/>
      </c>
    </row>
    <row r="580">
      <c r="A580">
        <v>579</v>
      </c>
      <c r="B580" t="str">
        <v>MASS BSF</v>
      </c>
      <c r="C580" t="str">
        <v>F8R-810</v>
      </c>
      <c r="D580" t="str">
        <v>F8R-810</v>
      </c>
      <c r="E580" t="str">
        <v/>
      </c>
      <c r="F580" t="str">
        <v>867806078868827</v>
      </c>
      <c r="G580" t="str">
        <v>TBD</v>
      </c>
      <c r="H580" t="str">
        <v/>
      </c>
      <c r="I580" t="str">
        <v/>
      </c>
      <c r="J580" t="str">
        <v>01/10/2026</v>
      </c>
      <c r="K580" t="str">
        <v>15:23:52</v>
      </c>
      <c r="L580">
        <v>-12.2049</v>
      </c>
      <c r="M580">
        <v>-76.95202</v>
      </c>
      <c r="N580">
        <f>HYPERLINK("https://www.google.com/maps/search/?api=1&amp;query=-12.2049,-76.95202","Avenida El Sol, Villa El Salvador, Lima")</f>
      </c>
      <c r="O580" t="str">
        <v>Acelerado y giro brusco</v>
      </c>
      <c r="P580" t="str">
        <v/>
      </c>
      <c r="Q580">
        <v>2174.7</v>
      </c>
      <c r="R580" t="str">
        <v/>
      </c>
      <c r="S580">
        <v>30.3</v>
      </c>
      <c r="T580">
        <v>83.95</v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>
        <v>85</v>
      </c>
      <c r="AC580" t="str">
        <v>01/10/2026</v>
      </c>
      <c r="AD580" t="str">
        <v>15:23:49</v>
      </c>
      <c r="AE580">
        <f>IF("ONLINE"="NOGPS","GPS Antiguo","En línea")</f>
      </c>
      <c r="AF580">
        <f>IF(0=0,"Sin atender", IF(0=1,"Atendida","Atendida y Reportada"))</f>
      </c>
      <c r="AG580" t="str">
        <v/>
      </c>
      <c r="AH580" t="str">
        <v/>
      </c>
      <c r="AI580" t="str">
        <v/>
      </c>
      <c r="AJ580" t="str">
        <v/>
      </c>
      <c r="AK580" t="str">
        <v>01/10/2026 15:24:09</v>
      </c>
      <c r="AL580" t="str">
        <v>15:24:09</v>
      </c>
      <c r="AM580" t="str">
        <v/>
      </c>
    </row>
    <row r="581">
      <c r="A581">
        <v>580</v>
      </c>
      <c r="B581" t="str">
        <v>MASS BSF</v>
      </c>
      <c r="C581" t="str">
        <v>F8R-810</v>
      </c>
      <c r="D581" t="str">
        <v>F8R-810</v>
      </c>
      <c r="E581" t="str">
        <v/>
      </c>
      <c r="F581" t="str">
        <v>867806078868827</v>
      </c>
      <c r="G581" t="str">
        <v>TBD</v>
      </c>
      <c r="H581" t="str">
        <v/>
      </c>
      <c r="I581" t="str">
        <v/>
      </c>
      <c r="J581" t="str">
        <v>01/10/2026</v>
      </c>
      <c r="K581" t="str">
        <v>15:24:08</v>
      </c>
      <c r="L581">
        <v>-12.205247</v>
      </c>
      <c r="M581">
        <v>-76.95262</v>
      </c>
      <c r="N581">
        <f>HYPERLINK("https://www.google.com/maps/search/?api=1&amp;query=-12.205247,-76.95262","Avenida El Sol, Villa El Salvador, Lima")</f>
      </c>
      <c r="O581" t="str">
        <v>Acelerado y giro brusco</v>
      </c>
      <c r="P581" t="str">
        <v/>
      </c>
      <c r="Q581">
        <v>2174.8</v>
      </c>
      <c r="R581" t="str">
        <v/>
      </c>
      <c r="S581">
        <v>6.4</v>
      </c>
      <c r="T581">
        <v>83.95</v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>
        <v>85</v>
      </c>
      <c r="AC581" t="str">
        <v>01/10/2026</v>
      </c>
      <c r="AD581" t="str">
        <v>15:24:04</v>
      </c>
      <c r="AE581">
        <f>IF("ONLINE"="NOGPS","GPS Antiguo","En línea")</f>
      </c>
      <c r="AF581">
        <f>IF(0=0,"Sin atender", IF(0=1,"Atendida","Atendida y Reportada"))</f>
      </c>
      <c r="AG581" t="str">
        <v/>
      </c>
      <c r="AH581" t="str">
        <v/>
      </c>
      <c r="AI581" t="str">
        <v/>
      </c>
      <c r="AJ581" t="str">
        <v/>
      </c>
      <c r="AK581" t="str">
        <v>01/10/2026 15:24:19</v>
      </c>
      <c r="AL581" t="str">
        <v>15:24:19</v>
      </c>
      <c r="AM581" t="str">
        <v/>
      </c>
    </row>
    <row r="582">
      <c r="A582">
        <v>581</v>
      </c>
      <c r="B582" t="str">
        <v>MASS BSF</v>
      </c>
      <c r="C582" t="str">
        <v>F8R-810</v>
      </c>
      <c r="D582" t="str">
        <v>F8R-810</v>
      </c>
      <c r="E582" t="str">
        <v/>
      </c>
      <c r="F582" t="str">
        <v>867806078868827</v>
      </c>
      <c r="G582" t="str">
        <v>TBD</v>
      </c>
      <c r="H582" t="str">
        <v/>
      </c>
      <c r="I582" t="str">
        <v/>
      </c>
      <c r="J582" t="str">
        <v>01/10/2026</v>
      </c>
      <c r="K582" t="str">
        <v>15:24:30</v>
      </c>
      <c r="L582">
        <v>-12.205255</v>
      </c>
      <c r="M582">
        <v>-76.95263</v>
      </c>
      <c r="N582">
        <f>HYPERLINK("https://www.google.com/maps/search/?api=1&amp;query=-12.205255,-76.95263","Avenida El Sol, Villa El Salvador, Lima")</f>
      </c>
      <c r="O582" t="str">
        <v>Acelerado y giro brusco</v>
      </c>
      <c r="P582" t="str">
        <v/>
      </c>
      <c r="Q582">
        <v>2174.8</v>
      </c>
      <c r="R582" t="str">
        <v/>
      </c>
      <c r="S582">
        <v>0</v>
      </c>
      <c r="T582">
        <v>83.95</v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>
        <v>86</v>
      </c>
      <c r="AC582" t="str">
        <v>01/10/2026</v>
      </c>
      <c r="AD582" t="str">
        <v>15:24:26</v>
      </c>
      <c r="AE582">
        <f>IF("ONLINE"="NOGPS","GPS Antiguo","En línea")</f>
      </c>
      <c r="AF582">
        <f>IF(0=0,"Sin atender", IF(0=1,"Atendida","Atendida y Reportada"))</f>
      </c>
      <c r="AG582" t="str">
        <v/>
      </c>
      <c r="AH582" t="str">
        <v/>
      </c>
      <c r="AI582" t="str">
        <v/>
      </c>
      <c r="AJ582" t="str">
        <v/>
      </c>
      <c r="AK582" t="str">
        <v>01/10/2026 15:24:45</v>
      </c>
      <c r="AL582" t="str">
        <v>15:24:45</v>
      </c>
      <c r="AM582" t="str">
        <v/>
      </c>
    </row>
    <row r="583">
      <c r="A583">
        <v>582</v>
      </c>
      <c r="B583" t="str">
        <v>MASS BSF</v>
      </c>
      <c r="C583" t="str">
        <v>F8R-810</v>
      </c>
      <c r="D583" t="str">
        <v>F8R-810</v>
      </c>
      <c r="E583" t="str">
        <v/>
      </c>
      <c r="F583" t="str">
        <v>867806078868827</v>
      </c>
      <c r="G583" t="str">
        <v>TBD</v>
      </c>
      <c r="H583" t="str">
        <v/>
      </c>
      <c r="I583" t="str">
        <v/>
      </c>
      <c r="J583" t="str">
        <v>01/10/2026</v>
      </c>
      <c r="K583" t="str">
        <v>15:24:32</v>
      </c>
      <c r="L583">
        <v>-12.205255</v>
      </c>
      <c r="M583">
        <v>-76.95263</v>
      </c>
      <c r="N583">
        <f>HYPERLINK("https://www.google.com/maps/search/?api=1&amp;query=-12.205255,-76.95263","Avenida El Sol, Villa El Salvador, Lima")</f>
      </c>
      <c r="O583" t="str">
        <v>Acelerado y giro brusco</v>
      </c>
      <c r="P583" t="str">
        <v/>
      </c>
      <c r="Q583">
        <v>2174.8</v>
      </c>
      <c r="R583" t="str">
        <v/>
      </c>
      <c r="S583">
        <v>0</v>
      </c>
      <c r="T583">
        <v>83.95</v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>
        <v>85</v>
      </c>
      <c r="AC583" t="str">
        <v>01/10/2026</v>
      </c>
      <c r="AD583" t="str">
        <v>15:24:29</v>
      </c>
      <c r="AE583">
        <f>IF("ONLINE"="NOGPS","GPS Antiguo","En línea")</f>
      </c>
      <c r="AF583">
        <f>IF(0=0,"Sin atender", IF(0=1,"Atendida","Atendida y Reportada"))</f>
      </c>
      <c r="AG583" t="str">
        <v/>
      </c>
      <c r="AH583" t="str">
        <v/>
      </c>
      <c r="AI583" t="str">
        <v/>
      </c>
      <c r="AJ583" t="str">
        <v/>
      </c>
      <c r="AK583" t="str">
        <v>01/10/2026 15:24:41</v>
      </c>
      <c r="AL583" t="str">
        <v>15:24:41</v>
      </c>
      <c r="AM583" t="str">
        <v/>
      </c>
    </row>
    <row r="584">
      <c r="A584">
        <v>583</v>
      </c>
      <c r="B584" t="str">
        <v>MASS BSF</v>
      </c>
      <c r="C584" t="str">
        <v>F8R-810</v>
      </c>
      <c r="D584" t="str">
        <v>F8R-810</v>
      </c>
      <c r="E584" t="str">
        <v/>
      </c>
      <c r="F584" t="str">
        <v>867806078868827</v>
      </c>
      <c r="G584" t="str">
        <v>TBD</v>
      </c>
      <c r="H584" t="str">
        <v/>
      </c>
      <c r="I584" t="str">
        <v/>
      </c>
      <c r="J584" t="str">
        <v>01/10/2026</v>
      </c>
      <c r="K584" t="str">
        <v>15:24:35</v>
      </c>
      <c r="L584">
        <v>-12.205255</v>
      </c>
      <c r="M584">
        <v>-76.95263</v>
      </c>
      <c r="N584">
        <f>HYPERLINK("https://www.google.com/maps/search/?api=1&amp;query=-12.205255,-76.95263","Avenida El Sol, Villa El Salvador, Lima")</f>
      </c>
      <c r="O584" t="str">
        <v>Acelerado y giro brusco</v>
      </c>
      <c r="P584" t="str">
        <v/>
      </c>
      <c r="Q584">
        <v>2174.8</v>
      </c>
      <c r="R584" t="str">
        <v/>
      </c>
      <c r="S584">
        <v>0</v>
      </c>
      <c r="T584">
        <v>83.95</v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>
        <v>85</v>
      </c>
      <c r="AC584" t="str">
        <v>01/10/2026</v>
      </c>
      <c r="AD584" t="str">
        <v>15:24:32</v>
      </c>
      <c r="AE584">
        <f>IF("ONLINE"="NOGPS","GPS Antiguo","En línea")</f>
      </c>
      <c r="AF584">
        <f>IF(0=0,"Sin atender", IF(0=1,"Atendida","Atendida y Reportada"))</f>
      </c>
      <c r="AG584" t="str">
        <v/>
      </c>
      <c r="AH584" t="str">
        <v/>
      </c>
      <c r="AI584" t="str">
        <v/>
      </c>
      <c r="AJ584" t="str">
        <v/>
      </c>
      <c r="AK584" t="str">
        <v>01/10/2026 15:24:44</v>
      </c>
      <c r="AL584" t="str">
        <v>15:24:44</v>
      </c>
      <c r="AM584" t="str">
        <v/>
      </c>
    </row>
    <row r="585">
      <c r="A585">
        <v>584</v>
      </c>
      <c r="B585" t="str">
        <v>MASS BSF</v>
      </c>
      <c r="C585" t="str">
        <v>F8R-810</v>
      </c>
      <c r="D585" t="str">
        <v>F8R-810</v>
      </c>
      <c r="E585" t="str">
        <v/>
      </c>
      <c r="F585" t="str">
        <v>867806078868827</v>
      </c>
      <c r="G585" t="str">
        <v>TBD</v>
      </c>
      <c r="H585" t="str">
        <v/>
      </c>
      <c r="I585" t="str">
        <v/>
      </c>
      <c r="J585" t="str">
        <v>01/10/2026</v>
      </c>
      <c r="K585" t="str">
        <v>15:24:54</v>
      </c>
      <c r="L585">
        <v>-12.205255</v>
      </c>
      <c r="M585">
        <v>-76.95263</v>
      </c>
      <c r="N585">
        <f>HYPERLINK("https://www.google.com/maps/search/?api=1&amp;query=-12.205255,-76.95263","Avenida El Sol, Villa El Salvador, Lima")</f>
      </c>
      <c r="O585" t="str">
        <v>Acelerado y giro brusco</v>
      </c>
      <c r="P585" t="str">
        <v/>
      </c>
      <c r="Q585">
        <v>2174.8</v>
      </c>
      <c r="R585" t="str">
        <v/>
      </c>
      <c r="S585">
        <v>0</v>
      </c>
      <c r="T585">
        <v>83.95</v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>
        <v>85</v>
      </c>
      <c r="AC585" t="str">
        <v>01/10/2026</v>
      </c>
      <c r="AD585" t="str">
        <v>15:24:51</v>
      </c>
      <c r="AE585">
        <f>IF("ONLINE"="NOGPS","GPS Antiguo","En línea")</f>
      </c>
      <c r="AF585">
        <f>IF(0=0,"Sin atender", IF(0=1,"Atendida","Atendida y Reportada"))</f>
      </c>
      <c r="AG585" t="str">
        <v/>
      </c>
      <c r="AH585" t="str">
        <v/>
      </c>
      <c r="AI585" t="str">
        <v/>
      </c>
      <c r="AJ585" t="str">
        <v/>
      </c>
      <c r="AK585" t="str">
        <v>01/10/2026 15:25:05</v>
      </c>
      <c r="AL585" t="str">
        <v>15:25:05</v>
      </c>
      <c r="AM585" t="str">
        <v/>
      </c>
    </row>
    <row r="586">
      <c r="A586">
        <v>585</v>
      </c>
      <c r="B586" t="str">
        <v>MASS BSF</v>
      </c>
      <c r="C586" t="str">
        <v>F8R-810</v>
      </c>
      <c r="D586" t="str">
        <v>F8R-810</v>
      </c>
      <c r="E586" t="str">
        <v/>
      </c>
      <c r="F586" t="str">
        <v>867806078868827</v>
      </c>
      <c r="G586" t="str">
        <v>TBD</v>
      </c>
      <c r="H586" t="str">
        <v/>
      </c>
      <c r="I586" t="str">
        <v/>
      </c>
      <c r="J586" t="str">
        <v>01/10/2026</v>
      </c>
      <c r="K586" t="str">
        <v>15:24:57</v>
      </c>
      <c r="L586">
        <v>-12.205255</v>
      </c>
      <c r="M586">
        <v>-76.95263</v>
      </c>
      <c r="N586">
        <f>HYPERLINK("https://www.google.com/maps/search/?api=1&amp;query=-12.205255,-76.95263","Avenida El Sol, Villa El Salvador, Lima")</f>
      </c>
      <c r="O586" t="str">
        <v>Acelerado y giro brusco</v>
      </c>
      <c r="P586" t="str">
        <v/>
      </c>
      <c r="Q586">
        <v>2174.8</v>
      </c>
      <c r="R586" t="str">
        <v/>
      </c>
      <c r="S586">
        <v>0</v>
      </c>
      <c r="T586">
        <v>83.95</v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>
        <v>85</v>
      </c>
      <c r="AC586" t="str">
        <v>01/10/2026</v>
      </c>
      <c r="AD586" t="str">
        <v>15:24:54</v>
      </c>
      <c r="AE586">
        <f>IF("ONLINE"="NOGPS","GPS Antiguo","En línea")</f>
      </c>
      <c r="AF586">
        <f>IF(0=0,"Sin atender", IF(0=1,"Atendida","Atendida y Reportada"))</f>
      </c>
      <c r="AG586" t="str">
        <v/>
      </c>
      <c r="AH586" t="str">
        <v/>
      </c>
      <c r="AI586" t="str">
        <v/>
      </c>
      <c r="AJ586" t="str">
        <v/>
      </c>
      <c r="AK586" t="str">
        <v>01/10/2026 15:25:04</v>
      </c>
      <c r="AL586" t="str">
        <v>15:25:04</v>
      </c>
      <c r="AM586" t="str">
        <v/>
      </c>
    </row>
    <row r="587">
      <c r="A587">
        <v>586</v>
      </c>
      <c r="B587" t="str">
        <v>MASS BSF</v>
      </c>
      <c r="C587" t="str">
        <v>F8R-810</v>
      </c>
      <c r="D587" t="str">
        <v>F8R-810</v>
      </c>
      <c r="E587" t="str">
        <v/>
      </c>
      <c r="F587" t="str">
        <v>867806078868827</v>
      </c>
      <c r="G587" t="str">
        <v>TBD</v>
      </c>
      <c r="H587" t="str">
        <v/>
      </c>
      <c r="I587" t="str">
        <v/>
      </c>
      <c r="J587" t="str">
        <v>01/10/2026</v>
      </c>
      <c r="K587" t="str">
        <v>15:25:08</v>
      </c>
      <c r="L587">
        <v>-12.205387</v>
      </c>
      <c r="M587">
        <v>-76.952866</v>
      </c>
      <c r="N587">
        <f>HYPERLINK("https://www.google.com/maps/search/?api=1&amp;query=-12.205387,-76.952866","Avenida El Sol, Villa El Salvador, Lima")</f>
      </c>
      <c r="O587" t="str">
        <v>Acelerado y giro brusco</v>
      </c>
      <c r="P587" t="str">
        <v/>
      </c>
      <c r="Q587">
        <v>2174.8</v>
      </c>
      <c r="R587" t="str">
        <v/>
      </c>
      <c r="S587">
        <v>17.7</v>
      </c>
      <c r="T587">
        <v>83.95</v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>
        <v>85</v>
      </c>
      <c r="AC587" t="str">
        <v>01/10/2026</v>
      </c>
      <c r="AD587" t="str">
        <v>15:25:05</v>
      </c>
      <c r="AE587">
        <f>IF("ONLINE"="NOGPS","GPS Antiguo","En línea")</f>
      </c>
      <c r="AF587">
        <f>IF(0=0,"Sin atender", IF(0=1,"Atendida","Atendida y Reportada"))</f>
      </c>
      <c r="AG587" t="str">
        <v/>
      </c>
      <c r="AH587" t="str">
        <v/>
      </c>
      <c r="AI587" t="str">
        <v/>
      </c>
      <c r="AJ587" t="str">
        <v/>
      </c>
      <c r="AK587" t="str">
        <v>01/10/2026 15:25:18</v>
      </c>
      <c r="AL587" t="str">
        <v>15:25:18</v>
      </c>
      <c r="AM587" t="str">
        <v/>
      </c>
    </row>
    <row r="588">
      <c r="A588">
        <v>587</v>
      </c>
      <c r="B588" t="str">
        <v>MASS BSF</v>
      </c>
      <c r="C588" t="str">
        <v>F8R-810</v>
      </c>
      <c r="D588" t="str">
        <v>F8R-810</v>
      </c>
      <c r="E588" t="str">
        <v/>
      </c>
      <c r="F588" t="str">
        <v>867806078868827</v>
      </c>
      <c r="G588" t="str">
        <v>TBD</v>
      </c>
      <c r="H588" t="str">
        <v/>
      </c>
      <c r="I588" t="str">
        <v/>
      </c>
      <c r="J588" t="str">
        <v>01/10/2026</v>
      </c>
      <c r="K588" t="str">
        <v>15:26:03</v>
      </c>
      <c r="L588">
        <v>-12.207521</v>
      </c>
      <c r="M588">
        <v>-76.9566</v>
      </c>
      <c r="N588">
        <f>HYPERLINK("https://www.google.com/maps/search/?api=1&amp;query=-12.207521,-76.9566","Avenida El Sol, Villa El Salvador, Lima")</f>
      </c>
      <c r="O588" t="str">
        <v>Acelerado y giro brusco</v>
      </c>
      <c r="P588" t="str">
        <v/>
      </c>
      <c r="Q588">
        <v>2175.3</v>
      </c>
      <c r="R588" t="str">
        <v/>
      </c>
      <c r="S588">
        <v>25.1</v>
      </c>
      <c r="T588">
        <v>83.95</v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>
        <v>86</v>
      </c>
      <c r="AC588" t="str">
        <v>01/10/2026</v>
      </c>
      <c r="AD588" t="str">
        <v>15:26:00</v>
      </c>
      <c r="AE588">
        <f>IF("ONLINE"="NOGPS","GPS Antiguo","En línea")</f>
      </c>
      <c r="AF588">
        <f>IF(0=0,"Sin atender", IF(0=1,"Atendida","Atendida y Reportada"))</f>
      </c>
      <c r="AG588" t="str">
        <v/>
      </c>
      <c r="AH588" t="str">
        <v/>
      </c>
      <c r="AI588" t="str">
        <v/>
      </c>
      <c r="AJ588" t="str">
        <v/>
      </c>
      <c r="AK588" t="str">
        <v>01/10/2026 15:26:26</v>
      </c>
      <c r="AL588" t="str">
        <v>15:26:26</v>
      </c>
      <c r="AM588" t="str">
        <v/>
      </c>
    </row>
    <row r="589">
      <c r="A589">
        <v>588</v>
      </c>
      <c r="B589" t="str">
        <v>MASS BSF</v>
      </c>
      <c r="C589" t="str">
        <v>F8R-810</v>
      </c>
      <c r="D589" t="str">
        <v>F8R-810</v>
      </c>
      <c r="E589" t="str">
        <v/>
      </c>
      <c r="F589" t="str">
        <v>867806078868827</v>
      </c>
      <c r="G589" t="str">
        <v>TBD</v>
      </c>
      <c r="H589" t="str">
        <v/>
      </c>
      <c r="I589" t="str">
        <v/>
      </c>
      <c r="J589" t="str">
        <v>01/10/2026</v>
      </c>
      <c r="K589" t="str">
        <v>15:26:09</v>
      </c>
      <c r="L589">
        <v>-12.207755</v>
      </c>
      <c r="M589">
        <v>-76.95693</v>
      </c>
      <c r="N589">
        <f>HYPERLINK("https://www.google.com/maps/search/?api=1&amp;query=-12.207755,-76.95693","Avenida El Sol, Villa El Salvador, Lima")</f>
      </c>
      <c r="O589" t="str">
        <v>Acelerado y giro brusco</v>
      </c>
      <c r="P589" t="str">
        <v/>
      </c>
      <c r="Q589">
        <v>2175.4</v>
      </c>
      <c r="R589" t="str">
        <v/>
      </c>
      <c r="S589">
        <v>31.8</v>
      </c>
      <c r="T589">
        <v>83.95</v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>
        <v>86</v>
      </c>
      <c r="AC589" t="str">
        <v>01/10/2026</v>
      </c>
      <c r="AD589" t="str">
        <v>15:26:06</v>
      </c>
      <c r="AE589">
        <f>IF("ONLINE"="NOGPS","GPS Antiguo","En línea")</f>
      </c>
      <c r="AF589">
        <f>IF(0=0,"Sin atender", IF(0=1,"Atendida","Atendida y Reportada"))</f>
      </c>
      <c r="AG589" t="str">
        <v/>
      </c>
      <c r="AH589" t="str">
        <v/>
      </c>
      <c r="AI589" t="str">
        <v/>
      </c>
      <c r="AJ589" t="str">
        <v/>
      </c>
      <c r="AK589" t="str">
        <v>01/10/2026 15:26:18</v>
      </c>
      <c r="AL589" t="str">
        <v>15:26:18</v>
      </c>
      <c r="AM589" t="str">
        <v/>
      </c>
    </row>
    <row r="590">
      <c r="A590">
        <v>589</v>
      </c>
      <c r="B590" t="str">
        <v>MASS BSF</v>
      </c>
      <c r="C590" t="str">
        <v>F8R-810</v>
      </c>
      <c r="D590" t="str">
        <v>F8R-810</v>
      </c>
      <c r="E590" t="str">
        <v/>
      </c>
      <c r="F590" t="str">
        <v>867806078868827</v>
      </c>
      <c r="G590" t="str">
        <v>TBD</v>
      </c>
      <c r="H590" t="str">
        <v/>
      </c>
      <c r="I590" t="str">
        <v/>
      </c>
      <c r="J590" t="str">
        <v>01/10/2026</v>
      </c>
      <c r="K590" t="str">
        <v>15:26:16</v>
      </c>
      <c r="L590">
        <v>-12.20806</v>
      </c>
      <c r="M590">
        <v>-76.95746</v>
      </c>
      <c r="N590">
        <f>HYPERLINK("https://www.google.com/maps/search/?api=1&amp;query=-12.20806,-76.95746","Avenida El Sol, Villa El Salvador, Lima")</f>
      </c>
      <c r="O590" t="str">
        <v>Aceleración brusca</v>
      </c>
      <c r="P590" t="str">
        <v>CMT-910</v>
      </c>
      <c r="Q590">
        <v>2175.4</v>
      </c>
      <c r="R590" t="str">
        <v/>
      </c>
      <c r="S590">
        <v>36.4</v>
      </c>
      <c r="T590">
        <v>83.95</v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>
        <v>86</v>
      </c>
      <c r="AC590" t="str">
        <v>01/10/2026</v>
      </c>
      <c r="AD590" t="str">
        <v>15:26:13</v>
      </c>
      <c r="AE590">
        <f>IF("ONLINE"="NOGPS","GPS Antiguo","En línea")</f>
      </c>
      <c r="AF590">
        <f>IF(0=0,"Sin atender", IF(0=1,"Atendida","Atendida y Reportada"))</f>
      </c>
      <c r="AG590" t="str">
        <v/>
      </c>
      <c r="AH590" t="str">
        <v/>
      </c>
      <c r="AI590" t="str">
        <v/>
      </c>
      <c r="AJ590" t="str">
        <v/>
      </c>
      <c r="AK590" t="str">
        <v>01/10/2026 15:26:27</v>
      </c>
      <c r="AL590" t="str">
        <v>15:26:27</v>
      </c>
      <c r="AM590" t="str">
        <v/>
      </c>
    </row>
    <row r="591">
      <c r="A591">
        <v>590</v>
      </c>
      <c r="B591" t="str">
        <v>MASS BSF</v>
      </c>
      <c r="C591" t="str">
        <v>F8R-810</v>
      </c>
      <c r="D591" t="str">
        <v>F8R-810</v>
      </c>
      <c r="E591" t="str">
        <v/>
      </c>
      <c r="F591" t="str">
        <v>867806078868827</v>
      </c>
      <c r="G591" t="str">
        <v>TBD</v>
      </c>
      <c r="H591" t="str">
        <v/>
      </c>
      <c r="I591" t="str">
        <v/>
      </c>
      <c r="J591" t="str">
        <v>01/10/2026</v>
      </c>
      <c r="K591" t="str">
        <v>15:26:19</v>
      </c>
      <c r="L591">
        <v>-12.208205</v>
      </c>
      <c r="M591">
        <v>-76.95771</v>
      </c>
      <c r="N591">
        <f>HYPERLINK("https://www.google.com/maps/search/?api=1&amp;query=-12.208205,-76.95771","Avenida El Sol, Villa El Salvador, Lima")</f>
      </c>
      <c r="O591" t="str">
        <v>Acelerado y giro brusco</v>
      </c>
      <c r="P591" t="str">
        <v/>
      </c>
      <c r="Q591">
        <v>2175.4</v>
      </c>
      <c r="R591" t="str">
        <v/>
      </c>
      <c r="S591">
        <v>39</v>
      </c>
      <c r="T591">
        <v>83.95</v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>
        <v>86</v>
      </c>
      <c r="AC591" t="str">
        <v>01/10/2026</v>
      </c>
      <c r="AD591" t="str">
        <v>15:26:16</v>
      </c>
      <c r="AE591">
        <f>IF("ONLINE"="NOGPS","GPS Antiguo","En línea")</f>
      </c>
      <c r="AF591">
        <f>IF(0=0,"Sin atender", IF(0=1,"Atendida","Atendida y Reportada"))</f>
      </c>
      <c r="AG591" t="str">
        <v/>
      </c>
      <c r="AH591" t="str">
        <v/>
      </c>
      <c r="AI591" t="str">
        <v/>
      </c>
      <c r="AJ591" t="str">
        <v/>
      </c>
      <c r="AK591" t="str">
        <v>01/10/2026 15:26:36</v>
      </c>
      <c r="AL591" t="str">
        <v>15:26:36</v>
      </c>
      <c r="AM591" t="str">
        <v/>
      </c>
    </row>
    <row r="592">
      <c r="A592">
        <v>591</v>
      </c>
      <c r="B592" t="str">
        <v>MASS BSF</v>
      </c>
      <c r="C592" t="str">
        <v>F8R-810</v>
      </c>
      <c r="D592" t="str">
        <v>F8R-810</v>
      </c>
      <c r="E592" t="str">
        <v/>
      </c>
      <c r="F592" t="str">
        <v>867806078868827</v>
      </c>
      <c r="G592" t="str">
        <v>TBD</v>
      </c>
      <c r="H592" t="str">
        <v/>
      </c>
      <c r="I592" t="str">
        <v/>
      </c>
      <c r="J592" t="str">
        <v>01/10/2026</v>
      </c>
      <c r="K592" t="str">
        <v>15:26:23</v>
      </c>
      <c r="L592">
        <v>-12.20843</v>
      </c>
      <c r="M592">
        <v>-76.95804</v>
      </c>
      <c r="N592">
        <f>HYPERLINK("https://www.google.com/maps/search/?api=1&amp;query=-12.20843,-76.95804","Avenida El Sol, Villa El Salvador, Lima")</f>
      </c>
      <c r="O592" t="str">
        <v>Acelerado y giro brusco</v>
      </c>
      <c r="P592" t="str">
        <v/>
      </c>
      <c r="Q592">
        <v>2175.5</v>
      </c>
      <c r="R592" t="str">
        <v/>
      </c>
      <c r="S592">
        <v>40.1</v>
      </c>
      <c r="T592">
        <v>83.95</v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>
        <v>86</v>
      </c>
      <c r="AC592" t="str">
        <v>01/10/2026</v>
      </c>
      <c r="AD592" t="str">
        <v>15:26:20</v>
      </c>
      <c r="AE592">
        <f>IF("ONLINE"="NOGPS","GPS Antiguo","En línea")</f>
      </c>
      <c r="AF592">
        <f>IF(0=0,"Sin atender", IF(0=1,"Atendida","Atendida y Reportada"))</f>
      </c>
      <c r="AG592" t="str">
        <v/>
      </c>
      <c r="AH592" t="str">
        <v/>
      </c>
      <c r="AI592" t="str">
        <v/>
      </c>
      <c r="AJ592" t="str">
        <v/>
      </c>
      <c r="AK592" t="str">
        <v>01/10/2026 15:26:38</v>
      </c>
      <c r="AL592" t="str">
        <v>15:26:38</v>
      </c>
      <c r="AM592" t="str">
        <v/>
      </c>
    </row>
    <row r="593">
      <c r="A593">
        <v>592</v>
      </c>
      <c r="B593" t="str">
        <v>MASS BSF</v>
      </c>
      <c r="C593" t="str">
        <v>F8R-810</v>
      </c>
      <c r="D593" t="str">
        <v>F8R-810</v>
      </c>
      <c r="E593" t="str">
        <v/>
      </c>
      <c r="F593" t="str">
        <v>867806078868827</v>
      </c>
      <c r="G593" t="str">
        <v>TBD</v>
      </c>
      <c r="H593" t="str">
        <v/>
      </c>
      <c r="I593" t="str">
        <v/>
      </c>
      <c r="J593" t="str">
        <v>01/10/2026</v>
      </c>
      <c r="K593" t="str">
        <v>15:26:37</v>
      </c>
      <c r="L593">
        <v>-12.20909</v>
      </c>
      <c r="M593">
        <v>-76.95882</v>
      </c>
      <c r="N593">
        <f>HYPERLINK("https://www.google.com/maps/search/?api=1&amp;query=-12.20909,-76.95882","Avenida El Sol, Villa El Salvador, Lima")</f>
      </c>
      <c r="O593" t="str">
        <v>Bache</v>
      </c>
      <c r="P593" t="str">
        <v/>
      </c>
      <c r="Q593">
        <v>2175.6</v>
      </c>
      <c r="R593" t="str">
        <v/>
      </c>
      <c r="S593">
        <v>8.3</v>
      </c>
      <c r="T593">
        <v>83.95</v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>
        <v>86</v>
      </c>
      <c r="AC593" t="str">
        <v>01/10/2026</v>
      </c>
      <c r="AD593" t="str">
        <v>15:26:34</v>
      </c>
      <c r="AE593">
        <f>IF("ONLINE"="NOGPS","GPS Antiguo","En línea")</f>
      </c>
      <c r="AF593">
        <f>IF(0=0,"Sin atender", IF(0=1,"Atendida","Atendida y Reportada"))</f>
      </c>
      <c r="AG593" t="str">
        <v/>
      </c>
      <c r="AH593" t="str">
        <v/>
      </c>
      <c r="AI593" t="str">
        <v/>
      </c>
      <c r="AJ593" t="str">
        <v/>
      </c>
      <c r="AK593" t="str">
        <v>01/10/2026 15:26:55</v>
      </c>
      <c r="AL593" t="str">
        <v>15:26:55</v>
      </c>
      <c r="AM593" t="str">
        <v/>
      </c>
    </row>
    <row r="594">
      <c r="A594">
        <v>593</v>
      </c>
      <c r="B594" t="str">
        <v>MASS BSF</v>
      </c>
      <c r="C594" t="str">
        <v>F8R-810</v>
      </c>
      <c r="D594" t="str">
        <v>F8R-810</v>
      </c>
      <c r="E594" t="str">
        <v/>
      </c>
      <c r="F594" t="str">
        <v>867806078868827</v>
      </c>
      <c r="G594" t="str">
        <v>TBD</v>
      </c>
      <c r="H594" t="str">
        <v/>
      </c>
      <c r="I594" t="str">
        <v/>
      </c>
      <c r="J594" t="str">
        <v>01/10/2026</v>
      </c>
      <c r="K594" t="str">
        <v>15:28:03</v>
      </c>
      <c r="L594">
        <v>-12.212287</v>
      </c>
      <c r="M594">
        <v>-76.96412</v>
      </c>
      <c r="N594">
        <f>HYPERLINK("https://www.google.com/maps/search/?api=1&amp;query=-12.212287,-76.96412","Avenida El Sol, Villa El Salvador, Lima")</f>
      </c>
      <c r="O594" t="str">
        <v>Acelerado y giro brusco</v>
      </c>
      <c r="P594" t="str">
        <v/>
      </c>
      <c r="Q594">
        <v>2176.3</v>
      </c>
      <c r="R594" t="str">
        <v/>
      </c>
      <c r="S594">
        <v>33.5</v>
      </c>
      <c r="T594">
        <v>83.95</v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>
        <v>86</v>
      </c>
      <c r="AC594" t="str">
        <v>01/10/2026</v>
      </c>
      <c r="AD594" t="str">
        <v>15:28:00</v>
      </c>
      <c r="AE594">
        <f>IF("ONLINE"="NOGPS","GPS Antiguo","En línea")</f>
      </c>
      <c r="AF594">
        <f>IF(0=0,"Sin atender", IF(0=1,"Atendida","Atendida y Reportada"))</f>
      </c>
      <c r="AG594" t="str">
        <v/>
      </c>
      <c r="AH594" t="str">
        <v/>
      </c>
      <c r="AI594" t="str">
        <v/>
      </c>
      <c r="AJ594" t="str">
        <v/>
      </c>
      <c r="AK594" t="str">
        <v>01/10/2026 15:28:11</v>
      </c>
      <c r="AL594" t="str">
        <v>15:28:11</v>
      </c>
      <c r="AM594" t="str">
        <v/>
      </c>
    </row>
    <row r="595">
      <c r="A595">
        <v>594</v>
      </c>
      <c r="B595" t="str">
        <v>MASS BSF</v>
      </c>
      <c r="C595" t="str">
        <v>F8R-810</v>
      </c>
      <c r="D595" t="str">
        <v>F8R-810</v>
      </c>
      <c r="E595" t="str">
        <v/>
      </c>
      <c r="F595" t="str">
        <v>867806078868827</v>
      </c>
      <c r="G595" t="str">
        <v>TBD</v>
      </c>
      <c r="H595" t="str">
        <v/>
      </c>
      <c r="I595" t="str">
        <v/>
      </c>
      <c r="J595" t="str">
        <v>01/10/2026</v>
      </c>
      <c r="K595" t="str">
        <v>15:28:09</v>
      </c>
      <c r="L595">
        <v>-12.21249</v>
      </c>
      <c r="M595">
        <v>-76.964485</v>
      </c>
      <c r="N595">
        <f>HYPERLINK("https://www.google.com/maps/search/?api=1&amp;query=-12.21249,-76.964485","Avenida El Sol, Villa El Salvador, Lima")</f>
      </c>
      <c r="O595" t="str">
        <v>Acelerado y giro brusco</v>
      </c>
      <c r="P595" t="str">
        <v/>
      </c>
      <c r="Q595">
        <v>2176.3</v>
      </c>
      <c r="R595" t="str">
        <v/>
      </c>
      <c r="S595">
        <v>33.8</v>
      </c>
      <c r="T595">
        <v>83.95</v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>
        <v>86</v>
      </c>
      <c r="AC595" t="str">
        <v>01/10/2026</v>
      </c>
      <c r="AD595" t="str">
        <v>15:28:05</v>
      </c>
      <c r="AE595">
        <f>IF("ONLINE"="NOGPS","GPS Antiguo","En línea")</f>
      </c>
      <c r="AF595">
        <f>IF(0=0,"Sin atender", IF(0=1,"Atendida","Atendida y Reportada"))</f>
      </c>
      <c r="AG595" t="str">
        <v/>
      </c>
      <c r="AH595" t="str">
        <v/>
      </c>
      <c r="AI595" t="str">
        <v/>
      </c>
      <c r="AJ595" t="str">
        <v/>
      </c>
      <c r="AK595" t="str">
        <v>01/10/2026 15:28:30</v>
      </c>
      <c r="AL595" t="str">
        <v>15:28:30</v>
      </c>
      <c r="AM595" t="str">
        <v/>
      </c>
    </row>
    <row r="596">
      <c r="A596">
        <v>595</v>
      </c>
      <c r="B596" t="str">
        <v>MASS BSF</v>
      </c>
      <c r="C596" t="str">
        <v>F8R-810</v>
      </c>
      <c r="D596" t="str">
        <v>F8R-810</v>
      </c>
      <c r="E596" t="str">
        <v/>
      </c>
      <c r="F596" t="str">
        <v>867806078868827</v>
      </c>
      <c r="G596" t="str">
        <v>TBD</v>
      </c>
      <c r="H596" t="str">
        <v/>
      </c>
      <c r="I596" t="str">
        <v/>
      </c>
      <c r="J596" t="str">
        <v>01/10/2026</v>
      </c>
      <c r="K596" t="str">
        <v>15:28:19</v>
      </c>
      <c r="L596">
        <v>-12.212849</v>
      </c>
      <c r="M596">
        <v>-76.96516</v>
      </c>
      <c r="N596">
        <f>HYPERLINK("https://www.google.com/maps/search/?api=1&amp;query=-12.212849,-76.96516","Avenida El Sol, Villa El Salvador, Lima")</f>
      </c>
      <c r="O596" t="str">
        <v>Acelerado y giro brusco</v>
      </c>
      <c r="P596" t="str">
        <v/>
      </c>
      <c r="Q596">
        <v>2176.4</v>
      </c>
      <c r="R596" t="str">
        <v/>
      </c>
      <c r="S596">
        <v>18.7</v>
      </c>
      <c r="T596">
        <v>83.95</v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>
        <v>86</v>
      </c>
      <c r="AC596" t="str">
        <v>01/10/2026</v>
      </c>
      <c r="AD596" t="str">
        <v>15:28:15</v>
      </c>
      <c r="AE596">
        <f>IF("ONLINE"="NOGPS","GPS Antiguo","En línea")</f>
      </c>
      <c r="AF596">
        <f>IF(0=0,"Sin atender", IF(0=1,"Atendida","Atendida y Reportada"))</f>
      </c>
      <c r="AG596" t="str">
        <v/>
      </c>
      <c r="AH596" t="str">
        <v/>
      </c>
      <c r="AI596" t="str">
        <v/>
      </c>
      <c r="AJ596" t="str">
        <v/>
      </c>
      <c r="AK596" t="str">
        <v>01/10/2026 15:28:21</v>
      </c>
      <c r="AL596" t="str">
        <v>15:28:21</v>
      </c>
      <c r="AM596" t="str">
        <v/>
      </c>
    </row>
    <row r="597">
      <c r="A597">
        <v>596</v>
      </c>
      <c r="B597" t="str">
        <v>MASS BSF</v>
      </c>
      <c r="C597" t="str">
        <v>F8R-810</v>
      </c>
      <c r="D597" t="str">
        <v>F8R-810</v>
      </c>
      <c r="E597" t="str">
        <v/>
      </c>
      <c r="F597" t="str">
        <v>867806078868827</v>
      </c>
      <c r="G597" t="str">
        <v>TBD</v>
      </c>
      <c r="H597" t="str">
        <v/>
      </c>
      <c r="I597" t="str">
        <v/>
      </c>
      <c r="J597" t="str">
        <v>01/10/2026</v>
      </c>
      <c r="K597" t="str">
        <v>15:28:56</v>
      </c>
      <c r="L597">
        <v>-12.214437</v>
      </c>
      <c r="M597">
        <v>-76.9668</v>
      </c>
      <c r="N597">
        <f>HYPERLINK("https://www.google.com/maps/search/?api=1&amp;query=-12.214437,-76.9668","Avenida El Sol, Villa El Salvador, Lima")</f>
      </c>
      <c r="O597" t="str">
        <v>Acelerado y giro brusco</v>
      </c>
      <c r="P597" t="str">
        <v/>
      </c>
      <c r="Q597">
        <v>2176.6</v>
      </c>
      <c r="R597" t="str">
        <v/>
      </c>
      <c r="S597">
        <v>43.8</v>
      </c>
      <c r="T597">
        <v>83.95</v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>
        <v>86</v>
      </c>
      <c r="AC597" t="str">
        <v>01/10/2026</v>
      </c>
      <c r="AD597" t="str">
        <v>15:28:52</v>
      </c>
      <c r="AE597">
        <f>IF("ONLINE"="NOGPS","GPS Antiguo","En línea")</f>
      </c>
      <c r="AF597">
        <f>IF(0=0,"Sin atender", IF(0=1,"Atendida","Atendida y Reportada"))</f>
      </c>
      <c r="AG597" t="str">
        <v/>
      </c>
      <c r="AH597" t="str">
        <v/>
      </c>
      <c r="AI597" t="str">
        <v/>
      </c>
      <c r="AJ597" t="str">
        <v/>
      </c>
      <c r="AK597" t="str">
        <v>01/10/2026 15:29:04</v>
      </c>
      <c r="AL597" t="str">
        <v>15:29:04</v>
      </c>
      <c r="AM597" t="str">
        <v/>
      </c>
    </row>
    <row r="598">
      <c r="A598">
        <v>597</v>
      </c>
      <c r="B598" t="str">
        <v>MASS BSF</v>
      </c>
      <c r="C598" t="str">
        <v>F8R-810</v>
      </c>
      <c r="D598" t="str">
        <v>F8R-810</v>
      </c>
      <c r="E598" t="str">
        <v/>
      </c>
      <c r="F598" t="str">
        <v>867806078868827</v>
      </c>
      <c r="G598" t="str">
        <v>TBD</v>
      </c>
      <c r="H598" t="str">
        <v/>
      </c>
      <c r="I598" t="str">
        <v/>
      </c>
      <c r="J598" t="str">
        <v>01/10/2026</v>
      </c>
      <c r="K598" t="str">
        <v>15:29:00</v>
      </c>
      <c r="L598">
        <v>-12.21473</v>
      </c>
      <c r="M598">
        <v>-76.9671</v>
      </c>
      <c r="N598">
        <f>HYPERLINK("https://www.google.com/maps/search/?api=1&amp;query=-12.21473,-76.9671","Avenida El Sol, Villa El Salvador, Lima")</f>
      </c>
      <c r="O598" t="str">
        <v>Acelerado y giro brusco</v>
      </c>
      <c r="P598" t="str">
        <v/>
      </c>
      <c r="Q598">
        <v>2176.7</v>
      </c>
      <c r="R598" t="str">
        <v/>
      </c>
      <c r="S598">
        <v>37.5</v>
      </c>
      <c r="T598">
        <v>83.95</v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>
        <v>86</v>
      </c>
      <c r="AC598" t="str">
        <v>01/10/2026</v>
      </c>
      <c r="AD598" t="str">
        <v>15:28:56</v>
      </c>
      <c r="AE598">
        <f>IF("ONLINE"="NOGPS","GPS Antiguo","En línea")</f>
      </c>
      <c r="AF598">
        <f>IF(0=0,"Sin atender", IF(0=1,"Atendida","Atendida y Reportada"))</f>
      </c>
      <c r="AG598" t="str">
        <v/>
      </c>
      <c r="AH598" t="str">
        <v/>
      </c>
      <c r="AI598" t="str">
        <v/>
      </c>
      <c r="AJ598" t="str">
        <v/>
      </c>
      <c r="AK598" t="str">
        <v>01/10/2026 15:29:05</v>
      </c>
      <c r="AL598" t="str">
        <v>15:29:05</v>
      </c>
      <c r="AM598" t="str">
        <v/>
      </c>
    </row>
    <row r="599">
      <c r="A599">
        <v>598</v>
      </c>
      <c r="B599" t="str">
        <v>MASS BSF</v>
      </c>
      <c r="C599" t="str">
        <v>F8R-810</v>
      </c>
      <c r="D599" t="str">
        <v>F8R-810</v>
      </c>
      <c r="E599" t="str">
        <v/>
      </c>
      <c r="F599" t="str">
        <v>867806078868827</v>
      </c>
      <c r="G599" t="str">
        <v>TBD</v>
      </c>
      <c r="H599" t="str">
        <v/>
      </c>
      <c r="I599" t="str">
        <v/>
      </c>
      <c r="J599" t="str">
        <v>01/10/2026</v>
      </c>
      <c r="K599" t="str">
        <v>15:29:04</v>
      </c>
      <c r="L599">
        <v>-12.215067</v>
      </c>
      <c r="M599">
        <v>-76.96739</v>
      </c>
      <c r="N599">
        <f>HYPERLINK("https://www.google.com/maps/search/?api=1&amp;query=-12.215067,-76.96739","Avenida El Sol, Villa El Salvador, Lima")</f>
      </c>
      <c r="O599" t="str">
        <v>Giro brusco</v>
      </c>
      <c r="P599" t="str">
        <v/>
      </c>
      <c r="Q599">
        <v>2176.7</v>
      </c>
      <c r="R599" t="str">
        <v/>
      </c>
      <c r="S599">
        <v>34.2</v>
      </c>
      <c r="T599">
        <v>83.95</v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>
        <v>86</v>
      </c>
      <c r="AC599" t="str">
        <v>01/10/2026</v>
      </c>
      <c r="AD599" t="str">
        <v>15:29:01</v>
      </c>
      <c r="AE599">
        <f>IF("ONLINE"="NOGPS","GPS Antiguo","En línea")</f>
      </c>
      <c r="AF599">
        <f>IF(0=0,"Sin atender", IF(0=1,"Atendida","Atendida y Reportada"))</f>
      </c>
      <c r="AG599" t="str">
        <v/>
      </c>
      <c r="AH599" t="str">
        <v/>
      </c>
      <c r="AI599" t="str">
        <v/>
      </c>
      <c r="AJ599" t="str">
        <v/>
      </c>
      <c r="AK599" t="str">
        <v>01/10/2026 15:29:08</v>
      </c>
      <c r="AL599" t="str">
        <v>15:29:08</v>
      </c>
      <c r="AM599" t="str">
        <v/>
      </c>
    </row>
    <row r="600">
      <c r="A600">
        <v>599</v>
      </c>
      <c r="B600" t="str">
        <v>MASS BSF</v>
      </c>
      <c r="C600" t="str">
        <v>F8R-810</v>
      </c>
      <c r="D600" t="str">
        <v>F8R-810</v>
      </c>
      <c r="E600" t="str">
        <v/>
      </c>
      <c r="F600" t="str">
        <v>867806078868827</v>
      </c>
      <c r="G600" t="str">
        <v>TBD</v>
      </c>
      <c r="H600" t="str">
        <v/>
      </c>
      <c r="I600" t="str">
        <v/>
      </c>
      <c r="J600" t="str">
        <v>01/10/2026</v>
      </c>
      <c r="K600" t="str">
        <v>15:29:07</v>
      </c>
      <c r="L600">
        <v>-12.215214</v>
      </c>
      <c r="M600">
        <v>-76.96747</v>
      </c>
      <c r="N600">
        <f>HYPERLINK("https://www.google.com/maps/search/?api=1&amp;query=-12.215214,-76.96747","Avenida El Sol, Villa El Salvador, Lima")</f>
      </c>
      <c r="O600" t="str">
        <v>Acelerado y giro brusco</v>
      </c>
      <c r="P600" t="str">
        <v/>
      </c>
      <c r="Q600">
        <v>2176.8</v>
      </c>
      <c r="R600" t="str">
        <v/>
      </c>
      <c r="S600">
        <v>33.3</v>
      </c>
      <c r="T600">
        <v>83.95</v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>
        <v>86</v>
      </c>
      <c r="AC600" t="str">
        <v>01/10/2026</v>
      </c>
      <c r="AD600" t="str">
        <v>15:29:03</v>
      </c>
      <c r="AE600">
        <f>IF("ONLINE"="NOGPS","GPS Antiguo","En línea")</f>
      </c>
      <c r="AF600">
        <f>IF(0=0,"Sin atender", IF(0=1,"Atendida","Atendida y Reportada"))</f>
      </c>
      <c r="AG600" t="str">
        <v/>
      </c>
      <c r="AH600" t="str">
        <v/>
      </c>
      <c r="AI600" t="str">
        <v/>
      </c>
      <c r="AJ600" t="str">
        <v/>
      </c>
      <c r="AK600" t="str">
        <v>01/10/2026 15:29:33</v>
      </c>
      <c r="AL600" t="str">
        <v>15:29:33</v>
      </c>
      <c r="AM600" t="str">
        <v/>
      </c>
    </row>
    <row r="601">
      <c r="A601">
        <v>600</v>
      </c>
      <c r="B601" t="str">
        <v>MASS BSF</v>
      </c>
      <c r="C601" t="str">
        <v>F8R-810</v>
      </c>
      <c r="D601" t="str">
        <v>F8R-810</v>
      </c>
      <c r="E601" t="str">
        <v/>
      </c>
      <c r="F601" t="str">
        <v>867806078868827</v>
      </c>
      <c r="G601" t="str">
        <v>TBD</v>
      </c>
      <c r="H601" t="str">
        <v/>
      </c>
      <c r="I601" t="str">
        <v/>
      </c>
      <c r="J601" t="str">
        <v>01/10/2026</v>
      </c>
      <c r="K601" t="str">
        <v>15:29:12</v>
      </c>
      <c r="L601">
        <v>-12.215585</v>
      </c>
      <c r="M601">
        <v>-76.96765</v>
      </c>
      <c r="N601">
        <f>HYPERLINK("https://www.google.com/maps/search/?api=1&amp;query=-12.215585,-76.96765","Avenida El Sol, Villa El Salvador, Lima")</f>
      </c>
      <c r="O601" t="str">
        <v>Acelerado y giro brusco</v>
      </c>
      <c r="P601" t="str">
        <v/>
      </c>
      <c r="Q601">
        <v>2176.8</v>
      </c>
      <c r="R601" t="str">
        <v/>
      </c>
      <c r="S601">
        <v>34.2</v>
      </c>
      <c r="T601">
        <v>83.95</v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>
        <v>86</v>
      </c>
      <c r="AC601" t="str">
        <v>01/10/2026</v>
      </c>
      <c r="AD601" t="str">
        <v>15:29:08</v>
      </c>
      <c r="AE601">
        <f>IF("ONLINE"="NOGPS","GPS Antiguo","En línea")</f>
      </c>
      <c r="AF601">
        <f>IF(0=0,"Sin atender", IF(0=1,"Atendida","Atendida y Reportada"))</f>
      </c>
      <c r="AG601" t="str">
        <v/>
      </c>
      <c r="AH601" t="str">
        <v/>
      </c>
      <c r="AI601" t="str">
        <v/>
      </c>
      <c r="AJ601" t="str">
        <v/>
      </c>
      <c r="AK601" t="str">
        <v>01/10/2026 15:29:17</v>
      </c>
      <c r="AL601" t="str">
        <v>15:29:17</v>
      </c>
      <c r="AM601" t="str">
        <v/>
      </c>
    </row>
    <row r="602">
      <c r="A602">
        <v>601</v>
      </c>
      <c r="B602" t="str">
        <v>MASS BSF</v>
      </c>
      <c r="C602" t="str">
        <v>F8R-810</v>
      </c>
      <c r="D602" t="str">
        <v>F8R-810</v>
      </c>
      <c r="E602" t="str">
        <v/>
      </c>
      <c r="F602" t="str">
        <v>867806078868827</v>
      </c>
      <c r="G602" t="str">
        <v>TBD</v>
      </c>
      <c r="H602" t="str">
        <v/>
      </c>
      <c r="I602" t="str">
        <v/>
      </c>
      <c r="J602" t="str">
        <v>01/10/2026</v>
      </c>
      <c r="K602" t="str">
        <v>15:29:21</v>
      </c>
      <c r="L602">
        <v>-12.216247</v>
      </c>
      <c r="M602">
        <v>-76.96813</v>
      </c>
      <c r="N602">
        <f>HYPERLINK("https://www.google.com/maps/search/?api=1&amp;query=-12.216247,-76.96813","Avenida El Sol, Villa El Salvador, Lima")</f>
      </c>
      <c r="O602" t="str">
        <v>Acelerado y giro brusco</v>
      </c>
      <c r="P602" t="str">
        <v/>
      </c>
      <c r="Q602">
        <v>2176.9</v>
      </c>
      <c r="R602" t="str">
        <v/>
      </c>
      <c r="S602">
        <v>30.1</v>
      </c>
      <c r="T602">
        <v>83.95</v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>
        <v>86</v>
      </c>
      <c r="AC602" t="str">
        <v>01/10/2026</v>
      </c>
      <c r="AD602" t="str">
        <v>15:29:18</v>
      </c>
      <c r="AE602">
        <f>IF("ONLINE"="NOGPS","GPS Antiguo","En línea")</f>
      </c>
      <c r="AF602">
        <f>IF(0=0,"Sin atender", IF(0=1,"Atendida","Atendida y Reportada"))</f>
      </c>
      <c r="AG602" t="str">
        <v/>
      </c>
      <c r="AH602" t="str">
        <v/>
      </c>
      <c r="AI602" t="str">
        <v/>
      </c>
      <c r="AJ602" t="str">
        <v/>
      </c>
      <c r="AK602" t="str">
        <v>01/10/2026 15:29:29</v>
      </c>
      <c r="AL602" t="str">
        <v>15:29:29</v>
      </c>
      <c r="AM602" t="str">
        <v/>
      </c>
    </row>
    <row r="603">
      <c r="A603">
        <v>602</v>
      </c>
      <c r="B603" t="str">
        <v>MASS BSF</v>
      </c>
      <c r="C603" t="str">
        <v>F8R-810</v>
      </c>
      <c r="D603" t="str">
        <v>F8R-810</v>
      </c>
      <c r="E603" t="str">
        <v/>
      </c>
      <c r="F603" t="str">
        <v>867806078868827</v>
      </c>
      <c r="G603" t="str">
        <v>TBD</v>
      </c>
      <c r="H603" t="str">
        <v/>
      </c>
      <c r="I603" t="str">
        <v/>
      </c>
      <c r="J603" t="str">
        <v>01/10/2026</v>
      </c>
      <c r="K603" t="str">
        <v>15:29:29</v>
      </c>
      <c r="L603">
        <v>-12.216494</v>
      </c>
      <c r="M603">
        <v>-76.96839</v>
      </c>
      <c r="N603">
        <f>HYPERLINK("https://www.google.com/maps/search/?api=1&amp;query=-12.216494,-76.96839","Avenida El Sol, Villa El Salvador, Lima")</f>
      </c>
      <c r="O603" t="str">
        <v>Bache</v>
      </c>
      <c r="P603" t="str">
        <v/>
      </c>
      <c r="Q603">
        <v>2176.9</v>
      </c>
      <c r="R603" t="str">
        <v/>
      </c>
      <c r="S603">
        <v>7.7</v>
      </c>
      <c r="T603">
        <v>83.95</v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>
        <v>86</v>
      </c>
      <c r="AC603" t="str">
        <v>01/10/2026</v>
      </c>
      <c r="AD603" t="str">
        <v>15:29:26</v>
      </c>
      <c r="AE603">
        <f>IF("ONLINE"="NOGPS","GPS Antiguo","En línea")</f>
      </c>
      <c r="AF603">
        <f>IF(0=0,"Sin atender", IF(0=1,"Atendida","Atendida y Reportada"))</f>
      </c>
      <c r="AG603" t="str">
        <v/>
      </c>
      <c r="AH603" t="str">
        <v/>
      </c>
      <c r="AI603" t="str">
        <v/>
      </c>
      <c r="AJ603" t="str">
        <v/>
      </c>
      <c r="AK603" t="str">
        <v>01/10/2026 15:29:38</v>
      </c>
      <c r="AL603" t="str">
        <v>15:29:38</v>
      </c>
      <c r="AM603" t="str">
        <v/>
      </c>
    </row>
    <row r="604">
      <c r="A604">
        <v>603</v>
      </c>
      <c r="B604" t="str">
        <v>MASS BSF</v>
      </c>
      <c r="C604" t="str">
        <v>F8R-810</v>
      </c>
      <c r="D604" t="str">
        <v>F8R-810</v>
      </c>
      <c r="E604" t="str">
        <v/>
      </c>
      <c r="F604" t="str">
        <v>867806078868827</v>
      </c>
      <c r="G604" t="str">
        <v>TBD</v>
      </c>
      <c r="H604" t="str">
        <v/>
      </c>
      <c r="I604" t="str">
        <v/>
      </c>
      <c r="J604" t="str">
        <v>01/10/2026</v>
      </c>
      <c r="K604" t="str">
        <v>15:29:42</v>
      </c>
      <c r="L604">
        <v>-12.216902</v>
      </c>
      <c r="M604">
        <v>-76.96885</v>
      </c>
      <c r="N604">
        <f>HYPERLINK("https://www.google.com/maps/search/?api=1&amp;query=-12.216902,-76.96885","Avenida El Sol, Villa El Salvador, Lima")</f>
      </c>
      <c r="O604" t="str">
        <v>Acelerado y giro brusco</v>
      </c>
      <c r="P604" t="str">
        <v/>
      </c>
      <c r="Q604">
        <v>2177</v>
      </c>
      <c r="R604" t="str">
        <v/>
      </c>
      <c r="S604">
        <v>34.2</v>
      </c>
      <c r="T604">
        <v>83.95</v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>
        <v>86</v>
      </c>
      <c r="AC604" t="str">
        <v>01/10/2026</v>
      </c>
      <c r="AD604" t="str">
        <v>15:29:38</v>
      </c>
      <c r="AE604">
        <f>IF("ONLINE"="NOGPS","GPS Antiguo","En línea")</f>
      </c>
      <c r="AF604">
        <f>IF(0=0,"Sin atender", IF(0=1,"Atendida","Atendida y Reportada"))</f>
      </c>
      <c r="AG604" t="str">
        <v/>
      </c>
      <c r="AH604" t="str">
        <v/>
      </c>
      <c r="AI604" t="str">
        <v/>
      </c>
      <c r="AJ604" t="str">
        <v/>
      </c>
      <c r="AK604" t="str">
        <v>01/10/2026 15:29:44</v>
      </c>
      <c r="AL604" t="str">
        <v>15:29:44</v>
      </c>
      <c r="AM604" t="str">
        <v/>
      </c>
    </row>
    <row r="605">
      <c r="A605">
        <v>604</v>
      </c>
      <c r="B605" t="str">
        <v>MASS BSF</v>
      </c>
      <c r="C605" t="str">
        <v>F8R-810</v>
      </c>
      <c r="D605" t="str">
        <v>F8R-810</v>
      </c>
      <c r="E605" t="str">
        <v/>
      </c>
      <c r="F605" t="str">
        <v>867806078868827</v>
      </c>
      <c r="G605" t="str">
        <v>TBD</v>
      </c>
      <c r="H605" t="str">
        <v/>
      </c>
      <c r="I605" t="str">
        <v/>
      </c>
      <c r="J605" t="str">
        <v>01/10/2026</v>
      </c>
      <c r="K605" t="str">
        <v>15:29:47</v>
      </c>
      <c r="L605">
        <v>-12.2172</v>
      </c>
      <c r="M605">
        <v>-76.969185</v>
      </c>
      <c r="N605">
        <f>HYPERLINK("https://www.google.com/maps/search/?api=1&amp;query=-12.2172,-76.969185","Avenida El Sol, Villa El Salvador, Lima")</f>
      </c>
      <c r="O605" t="str">
        <v>Acelerado y giro brusco</v>
      </c>
      <c r="P605" t="str">
        <v/>
      </c>
      <c r="Q605">
        <v>2177</v>
      </c>
      <c r="R605" t="str">
        <v/>
      </c>
      <c r="S605">
        <v>35.7</v>
      </c>
      <c r="T605">
        <v>83.95</v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>
        <v>86</v>
      </c>
      <c r="AC605" t="str">
        <v>01/10/2026</v>
      </c>
      <c r="AD605" t="str">
        <v>15:29:43</v>
      </c>
      <c r="AE605">
        <f>IF("ONLINE"="NOGPS","GPS Antiguo","En línea")</f>
      </c>
      <c r="AF605">
        <f>IF(0=0,"Sin atender", IF(0=1,"Atendida","Atendida y Reportada"))</f>
      </c>
      <c r="AG605" t="str">
        <v/>
      </c>
      <c r="AH605" t="str">
        <v/>
      </c>
      <c r="AI605" t="str">
        <v/>
      </c>
      <c r="AJ605" t="str">
        <v/>
      </c>
      <c r="AK605" t="str">
        <v>01/10/2026 15:29:52</v>
      </c>
      <c r="AL605" t="str">
        <v>15:29:52</v>
      </c>
      <c r="AM605" t="str">
        <v/>
      </c>
    </row>
    <row r="606">
      <c r="A606">
        <v>605</v>
      </c>
      <c r="B606" t="str">
        <v>MASS BSF</v>
      </c>
      <c r="C606" t="str">
        <v>F8R-810</v>
      </c>
      <c r="D606" t="str">
        <v>F8R-810</v>
      </c>
      <c r="E606" t="str">
        <v/>
      </c>
      <c r="F606" t="str">
        <v>867806078868827</v>
      </c>
      <c r="G606" t="str">
        <v>TBD</v>
      </c>
      <c r="H606" t="str">
        <v/>
      </c>
      <c r="I606" t="str">
        <v/>
      </c>
      <c r="J606" t="str">
        <v>01/10/2026</v>
      </c>
      <c r="K606" t="str">
        <v>15:29:59</v>
      </c>
      <c r="L606">
        <v>-12.21794</v>
      </c>
      <c r="M606">
        <v>-76.96997</v>
      </c>
      <c r="N606">
        <f>HYPERLINK("https://www.google.com/maps/search/?api=1&amp;query=-12.21794,-76.96997","Avenida El Sol, Villa El Salvador, Lima")</f>
      </c>
      <c r="O606" t="str">
        <v>Acelerado y giro brusco</v>
      </c>
      <c r="P606" t="str">
        <v/>
      </c>
      <c r="Q606">
        <v>2177.2</v>
      </c>
      <c r="R606" t="str">
        <v/>
      </c>
      <c r="S606">
        <v>21.8</v>
      </c>
      <c r="T606">
        <v>83.95</v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>
        <v>86</v>
      </c>
      <c r="AC606" t="str">
        <v>01/10/2026</v>
      </c>
      <c r="AD606" t="str">
        <v>15:29:56</v>
      </c>
      <c r="AE606">
        <f>IF("ONLINE"="NOGPS","GPS Antiguo","En línea")</f>
      </c>
      <c r="AF606">
        <f>IF(0=0,"Sin atender", IF(0=1,"Atendida","Atendida y Reportada"))</f>
      </c>
      <c r="AG606" t="str">
        <v/>
      </c>
      <c r="AH606" t="str">
        <v/>
      </c>
      <c r="AI606" t="str">
        <v/>
      </c>
      <c r="AJ606" t="str">
        <v/>
      </c>
      <c r="AK606" t="str">
        <v>01/10/2026 15:30:15</v>
      </c>
      <c r="AL606" t="str">
        <v>15:30:15</v>
      </c>
      <c r="AM606" t="str">
        <v/>
      </c>
    </row>
    <row r="607">
      <c r="A607">
        <v>606</v>
      </c>
      <c r="B607" t="str">
        <v>MASS BSF</v>
      </c>
      <c r="C607" t="str">
        <v>F8R-810</v>
      </c>
      <c r="D607" t="str">
        <v>F8R-810</v>
      </c>
      <c r="E607" t="str">
        <v/>
      </c>
      <c r="F607" t="str">
        <v>867806078868827</v>
      </c>
      <c r="G607" t="str">
        <v>TBD</v>
      </c>
      <c r="H607" t="str">
        <v/>
      </c>
      <c r="I607" t="str">
        <v/>
      </c>
      <c r="J607" t="str">
        <v>01/10/2026</v>
      </c>
      <c r="K607" t="str">
        <v>15:30:04</v>
      </c>
      <c r="L607">
        <v>-12.218023</v>
      </c>
      <c r="M607">
        <v>-76.970055</v>
      </c>
      <c r="N607">
        <f>HYPERLINK("https://www.google.com/maps/search/?api=1&amp;query=-12.218023,-76.970055","Avenida El Sol, Villa El Salvador, Lima")</f>
      </c>
      <c r="O607" t="str">
        <v>Acelerado y giro brusco</v>
      </c>
      <c r="P607" t="str">
        <v/>
      </c>
      <c r="Q607">
        <v>2177.2</v>
      </c>
      <c r="R607" t="str">
        <v/>
      </c>
      <c r="S607">
        <v>7</v>
      </c>
      <c r="T607">
        <v>83.95</v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>
        <v>86</v>
      </c>
      <c r="AC607" t="str">
        <v>01/10/2026</v>
      </c>
      <c r="AD607" t="str">
        <v>15:30:00</v>
      </c>
      <c r="AE607">
        <f>IF("ONLINE"="NOGPS","GPS Antiguo","En línea")</f>
      </c>
      <c r="AF607">
        <f>IF(0=0,"Sin atender", IF(0=1,"Atendida","Atendida y Reportada"))</f>
      </c>
      <c r="AG607" t="str">
        <v/>
      </c>
      <c r="AH607" t="str">
        <v/>
      </c>
      <c r="AI607" t="str">
        <v/>
      </c>
      <c r="AJ607" t="str">
        <v/>
      </c>
      <c r="AK607" t="str">
        <v>01/10/2026 15:30:19</v>
      </c>
      <c r="AL607" t="str">
        <v>15:30:19</v>
      </c>
      <c r="AM607" t="str">
        <v/>
      </c>
    </row>
    <row r="608">
      <c r="A608">
        <v>607</v>
      </c>
      <c r="B608" t="str">
        <v>MASS BSF</v>
      </c>
      <c r="C608" t="str">
        <v>F8R-810</v>
      </c>
      <c r="D608" t="str">
        <v>F8R-810</v>
      </c>
      <c r="E608" t="str">
        <v/>
      </c>
      <c r="F608" t="str">
        <v>867806078868827</v>
      </c>
      <c r="G608" t="str">
        <v>TBD</v>
      </c>
      <c r="H608" t="str">
        <v/>
      </c>
      <c r="I608" t="str">
        <v/>
      </c>
      <c r="J608" t="str">
        <v>01/10/2026</v>
      </c>
      <c r="K608" t="str">
        <v>15:30:21</v>
      </c>
      <c r="L608">
        <v>-12.2189</v>
      </c>
      <c r="M608">
        <v>-76.97099</v>
      </c>
      <c r="N608">
        <f>HYPERLINK("https://www.google.com/maps/search/?api=1&amp;query=-12.2189,-76.97099","Avenida El Sol, Villa El Salvador, Lima")</f>
      </c>
      <c r="O608" t="str">
        <v>Acelerado y giro brusco</v>
      </c>
      <c r="P608" t="str">
        <v/>
      </c>
      <c r="Q608">
        <v>2177.3</v>
      </c>
      <c r="R608" t="str">
        <v/>
      </c>
      <c r="S608">
        <v>39.4</v>
      </c>
      <c r="T608">
        <v>83.95</v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>
        <v>86</v>
      </c>
      <c r="AC608" t="str">
        <v>01/10/2026</v>
      </c>
      <c r="AD608" t="str">
        <v>15:30:18</v>
      </c>
      <c r="AE608">
        <f>IF("ONLINE"="NOGPS","GPS Antiguo","En línea")</f>
      </c>
      <c r="AF608">
        <f>IF(0=0,"Sin atender", IF(0=1,"Atendida","Atendida y Reportada"))</f>
      </c>
      <c r="AG608" t="str">
        <v/>
      </c>
      <c r="AH608" t="str">
        <v/>
      </c>
      <c r="AI608" t="str">
        <v/>
      </c>
      <c r="AJ608" t="str">
        <v/>
      </c>
      <c r="AK608" t="str">
        <v>01/10/2026 15:30:38</v>
      </c>
      <c r="AL608" t="str">
        <v>15:30:38</v>
      </c>
      <c r="AM608" t="str">
        <v/>
      </c>
    </row>
    <row r="609">
      <c r="A609">
        <v>608</v>
      </c>
      <c r="B609" t="str">
        <v>MASS BSF</v>
      </c>
      <c r="C609" t="str">
        <v>F8R-810</v>
      </c>
      <c r="D609" t="str">
        <v>F8R-810</v>
      </c>
      <c r="E609" t="str">
        <v/>
      </c>
      <c r="F609" t="str">
        <v>867806078868827</v>
      </c>
      <c r="G609" t="str">
        <v>TBD</v>
      </c>
      <c r="H609" t="str">
        <v/>
      </c>
      <c r="I609" t="str">
        <v/>
      </c>
      <c r="J609" t="str">
        <v>01/10/2026</v>
      </c>
      <c r="K609" t="str">
        <v>15:30:29</v>
      </c>
      <c r="L609">
        <v>-12.219463</v>
      </c>
      <c r="M609">
        <v>-76.97159</v>
      </c>
      <c r="N609">
        <f>HYPERLINK("https://www.google.com/maps/search/?api=1&amp;query=-12.219463,-76.97159","Avenida El Sol, Villa El Salvador, Lima")</f>
      </c>
      <c r="O609" t="str">
        <v>Acelerado y giro brusco</v>
      </c>
      <c r="P609" t="str">
        <v/>
      </c>
      <c r="Q609">
        <v>2177.4</v>
      </c>
      <c r="R609" t="str">
        <v/>
      </c>
      <c r="S609">
        <v>40.9</v>
      </c>
      <c r="T609">
        <v>83.95</v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>
        <v>86</v>
      </c>
      <c r="AC609" t="str">
        <v>01/10/2026</v>
      </c>
      <c r="AD609" t="str">
        <v>15:30:26</v>
      </c>
      <c r="AE609">
        <f>IF("ONLINE"="NOGPS","GPS Antiguo","En línea")</f>
      </c>
      <c r="AF609">
        <f>IF(0=0,"Sin atender", IF(0=1,"Atendida","Atendida y Reportada"))</f>
      </c>
      <c r="AG609" t="str">
        <v/>
      </c>
      <c r="AH609" t="str">
        <v/>
      </c>
      <c r="AI609" t="str">
        <v/>
      </c>
      <c r="AJ609" t="str">
        <v/>
      </c>
      <c r="AK609" t="str">
        <v>01/10/2026 15:30:48</v>
      </c>
      <c r="AL609" t="str">
        <v>15:30:48</v>
      </c>
      <c r="AM609" t="str">
        <v/>
      </c>
    </row>
    <row r="610">
      <c r="A610">
        <v>609</v>
      </c>
      <c r="B610" t="str">
        <v>MASS BSF</v>
      </c>
      <c r="C610" t="str">
        <v>F8R-810</v>
      </c>
      <c r="D610" t="str">
        <v>F8R-810</v>
      </c>
      <c r="E610" t="str">
        <v/>
      </c>
      <c r="F610" t="str">
        <v>867806078868827</v>
      </c>
      <c r="G610" t="str">
        <v>TBD</v>
      </c>
      <c r="H610" t="str">
        <v/>
      </c>
      <c r="I610" t="str">
        <v/>
      </c>
      <c r="J610" t="str">
        <v>01/10/2026</v>
      </c>
      <c r="K610" t="str">
        <v>15:30:31</v>
      </c>
      <c r="L610">
        <v>-12.2196</v>
      </c>
      <c r="M610">
        <v>-76.97173</v>
      </c>
      <c r="N610">
        <f>HYPERLINK("https://www.google.com/maps/search/?api=1&amp;query=-12.2196,-76.97173","Avenida El Sol, Villa El Salvador, Lima")</f>
      </c>
      <c r="O610" t="str">
        <v>Bache</v>
      </c>
      <c r="P610" t="str">
        <v/>
      </c>
      <c r="Q610">
        <v>2177.4</v>
      </c>
      <c r="R610" t="str">
        <v/>
      </c>
      <c r="S610">
        <v>38.1</v>
      </c>
      <c r="T610">
        <v>83.95</v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>
        <v>86</v>
      </c>
      <c r="AC610" t="str">
        <v>01/10/2026</v>
      </c>
      <c r="AD610" t="str">
        <v>15:30:28</v>
      </c>
      <c r="AE610">
        <f>IF("ONLINE"="NOGPS","GPS Antiguo","En línea")</f>
      </c>
      <c r="AF610">
        <f>IF(0=0,"Sin atender", IF(0=1,"Atendida","Atendida y Reportada"))</f>
      </c>
      <c r="AG610" t="str">
        <v/>
      </c>
      <c r="AH610" t="str">
        <v/>
      </c>
      <c r="AI610" t="str">
        <v/>
      </c>
      <c r="AJ610" t="str">
        <v/>
      </c>
      <c r="AK610" t="str">
        <v>01/10/2026 15:30:48</v>
      </c>
      <c r="AL610" t="str">
        <v>15:30:48</v>
      </c>
      <c r="AM610" t="str">
        <v/>
      </c>
    </row>
    <row r="611">
      <c r="A611">
        <v>610</v>
      </c>
      <c r="B611" t="str">
        <v>MASS BSF</v>
      </c>
      <c r="C611" t="str">
        <v>F8R-810</v>
      </c>
      <c r="D611" t="str">
        <v>F8R-810</v>
      </c>
      <c r="E611" t="str">
        <v/>
      </c>
      <c r="F611" t="str">
        <v>867806078868827</v>
      </c>
      <c r="G611" t="str">
        <v>TBD</v>
      </c>
      <c r="H611" t="str">
        <v/>
      </c>
      <c r="I611" t="str">
        <v/>
      </c>
      <c r="J611" t="str">
        <v>01/10/2026</v>
      </c>
      <c r="K611" t="str">
        <v>15:30:42</v>
      </c>
      <c r="L611">
        <v>-12.220326</v>
      </c>
      <c r="M611">
        <v>-76.972496</v>
      </c>
      <c r="N611">
        <f>HYPERLINK("https://www.google.com/maps/search/?api=1&amp;query=-12.220326,-76.972496","Avenida El Sol, Villa El Salvador, Lima")</f>
      </c>
      <c r="O611" t="str">
        <v>Bache</v>
      </c>
      <c r="P611" t="str">
        <v/>
      </c>
      <c r="Q611">
        <v>2177.5</v>
      </c>
      <c r="R611" t="str">
        <v/>
      </c>
      <c r="S611">
        <v>38.7</v>
      </c>
      <c r="T611">
        <v>83.95</v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>
        <v>86</v>
      </c>
      <c r="AC611" t="str">
        <v>01/10/2026</v>
      </c>
      <c r="AD611" t="str">
        <v>15:30:39</v>
      </c>
      <c r="AE611">
        <f>IF("ONLINE"="NOGPS","GPS Antiguo","En línea")</f>
      </c>
      <c r="AF611">
        <f>IF(0=0,"Sin atender", IF(0=1,"Atendida","Atendida y Reportada"))</f>
      </c>
      <c r="AG611" t="str">
        <v/>
      </c>
      <c r="AH611" t="str">
        <v/>
      </c>
      <c r="AI611" t="str">
        <v/>
      </c>
      <c r="AJ611" t="str">
        <v/>
      </c>
      <c r="AK611" t="str">
        <v>01/10/2026 15:30:59</v>
      </c>
      <c r="AL611" t="str">
        <v>15:30:59</v>
      </c>
      <c r="AM611" t="str">
        <v/>
      </c>
    </row>
    <row r="612">
      <c r="A612">
        <v>611</v>
      </c>
      <c r="B612" t="str">
        <v>MASS BSF</v>
      </c>
      <c r="C612" t="str">
        <v>F8R-810</v>
      </c>
      <c r="D612" t="str">
        <v>F8R-810</v>
      </c>
      <c r="E612" t="str">
        <v/>
      </c>
      <c r="F612" t="str">
        <v>867806078868827</v>
      </c>
      <c r="G612" t="str">
        <v>TBD</v>
      </c>
      <c r="H612" t="str">
        <v/>
      </c>
      <c r="I612" t="str">
        <v/>
      </c>
      <c r="J612" t="str">
        <v>01/10/2026</v>
      </c>
      <c r="K612" t="str">
        <v>15:31:08</v>
      </c>
      <c r="L612">
        <v>-12.222063</v>
      </c>
      <c r="M612">
        <v>-76.97432</v>
      </c>
      <c r="N612">
        <f>HYPERLINK("https://www.google.com/maps/search/?api=1&amp;query=-12.222063,-76.97432","Avenida El Sol, Villa El Salvador, Lima")</f>
      </c>
      <c r="O612" t="str">
        <v>Bache</v>
      </c>
      <c r="P612" t="str">
        <v/>
      </c>
      <c r="Q612">
        <v>2177.8</v>
      </c>
      <c r="R612" t="str">
        <v/>
      </c>
      <c r="S612">
        <v>5</v>
      </c>
      <c r="T612">
        <v>83.95</v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>
        <v>86</v>
      </c>
      <c r="AC612" t="str">
        <v>01/10/2026</v>
      </c>
      <c r="AD612" t="str">
        <v>15:31:05</v>
      </c>
      <c r="AE612">
        <f>IF("ONLINE"="NOGPS","GPS Antiguo","En línea")</f>
      </c>
      <c r="AF612">
        <f>IF(0=0,"Sin atender", IF(0=1,"Atendida","Atendida y Reportada"))</f>
      </c>
      <c r="AG612" t="str">
        <v/>
      </c>
      <c r="AH612" t="str">
        <v/>
      </c>
      <c r="AI612" t="str">
        <v/>
      </c>
      <c r="AJ612" t="str">
        <v/>
      </c>
      <c r="AK612" t="str">
        <v>01/10/2026 15:31:18</v>
      </c>
      <c r="AL612" t="str">
        <v>15:31:18</v>
      </c>
      <c r="AM612" t="str">
        <v/>
      </c>
    </row>
    <row r="613">
      <c r="A613">
        <v>612</v>
      </c>
      <c r="B613" t="str">
        <v>MASS BSF</v>
      </c>
      <c r="C613" t="str">
        <v>F8R-810</v>
      </c>
      <c r="D613" t="str">
        <v>F8R-810</v>
      </c>
      <c r="E613" t="str">
        <v/>
      </c>
      <c r="F613" t="str">
        <v>867806078868827</v>
      </c>
      <c r="G613" t="str">
        <v>TBD</v>
      </c>
      <c r="H613" t="str">
        <v/>
      </c>
      <c r="I613" t="str">
        <v/>
      </c>
      <c r="J613" t="str">
        <v>01/10/2026</v>
      </c>
      <c r="K613" t="str">
        <v>15:31:09</v>
      </c>
      <c r="L613">
        <v>-12.222063</v>
      </c>
      <c r="M613">
        <v>-76.97432</v>
      </c>
      <c r="N613">
        <f>HYPERLINK("https://www.google.com/maps/search/?api=1&amp;query=-12.222063,-76.97432","Avenida El Sol, Villa El Salvador, Lima")</f>
      </c>
      <c r="O613" t="str">
        <v>Acelerado y giro brusco</v>
      </c>
      <c r="P613" t="str">
        <v/>
      </c>
      <c r="Q613">
        <v>2177.8</v>
      </c>
      <c r="R613" t="str">
        <v/>
      </c>
      <c r="S613">
        <v>5</v>
      </c>
      <c r="T613">
        <v>83.95</v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>
        <v>86</v>
      </c>
      <c r="AC613" t="str">
        <v>01/10/2026</v>
      </c>
      <c r="AD613" t="str">
        <v>15:31:05</v>
      </c>
      <c r="AE613">
        <f>IF("ONLINE"="NOGPS","GPS Antiguo","En línea")</f>
      </c>
      <c r="AF613">
        <f>IF(0=0,"Sin atender", IF(0=1,"Atendida","Atendida y Reportada"))</f>
      </c>
      <c r="AG613" t="str">
        <v/>
      </c>
      <c r="AH613" t="str">
        <v/>
      </c>
      <c r="AI613" t="str">
        <v/>
      </c>
      <c r="AJ613" t="str">
        <v/>
      </c>
      <c r="AK613" t="str">
        <v>01/10/2026 15:31:29</v>
      </c>
      <c r="AL613" t="str">
        <v>15:31:29</v>
      </c>
      <c r="AM613" t="str">
        <v/>
      </c>
    </row>
    <row r="614">
      <c r="A614">
        <v>613</v>
      </c>
      <c r="B614" t="str">
        <v>MASS BSF</v>
      </c>
      <c r="C614" t="str">
        <v>F8R-810</v>
      </c>
      <c r="D614" t="str">
        <v>F8R-810</v>
      </c>
      <c r="E614" t="str">
        <v/>
      </c>
      <c r="F614" t="str">
        <v>867806078868827</v>
      </c>
      <c r="G614" t="str">
        <v>TBD</v>
      </c>
      <c r="H614" t="str">
        <v/>
      </c>
      <c r="I614" t="str">
        <v/>
      </c>
      <c r="J614" t="str">
        <v>01/10/2026</v>
      </c>
      <c r="K614" t="str">
        <v>15:31:11</v>
      </c>
      <c r="L614">
        <v>-12.22209</v>
      </c>
      <c r="M614">
        <v>-76.97434</v>
      </c>
      <c r="N614">
        <f>HYPERLINK("https://www.google.com/maps/search/?api=1&amp;query=-12.22209,-76.97434","Avenida El Sol, Villa El Salvador, Lima")</f>
      </c>
      <c r="O614" t="str">
        <v>Bache</v>
      </c>
      <c r="P614" t="str">
        <v/>
      </c>
      <c r="Q614">
        <v>2177.8</v>
      </c>
      <c r="R614" t="str">
        <v/>
      </c>
      <c r="S614">
        <v>5</v>
      </c>
      <c r="T614">
        <v>83.95</v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>
        <v>86</v>
      </c>
      <c r="AC614" t="str">
        <v>01/10/2026</v>
      </c>
      <c r="AD614" t="str">
        <v>15:31:08</v>
      </c>
      <c r="AE614">
        <f>IF("ONLINE"="NOGPS","GPS Antiguo","En línea")</f>
      </c>
      <c r="AF614">
        <f>IF(0=0,"Sin atender", IF(0=1,"Atendida","Atendida y Reportada"))</f>
      </c>
      <c r="AG614" t="str">
        <v/>
      </c>
      <c r="AH614" t="str">
        <v/>
      </c>
      <c r="AI614" t="str">
        <v/>
      </c>
      <c r="AJ614" t="str">
        <v/>
      </c>
      <c r="AK614" t="str">
        <v>01/10/2026 15:31:29</v>
      </c>
      <c r="AL614" t="str">
        <v>15:31:29</v>
      </c>
      <c r="AM614" t="str">
        <v/>
      </c>
    </row>
    <row r="615">
      <c r="A615">
        <v>614</v>
      </c>
      <c r="B615" t="str">
        <v>MASS BSF</v>
      </c>
      <c r="C615" t="str">
        <v>F8R-810</v>
      </c>
      <c r="D615" t="str">
        <v>F8R-810</v>
      </c>
      <c r="E615" t="str">
        <v/>
      </c>
      <c r="F615" t="str">
        <v>867806078868827</v>
      </c>
      <c r="G615" t="str">
        <v>TBD</v>
      </c>
      <c r="H615" t="str">
        <v/>
      </c>
      <c r="I615" t="str">
        <v/>
      </c>
      <c r="J615" t="str">
        <v>01/10/2026</v>
      </c>
      <c r="K615" t="str">
        <v>15:31:13</v>
      </c>
      <c r="L615">
        <v>-12.222115</v>
      </c>
      <c r="M615">
        <v>-76.97437</v>
      </c>
      <c r="N615">
        <f>HYPERLINK("https://www.google.com/maps/search/?api=1&amp;query=-12.222115,-76.97437","Avenida El Sol, Villa El Salvador, Lima")</f>
      </c>
      <c r="O615" t="str">
        <v>Acelerado y giro brusco</v>
      </c>
      <c r="P615" t="str">
        <v/>
      </c>
      <c r="Q615">
        <v>2177.8</v>
      </c>
      <c r="R615" t="str">
        <v/>
      </c>
      <c r="S615">
        <v>9.2</v>
      </c>
      <c r="T615">
        <v>83.95</v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>
        <v>86</v>
      </c>
      <c r="AC615" t="str">
        <v>01/10/2026</v>
      </c>
      <c r="AD615" t="str">
        <v>15:31:10</v>
      </c>
      <c r="AE615">
        <f>IF("ONLINE"="NOGPS","GPS Antiguo","En línea")</f>
      </c>
      <c r="AF615">
        <f>IF(0=0,"Sin atender", IF(0=1,"Atendida","Atendida y Reportada"))</f>
      </c>
      <c r="AG615" t="str">
        <v/>
      </c>
      <c r="AH615" t="str">
        <v/>
      </c>
      <c r="AI615" t="str">
        <v/>
      </c>
      <c r="AJ615" t="str">
        <v/>
      </c>
      <c r="AK615" t="str">
        <v>01/10/2026 15:31:25</v>
      </c>
      <c r="AL615" t="str">
        <v>15:31:25</v>
      </c>
      <c r="AM615" t="str">
        <v/>
      </c>
    </row>
    <row r="616">
      <c r="A616">
        <v>615</v>
      </c>
      <c r="B616" t="str">
        <v>MASS BSF</v>
      </c>
      <c r="C616" t="str">
        <v>F8R-810</v>
      </c>
      <c r="D616" t="str">
        <v>F8R-810</v>
      </c>
      <c r="E616" t="str">
        <v/>
      </c>
      <c r="F616" t="str">
        <v>867806078868827</v>
      </c>
      <c r="G616" t="str">
        <v>TBD</v>
      </c>
      <c r="H616" t="str">
        <v/>
      </c>
      <c r="I616" t="str">
        <v/>
      </c>
      <c r="J616" t="str">
        <v>01/10/2026</v>
      </c>
      <c r="K616" t="str">
        <v>15:31:25</v>
      </c>
      <c r="L616">
        <v>-12.222078</v>
      </c>
      <c r="M616">
        <v>-76.97458</v>
      </c>
      <c r="N616">
        <f>HYPERLINK("https://www.google.com/maps/search/?api=1&amp;query=-12.222078,-76.97458","Antigua Panamericana Sur, Villa El Salvador, Lima")</f>
      </c>
      <c r="O616" t="str">
        <v>Ingreso a camino vecinal</v>
      </c>
      <c r="P616" t="str">
        <v/>
      </c>
      <c r="Q616">
        <v>2177.8</v>
      </c>
      <c r="R616" t="str">
        <v/>
      </c>
      <c r="S616">
        <v>10.5</v>
      </c>
      <c r="T616">
        <v>83.95</v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>
        <v>86</v>
      </c>
      <c r="AC616" t="str">
        <v>01/10/2026</v>
      </c>
      <c r="AD616" t="str">
        <v>15:31:21</v>
      </c>
      <c r="AE616">
        <f>IF("ONLINE"="NOGPS","GPS Antiguo","En línea")</f>
      </c>
      <c r="AF616">
        <f>IF(0=0,"Sin atender", IF(0=1,"Atendida","Atendida y Reportada"))</f>
      </c>
      <c r="AG616" t="str">
        <v/>
      </c>
      <c r="AH616" t="str">
        <v/>
      </c>
      <c r="AI616" t="str">
        <v/>
      </c>
      <c r="AJ616" t="str">
        <v/>
      </c>
      <c r="AK616" t="str">
        <v>01/10/2026 15:31:40</v>
      </c>
      <c r="AL616" t="str">
        <v>15:31:40</v>
      </c>
      <c r="AM616" t="str">
        <v/>
      </c>
    </row>
    <row r="617">
      <c r="A617">
        <v>616</v>
      </c>
      <c r="B617" t="str">
        <v>MASS BSF</v>
      </c>
      <c r="C617" t="str">
        <v>F8R-810</v>
      </c>
      <c r="D617" t="str">
        <v>F8R-810</v>
      </c>
      <c r="E617" t="str">
        <v/>
      </c>
      <c r="F617" t="str">
        <v>867806078868827</v>
      </c>
      <c r="G617" t="str">
        <v>TBD</v>
      </c>
      <c r="H617" t="str">
        <v/>
      </c>
      <c r="I617" t="str">
        <v/>
      </c>
      <c r="J617" t="str">
        <v>01/10/2026</v>
      </c>
      <c r="K617" t="str">
        <v>15:32:25</v>
      </c>
      <c r="L617">
        <v>-12.217901</v>
      </c>
      <c r="M617">
        <v>-76.9771</v>
      </c>
      <c r="N617">
        <f>HYPERLINK("https://www.google.com/maps/search/?api=1&amp;query=-12.217901,-76.9771","Carretera Panamericana Sur, Chorrillos, Lima")</f>
      </c>
      <c r="O617" t="str">
        <v>Salida de camino vecinal</v>
      </c>
      <c r="P617" t="str">
        <v/>
      </c>
      <c r="Q617">
        <v>2178.4</v>
      </c>
      <c r="R617" t="str">
        <v/>
      </c>
      <c r="S617">
        <v>41.6</v>
      </c>
      <c r="T617">
        <v>83.95</v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>
        <v>86</v>
      </c>
      <c r="AC617" t="str">
        <v>01/10/2026</v>
      </c>
      <c r="AD617" t="str">
        <v>15:32:22</v>
      </c>
      <c r="AE617">
        <f>IF("ONLINE"="NOGPS","GPS Antiguo","En línea")</f>
      </c>
      <c r="AF617">
        <f>IF(0=0,"Sin atender", IF(0=1,"Atendida","Atendida y Reportada"))</f>
      </c>
      <c r="AG617" t="str">
        <v/>
      </c>
      <c r="AH617" t="str">
        <v/>
      </c>
      <c r="AI617" t="str">
        <v/>
      </c>
      <c r="AJ617" t="str">
        <v/>
      </c>
      <c r="AK617" t="str">
        <v>01/10/2026 15:32:46</v>
      </c>
      <c r="AL617" t="str">
        <v>15:32:46</v>
      </c>
      <c r="AM617" t="str">
        <v/>
      </c>
    </row>
    <row r="618">
      <c r="A618">
        <v>617</v>
      </c>
      <c r="B618" t="str">
        <v>MASS BSF</v>
      </c>
      <c r="C618" t="str">
        <v>F8R-810</v>
      </c>
      <c r="D618" t="str">
        <v>F8R-810</v>
      </c>
      <c r="E618" t="str">
        <v/>
      </c>
      <c r="F618" t="str">
        <v>867806078868827</v>
      </c>
      <c r="G618" t="str">
        <v>TBD</v>
      </c>
      <c r="H618" t="str">
        <v/>
      </c>
      <c r="I618" t="str">
        <v/>
      </c>
      <c r="J618" t="str">
        <v>01/10/2026</v>
      </c>
      <c r="K618" t="str">
        <v>15:32:27</v>
      </c>
      <c r="L618">
        <v>-12.217895</v>
      </c>
      <c r="M618">
        <v>-76.9773</v>
      </c>
      <c r="N618">
        <f>HYPERLINK("https://www.google.com/maps/search/?api=1&amp;query=-12.217895,-76.9773","Avenida Caminos del Inca, Chorrillos, Lima")</f>
      </c>
      <c r="O618" t="str">
        <v>Aceleración brusca</v>
      </c>
      <c r="P618" t="str">
        <v>CMT-910</v>
      </c>
      <c r="Q618">
        <v>2178.5</v>
      </c>
      <c r="R618" t="str">
        <v/>
      </c>
      <c r="S618">
        <v>40.5</v>
      </c>
      <c r="T618">
        <v>83.95</v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>
        <v>86</v>
      </c>
      <c r="AC618" t="str">
        <v>01/10/2026</v>
      </c>
      <c r="AD618" t="str">
        <v>15:32:24</v>
      </c>
      <c r="AE618">
        <f>IF("ONLINE"="NOGPS","GPS Antiguo","En línea")</f>
      </c>
      <c r="AF618">
        <f>IF(0=0,"Sin atender", IF(0=1,"Atendida","Atendida y Reportada"))</f>
      </c>
      <c r="AG618" t="str">
        <v/>
      </c>
      <c r="AH618" t="str">
        <v/>
      </c>
      <c r="AI618" t="str">
        <v/>
      </c>
      <c r="AJ618" t="str">
        <v/>
      </c>
      <c r="AK618" t="str">
        <v>01/10/2026 15:32:46</v>
      </c>
      <c r="AL618" t="str">
        <v>15:32:46</v>
      </c>
      <c r="AM618" t="str">
        <v/>
      </c>
    </row>
    <row r="619">
      <c r="A619">
        <v>618</v>
      </c>
      <c r="B619" t="str">
        <v>MASS BSF</v>
      </c>
      <c r="C619" t="str">
        <v>F8R-810</v>
      </c>
      <c r="D619" t="str">
        <v>F8R-810</v>
      </c>
      <c r="E619" t="str">
        <v/>
      </c>
      <c r="F619" t="str">
        <v>867806078868827</v>
      </c>
      <c r="G619" t="str">
        <v>TBD</v>
      </c>
      <c r="H619" t="str">
        <v/>
      </c>
      <c r="I619" t="str">
        <v/>
      </c>
      <c r="J619" t="str">
        <v>01/10/2026</v>
      </c>
      <c r="K619" t="str">
        <v>15:32:52</v>
      </c>
      <c r="L619">
        <v>-12.217691</v>
      </c>
      <c r="M619">
        <v>-76.97889</v>
      </c>
      <c r="N619">
        <f>HYPERLINK("https://www.google.com/maps/search/?api=1&amp;query=-12.217691,-76.97889","Avenida Caminos del Inca, Chorrillos, Lima")</f>
      </c>
      <c r="O619" t="str">
        <v>Acelerado y giro brusco</v>
      </c>
      <c r="P619" t="str">
        <v/>
      </c>
      <c r="Q619">
        <v>2178.6</v>
      </c>
      <c r="R619" t="str">
        <v/>
      </c>
      <c r="S619">
        <v>44.8</v>
      </c>
      <c r="T619">
        <v>83.95</v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>
        <v>86</v>
      </c>
      <c r="AC619" t="str">
        <v>01/10/2026</v>
      </c>
      <c r="AD619" t="str">
        <v>15:32:48</v>
      </c>
      <c r="AE619">
        <f>IF("ONLINE"="NOGPS","GPS Antiguo","En línea")</f>
      </c>
      <c r="AF619">
        <f>IF(0=0,"Sin atender", IF(0=1,"Atendida","Atendida y Reportada"))</f>
      </c>
      <c r="AG619" t="str">
        <v/>
      </c>
      <c r="AH619" t="str">
        <v/>
      </c>
      <c r="AI619" t="str">
        <v/>
      </c>
      <c r="AJ619" t="str">
        <v/>
      </c>
      <c r="AK619" t="str">
        <v>01/10/2026 15:33:13</v>
      </c>
      <c r="AL619" t="str">
        <v>15:33:13</v>
      </c>
      <c r="AM619" t="str">
        <v/>
      </c>
    </row>
    <row r="620">
      <c r="A620">
        <v>619</v>
      </c>
      <c r="B620" t="str">
        <v>MASS BSF</v>
      </c>
      <c r="C620" t="str">
        <v>F8R-810</v>
      </c>
      <c r="D620" t="str">
        <v>F8R-810</v>
      </c>
      <c r="E620" t="str">
        <v/>
      </c>
      <c r="F620" t="str">
        <v>867806078868827</v>
      </c>
      <c r="G620" t="str">
        <v>TBD</v>
      </c>
      <c r="H620" t="str">
        <v/>
      </c>
      <c r="I620" t="str">
        <v/>
      </c>
      <c r="J620" t="str">
        <v>01/10/2026</v>
      </c>
      <c r="K620" t="str">
        <v>15:33:07</v>
      </c>
      <c r="L620">
        <v>-12.21641</v>
      </c>
      <c r="M620">
        <v>-76.98035</v>
      </c>
      <c r="N620">
        <f>HYPERLINK("https://www.google.com/maps/search/?api=1&amp;query=-12.21641,-76.98035","Avenida Caminos del Inca, Chorrillos, Lima")</f>
      </c>
      <c r="O620" t="str">
        <v>Acelerado y giro brusco</v>
      </c>
      <c r="P620" t="str">
        <v/>
      </c>
      <c r="Q620">
        <v>2178.9</v>
      </c>
      <c r="R620" t="str">
        <v/>
      </c>
      <c r="S620">
        <v>40.5</v>
      </c>
      <c r="T620">
        <v>83.95</v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>
        <v>86</v>
      </c>
      <c r="AC620" t="str">
        <v>01/10/2026</v>
      </c>
      <c r="AD620" t="str">
        <v>15:33:04</v>
      </c>
      <c r="AE620">
        <f>IF("ONLINE"="NOGPS","GPS Antiguo","En línea")</f>
      </c>
      <c r="AF620">
        <f>IF(0=0,"Sin atender", IF(0=1,"Atendida","Atendida y Reportada"))</f>
      </c>
      <c r="AG620" t="str">
        <v/>
      </c>
      <c r="AH620" t="str">
        <v/>
      </c>
      <c r="AI620" t="str">
        <v/>
      </c>
      <c r="AJ620" t="str">
        <v/>
      </c>
      <c r="AK620" t="str">
        <v>01/10/2026 15:33:19</v>
      </c>
      <c r="AL620" t="str">
        <v>15:33:19</v>
      </c>
      <c r="AM620" t="str">
        <v/>
      </c>
    </row>
    <row r="621">
      <c r="A621">
        <v>620</v>
      </c>
      <c r="B621" t="str">
        <v>MASS BSF</v>
      </c>
      <c r="C621" t="str">
        <v>F8R-810</v>
      </c>
      <c r="D621" t="str">
        <v>F8R-810</v>
      </c>
      <c r="E621" t="str">
        <v/>
      </c>
      <c r="F621" t="str">
        <v>867806078868827</v>
      </c>
      <c r="G621" t="str">
        <v>TBD</v>
      </c>
      <c r="H621" t="str">
        <v/>
      </c>
      <c r="I621" t="str">
        <v/>
      </c>
      <c r="J621" t="str">
        <v>01/10/2026</v>
      </c>
      <c r="K621" t="str">
        <v>15:33:18</v>
      </c>
      <c r="L621">
        <v>-12.215841</v>
      </c>
      <c r="M621">
        <v>-76.98086</v>
      </c>
      <c r="N621">
        <f>HYPERLINK("https://www.google.com/maps/search/?api=1&amp;query=-12.215841,-76.98086","Avenida Caminos del Inca, Chorrillos, Lima")</f>
      </c>
      <c r="O621" t="str">
        <v>Aceleración brusca</v>
      </c>
      <c r="P621" t="str">
        <v>CMT-910</v>
      </c>
      <c r="Q621">
        <v>2178.9</v>
      </c>
      <c r="R621" t="str">
        <v/>
      </c>
      <c r="S621">
        <v>22</v>
      </c>
      <c r="T621">
        <v>83.95</v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>
        <v>86</v>
      </c>
      <c r="AC621" t="str">
        <v>01/10/2026</v>
      </c>
      <c r="AD621" t="str">
        <v>15:33:15</v>
      </c>
      <c r="AE621">
        <f>IF("ONLINE"="NOGPS","GPS Antiguo","En línea")</f>
      </c>
      <c r="AF621">
        <f>IF(0=0,"Sin atender", IF(0=1,"Atendida","Atendida y Reportada"))</f>
      </c>
      <c r="AG621" t="str">
        <v/>
      </c>
      <c r="AH621" t="str">
        <v/>
      </c>
      <c r="AI621" t="str">
        <v/>
      </c>
      <c r="AJ621" t="str">
        <v/>
      </c>
      <c r="AK621" t="str">
        <v>01/10/2026 15:33:30</v>
      </c>
      <c r="AL621" t="str">
        <v>15:33:30</v>
      </c>
      <c r="AM621" t="str">
        <v/>
      </c>
    </row>
    <row r="622">
      <c r="A622">
        <v>621</v>
      </c>
      <c r="B622" t="str">
        <v>MASS BSF</v>
      </c>
      <c r="C622" t="str">
        <v>F8R-810</v>
      </c>
      <c r="D622" t="str">
        <v>F8R-810</v>
      </c>
      <c r="E622" t="str">
        <v/>
      </c>
      <c r="F622" t="str">
        <v>867806078868827</v>
      </c>
      <c r="G622" t="str">
        <v>TBD</v>
      </c>
      <c r="H622" t="str">
        <v/>
      </c>
      <c r="I622" t="str">
        <v/>
      </c>
      <c r="J622" t="str">
        <v>01/10/2026</v>
      </c>
      <c r="K622" t="str">
        <v>15:33:37</v>
      </c>
      <c r="L622">
        <v>-12.215993</v>
      </c>
      <c r="M622">
        <v>-76.98101</v>
      </c>
      <c r="N622">
        <f>HYPERLINK("https://www.google.com/maps/search/?api=1&amp;query=-12.215993,-76.98101","Prolongación Huaylas, Chorrillos, Lima")</f>
      </c>
      <c r="O622" t="str">
        <v>Acelerado y giro brusco</v>
      </c>
      <c r="P622" t="str">
        <v/>
      </c>
      <c r="Q622">
        <v>2179</v>
      </c>
      <c r="R622" t="str">
        <v/>
      </c>
      <c r="S622">
        <v>23.5</v>
      </c>
      <c r="T622">
        <v>83.95</v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>
        <v>86</v>
      </c>
      <c r="AC622" t="str">
        <v>01/10/2026</v>
      </c>
      <c r="AD622" t="str">
        <v>15:33:33</v>
      </c>
      <c r="AE622">
        <f>IF("ONLINE"="NOGPS","GPS Antiguo","En línea")</f>
      </c>
      <c r="AF622">
        <f>IF(0=0,"Sin atender", IF(0=1,"Atendida","Atendida y Reportada"))</f>
      </c>
      <c r="AG622" t="str">
        <v/>
      </c>
      <c r="AH622" t="str">
        <v/>
      </c>
      <c r="AI622" t="str">
        <v/>
      </c>
      <c r="AJ622" t="str">
        <v/>
      </c>
      <c r="AK622" t="str">
        <v>01/10/2026 15:33:51</v>
      </c>
      <c r="AL622" t="str">
        <v>15:33:51</v>
      </c>
      <c r="AM622" t="str">
        <v/>
      </c>
    </row>
    <row r="623">
      <c r="A623">
        <v>622</v>
      </c>
      <c r="B623" t="str">
        <v>MASS BSF</v>
      </c>
      <c r="C623" t="str">
        <v>F8R-810</v>
      </c>
      <c r="D623" t="str">
        <v>F8R-810</v>
      </c>
      <c r="E623" t="str">
        <v/>
      </c>
      <c r="F623" t="str">
        <v>867806078868827</v>
      </c>
      <c r="G623" t="str">
        <v>TBD</v>
      </c>
      <c r="H623" t="str">
        <v/>
      </c>
      <c r="I623" t="str">
        <v/>
      </c>
      <c r="J623" t="str">
        <v>01/10/2026</v>
      </c>
      <c r="K623" t="str">
        <v>15:33:43</v>
      </c>
      <c r="L623">
        <v>-12.216271</v>
      </c>
      <c r="M623">
        <v>-76.980606</v>
      </c>
      <c r="N623">
        <f>HYPERLINK("https://www.google.com/maps/search/?api=1&amp;query=-12.216271,-76.980606","Avenida Caminos del Inca, Chorrillos, Lima")</f>
      </c>
      <c r="O623" t="str">
        <v>Acelerado y giro brusco</v>
      </c>
      <c r="P623" t="str">
        <v/>
      </c>
      <c r="Q623">
        <v>2179.1</v>
      </c>
      <c r="R623" t="str">
        <v/>
      </c>
      <c r="S623">
        <v>32.5</v>
      </c>
      <c r="T623">
        <v>83.95</v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>
        <v>86</v>
      </c>
      <c r="AC623" t="str">
        <v>01/10/2026</v>
      </c>
      <c r="AD623" t="str">
        <v>15:33:40</v>
      </c>
      <c r="AE623">
        <f>IF("ONLINE"="NOGPS","GPS Antiguo","En línea")</f>
      </c>
      <c r="AF623">
        <f>IF(0=0,"Sin atender", IF(0=1,"Atendida","Atendida y Reportada"))</f>
      </c>
      <c r="AG623" t="str">
        <v/>
      </c>
      <c r="AH623" t="str">
        <v/>
      </c>
      <c r="AI623" t="str">
        <v/>
      </c>
      <c r="AJ623" t="str">
        <v/>
      </c>
      <c r="AK623" t="str">
        <v>01/10/2026 15:33:52</v>
      </c>
      <c r="AL623" t="str">
        <v>15:33:52</v>
      </c>
      <c r="AM623" t="str">
        <v/>
      </c>
    </row>
    <row r="624">
      <c r="A624">
        <v>623</v>
      </c>
      <c r="B624" t="str">
        <v>MASS BSF</v>
      </c>
      <c r="C624" t="str">
        <v>F8R-810</v>
      </c>
      <c r="D624" t="str">
        <v>F8R-810</v>
      </c>
      <c r="E624" t="str">
        <v/>
      </c>
      <c r="F624" t="str">
        <v>867806078868827</v>
      </c>
      <c r="G624" t="str">
        <v>TBD</v>
      </c>
      <c r="H624" t="str">
        <v/>
      </c>
      <c r="I624" t="str">
        <v/>
      </c>
      <c r="J624" t="str">
        <v>01/10/2026</v>
      </c>
      <c r="K624" t="str">
        <v>15:34:02</v>
      </c>
      <c r="L624">
        <v>-12.217393</v>
      </c>
      <c r="M624">
        <v>-76.979485</v>
      </c>
      <c r="N624">
        <f>HYPERLINK("https://www.google.com/maps/search/?api=1&amp;query=-12.217393,-76.979485","Avenida Caminos del Inca, Chorrillos, Lima")</f>
      </c>
      <c r="O624" t="str">
        <v>Aceleración brusca</v>
      </c>
      <c r="P624" t="str">
        <v>CMT-910</v>
      </c>
      <c r="Q624">
        <v>2179.2</v>
      </c>
      <c r="R624" t="str">
        <v/>
      </c>
      <c r="S624">
        <v>34.2</v>
      </c>
      <c r="T624">
        <v>83.95</v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>
        <v>86</v>
      </c>
      <c r="AC624" t="str">
        <v>01/10/2026</v>
      </c>
      <c r="AD624" t="str">
        <v>15:33:58</v>
      </c>
      <c r="AE624">
        <f>IF("ONLINE"="NOGPS","GPS Antiguo","En línea")</f>
      </c>
      <c r="AF624">
        <f>IF(0=0,"Sin atender", IF(0=1,"Atendida","Atendida y Reportada"))</f>
      </c>
      <c r="AG624" t="str">
        <v/>
      </c>
      <c r="AH624" t="str">
        <v/>
      </c>
      <c r="AI624" t="str">
        <v/>
      </c>
      <c r="AJ624" t="str">
        <v/>
      </c>
      <c r="AK624" t="str">
        <v>01/10/2026 15:34:24</v>
      </c>
      <c r="AL624" t="str">
        <v>15:34:24</v>
      </c>
      <c r="AM624" t="str">
        <v/>
      </c>
    </row>
    <row r="625">
      <c r="A625">
        <v>624</v>
      </c>
      <c r="B625" t="str">
        <v>MASS BSF</v>
      </c>
      <c r="C625" t="str">
        <v>F8R-810</v>
      </c>
      <c r="D625" t="str">
        <v>F8R-810</v>
      </c>
      <c r="E625" t="str">
        <v/>
      </c>
      <c r="F625" t="str">
        <v>867806078868827</v>
      </c>
      <c r="G625" t="str">
        <v>TBD</v>
      </c>
      <c r="H625" t="str">
        <v/>
      </c>
      <c r="I625" t="str">
        <v/>
      </c>
      <c r="J625" t="str">
        <v>01/10/2026</v>
      </c>
      <c r="K625" t="str">
        <v>15:34:13</v>
      </c>
      <c r="L625">
        <v>-12.218023</v>
      </c>
      <c r="M625">
        <v>-76.97864</v>
      </c>
      <c r="N625">
        <f>HYPERLINK("https://www.google.com/maps/search/?api=1&amp;query=-12.218023,-76.97864","Avenida Caminos del Inca, Chorrillos, Lima")</f>
      </c>
      <c r="O625" t="str">
        <v>Acelerado y giro brusco</v>
      </c>
      <c r="P625" t="str">
        <v/>
      </c>
      <c r="Q625">
        <v>2179.4</v>
      </c>
      <c r="R625" t="str">
        <v/>
      </c>
      <c r="S625">
        <v>36.4</v>
      </c>
      <c r="T625">
        <v>83.95</v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>
        <v>86</v>
      </c>
      <c r="AC625" t="str">
        <v>01/10/2026</v>
      </c>
      <c r="AD625" t="str">
        <v>15:34:10</v>
      </c>
      <c r="AE625">
        <f>IF("ONLINE"="NOGPS","GPS Antiguo","En línea")</f>
      </c>
      <c r="AF625">
        <f>IF(0=0,"Sin atender", IF(0=1,"Atendida","Atendida y Reportada"))</f>
      </c>
      <c r="AG625" t="str">
        <v/>
      </c>
      <c r="AH625" t="str">
        <v/>
      </c>
      <c r="AI625" t="str">
        <v/>
      </c>
      <c r="AJ625" t="str">
        <v/>
      </c>
      <c r="AK625" t="str">
        <v>01/10/2026 15:34:26</v>
      </c>
      <c r="AL625" t="str">
        <v>15:34:26</v>
      </c>
      <c r="AM625" t="str">
        <v/>
      </c>
    </row>
    <row r="626">
      <c r="A626">
        <v>625</v>
      </c>
      <c r="B626" t="str">
        <v>MASS BSF</v>
      </c>
      <c r="C626" t="str">
        <v>F8R-810</v>
      </c>
      <c r="D626" t="str">
        <v>F8R-810</v>
      </c>
      <c r="E626" t="str">
        <v/>
      </c>
      <c r="F626" t="str">
        <v>867806078868827</v>
      </c>
      <c r="G626" t="str">
        <v>TBD</v>
      </c>
      <c r="H626" t="str">
        <v/>
      </c>
      <c r="I626" t="str">
        <v/>
      </c>
      <c r="J626" t="str">
        <v>01/10/2026</v>
      </c>
      <c r="K626" t="str">
        <v>15:34:21</v>
      </c>
      <c r="L626">
        <v>-12.218567</v>
      </c>
      <c r="M626">
        <v>-76.9781</v>
      </c>
      <c r="N626">
        <f>HYPERLINK("https://www.google.com/maps/search/?api=1&amp;query=-12.218567,-76.9781","Chorrillos, Lima")</f>
      </c>
      <c r="O626" t="str">
        <v>Aceleración brusca</v>
      </c>
      <c r="P626" t="str">
        <v>CMT-910</v>
      </c>
      <c r="Q626">
        <v>2179.4</v>
      </c>
      <c r="R626" t="str">
        <v/>
      </c>
      <c r="S626">
        <v>38.3</v>
      </c>
      <c r="T626">
        <v>83.95</v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>
        <v>86</v>
      </c>
      <c r="AC626" t="str">
        <v>01/10/2026</v>
      </c>
      <c r="AD626" t="str">
        <v>15:34:18</v>
      </c>
      <c r="AE626">
        <f>IF("ONLINE"="NOGPS","GPS Antiguo","En línea")</f>
      </c>
      <c r="AF626">
        <f>IF(0=0,"Sin atender", IF(0=1,"Atendida","Atendida y Reportada"))</f>
      </c>
      <c r="AG626" t="str">
        <v/>
      </c>
      <c r="AH626" t="str">
        <v/>
      </c>
      <c r="AI626" t="str">
        <v/>
      </c>
      <c r="AJ626" t="str">
        <v/>
      </c>
      <c r="AK626" t="str">
        <v>01/10/2026 15:34:28</v>
      </c>
      <c r="AL626" t="str">
        <v>15:34:28</v>
      </c>
      <c r="AM626" t="str">
        <v/>
      </c>
    </row>
    <row r="627">
      <c r="A627">
        <v>626</v>
      </c>
      <c r="B627" t="str">
        <v>MASS BSF</v>
      </c>
      <c r="C627" t="str">
        <v>F8R-810</v>
      </c>
      <c r="D627" t="str">
        <v>F8R-810</v>
      </c>
      <c r="E627" t="str">
        <v/>
      </c>
      <c r="F627" t="str">
        <v>867806078868827</v>
      </c>
      <c r="G627" t="str">
        <v>TBD</v>
      </c>
      <c r="H627" t="str">
        <v/>
      </c>
      <c r="I627" t="str">
        <v/>
      </c>
      <c r="J627" t="str">
        <v>01/10/2026</v>
      </c>
      <c r="K627" t="str">
        <v>15:34:36</v>
      </c>
      <c r="L627">
        <v>-12.22006</v>
      </c>
      <c r="M627">
        <v>-76.97695</v>
      </c>
      <c r="N627">
        <f>HYPERLINK("https://www.google.com/maps/search/?api=1&amp;query=-12.22006,-76.97695","Carretera Panamericana Sur, Chorrillos, Lima")</f>
      </c>
      <c r="O627" t="str">
        <v>Acelerado y giro brusco</v>
      </c>
      <c r="P627" t="str">
        <v/>
      </c>
      <c r="Q627">
        <v>2179.6</v>
      </c>
      <c r="R627" t="str">
        <v/>
      </c>
      <c r="S627">
        <v>55.3</v>
      </c>
      <c r="T627">
        <v>83.95</v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>
        <v>86</v>
      </c>
      <c r="AC627" t="str">
        <v>01/10/2026</v>
      </c>
      <c r="AD627" t="str">
        <v>15:34:33</v>
      </c>
      <c r="AE627">
        <f>IF("ONLINE"="NOGPS","GPS Antiguo","En línea")</f>
      </c>
      <c r="AF627">
        <f>IF(0=0,"Sin atender", IF(0=1,"Atendida","Atendida y Reportada"))</f>
      </c>
      <c r="AG627" t="str">
        <v/>
      </c>
      <c r="AH627" t="str">
        <v/>
      </c>
      <c r="AI627" t="str">
        <v/>
      </c>
      <c r="AJ627" t="str">
        <v/>
      </c>
      <c r="AK627" t="str">
        <v>01/10/2026 15:34:47</v>
      </c>
      <c r="AL627" t="str">
        <v>15:34:47</v>
      </c>
      <c r="AM627" t="str">
        <v/>
      </c>
    </row>
    <row r="628">
      <c r="A628">
        <v>627</v>
      </c>
      <c r="B628" t="str">
        <v>MASS BSF</v>
      </c>
      <c r="C628" t="str">
        <v>F8R-810</v>
      </c>
      <c r="D628" t="str">
        <v>F8R-810</v>
      </c>
      <c r="E628" t="str">
        <v/>
      </c>
      <c r="F628" t="str">
        <v>867806078868827</v>
      </c>
      <c r="G628" t="str">
        <v>TBD</v>
      </c>
      <c r="H628" t="str">
        <v/>
      </c>
      <c r="I628" t="str">
        <v/>
      </c>
      <c r="J628" t="str">
        <v>01/10/2026</v>
      </c>
      <c r="K628" t="str">
        <v>15:34:45</v>
      </c>
      <c r="L628">
        <v>-12.220923</v>
      </c>
      <c r="M628">
        <v>-76.97627</v>
      </c>
      <c r="N628">
        <f>HYPERLINK("https://www.google.com/maps/search/?api=1&amp;query=-12.220923,-76.97627","Carretera Panamericana Sur, Chorrillos, Lima")</f>
      </c>
      <c r="O628" t="str">
        <v>Acelerado y giro brusco</v>
      </c>
      <c r="P628" t="str">
        <v/>
      </c>
      <c r="Q628">
        <v>2179.8</v>
      </c>
      <c r="R628" t="str">
        <v/>
      </c>
      <c r="S628">
        <v>54.6</v>
      </c>
      <c r="T628">
        <v>83.95</v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>
        <v>86</v>
      </c>
      <c r="AC628" t="str">
        <v>01/10/2026</v>
      </c>
      <c r="AD628" t="str">
        <v>15:34:41</v>
      </c>
      <c r="AE628">
        <f>IF("ONLINE"="NOGPS","GPS Antiguo","En línea")</f>
      </c>
      <c r="AF628">
        <f>IF(0=0,"Sin atender", IF(0=1,"Atendida","Atendida y Reportada"))</f>
      </c>
      <c r="AG628" t="str">
        <v/>
      </c>
      <c r="AH628" t="str">
        <v/>
      </c>
      <c r="AI628" t="str">
        <v/>
      </c>
      <c r="AJ628" t="str">
        <v/>
      </c>
      <c r="AK628" t="str">
        <v>01/10/2026 15:34:59</v>
      </c>
      <c r="AL628" t="str">
        <v>15:34:59</v>
      </c>
      <c r="AM628" t="str">
        <v/>
      </c>
    </row>
    <row r="629">
      <c r="A629">
        <v>628</v>
      </c>
      <c r="B629" t="str">
        <v>MASS BSF</v>
      </c>
      <c r="C629" t="str">
        <v>F8R-810</v>
      </c>
      <c r="D629" t="str">
        <v>F8R-810</v>
      </c>
      <c r="E629" t="str">
        <v/>
      </c>
      <c r="F629" t="str">
        <v>867806078868827</v>
      </c>
      <c r="G629" t="str">
        <v>TBD</v>
      </c>
      <c r="H629" t="str">
        <v/>
      </c>
      <c r="I629" t="str">
        <v/>
      </c>
      <c r="J629" t="str">
        <v>01/10/2026</v>
      </c>
      <c r="K629" t="str">
        <v>15:35:48</v>
      </c>
      <c r="L629">
        <v>-12.226343</v>
      </c>
      <c r="M629">
        <v>-76.97089</v>
      </c>
      <c r="N629">
        <f>HYPERLINK("https://www.google.com/maps/search/?api=1&amp;query=-12.226343,-76.97089","Carretera Panamericana Sur, Villa El Salvador, Lima")</f>
      </c>
      <c r="O629" t="str">
        <v>Acelerado y giro brusco</v>
      </c>
      <c r="P629" t="str">
        <v/>
      </c>
      <c r="Q629">
        <v>2180.6</v>
      </c>
      <c r="R629" t="str">
        <v/>
      </c>
      <c r="S629">
        <v>22</v>
      </c>
      <c r="T629">
        <v>83.95</v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>
        <v>86</v>
      </c>
      <c r="AC629" t="str">
        <v>01/10/2026</v>
      </c>
      <c r="AD629" t="str">
        <v>15:35:45</v>
      </c>
      <c r="AE629">
        <f>IF("ONLINE"="NOGPS","GPS Antiguo","En línea")</f>
      </c>
      <c r="AF629">
        <f>IF(0=0,"Sin atender", IF(0=1,"Atendida","Atendida y Reportada"))</f>
      </c>
      <c r="AG629" t="str">
        <v/>
      </c>
      <c r="AH629" t="str">
        <v/>
      </c>
      <c r="AI629" t="str">
        <v/>
      </c>
      <c r="AJ629" t="str">
        <v/>
      </c>
      <c r="AK629" t="str">
        <v>01/10/2026 15:36:18</v>
      </c>
      <c r="AL629" t="str">
        <v>15:36:18</v>
      </c>
      <c r="AM629" t="str">
        <v/>
      </c>
    </row>
    <row r="630">
      <c r="A630">
        <v>629</v>
      </c>
      <c r="B630" t="str">
        <v>MASS BSF</v>
      </c>
      <c r="C630" t="str">
        <v>F8R-810</v>
      </c>
      <c r="D630" t="str">
        <v>F8R-810</v>
      </c>
      <c r="E630" t="str">
        <v/>
      </c>
      <c r="F630" t="str">
        <v>867806078868827</v>
      </c>
      <c r="G630" t="str">
        <v>TBD</v>
      </c>
      <c r="H630" t="str">
        <v/>
      </c>
      <c r="I630" t="str">
        <v/>
      </c>
      <c r="J630" t="str">
        <v>01/10/2026</v>
      </c>
      <c r="K630" t="str">
        <v>15:36:06</v>
      </c>
      <c r="L630">
        <v>-12.227253</v>
      </c>
      <c r="M630">
        <v>-76.96994</v>
      </c>
      <c r="N630">
        <f>HYPERLINK("https://www.google.com/maps/search/?api=1&amp;query=-12.227253,-76.96994","Carretera Panamericana Sur, Villa El Salvador, Lima")</f>
      </c>
      <c r="O630" t="str">
        <v>Acelerado y giro brusco</v>
      </c>
      <c r="P630" t="str">
        <v/>
      </c>
      <c r="Q630">
        <v>2180.7</v>
      </c>
      <c r="R630" t="str">
        <v/>
      </c>
      <c r="S630">
        <v>40.1</v>
      </c>
      <c r="T630">
        <v>83.95</v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>
        <v>86</v>
      </c>
      <c r="AC630" t="str">
        <v>01/10/2026</v>
      </c>
      <c r="AD630" t="str">
        <v>15:36:03</v>
      </c>
      <c r="AE630">
        <f>IF("ONLINE"="NOGPS","GPS Antiguo","En línea")</f>
      </c>
      <c r="AF630">
        <f>IF(0=0,"Sin atender", IF(0=1,"Atendida","Atendida y Reportada"))</f>
      </c>
      <c r="AG630" t="str">
        <v/>
      </c>
      <c r="AH630" t="str">
        <v/>
      </c>
      <c r="AI630" t="str">
        <v/>
      </c>
      <c r="AJ630" t="str">
        <v/>
      </c>
      <c r="AK630" t="str">
        <v>01/10/2026 15:36:18</v>
      </c>
      <c r="AL630" t="str">
        <v>15:36:18</v>
      </c>
      <c r="AM630" t="str">
        <v/>
      </c>
    </row>
    <row r="631">
      <c r="A631">
        <v>630</v>
      </c>
      <c r="B631" t="str">
        <v>MASS BSF</v>
      </c>
      <c r="C631" t="str">
        <v>F8R-810</v>
      </c>
      <c r="D631" t="str">
        <v>F8R-810</v>
      </c>
      <c r="E631" t="str">
        <v/>
      </c>
      <c r="F631" t="str">
        <v>867806078868827</v>
      </c>
      <c r="G631" t="str">
        <v>TBD</v>
      </c>
      <c r="H631" t="str">
        <v/>
      </c>
      <c r="I631" t="str">
        <v/>
      </c>
      <c r="J631" t="str">
        <v>01/10/2026</v>
      </c>
      <c r="K631" t="str">
        <v>15:36:41</v>
      </c>
      <c r="L631">
        <v>-12.230186</v>
      </c>
      <c r="M631">
        <v>-76.96707</v>
      </c>
      <c r="N631">
        <f>HYPERLINK("https://www.google.com/maps/search/?api=1&amp;query=-12.230186,-76.96707","Carretera Panamericana Sur, Villa El Salvador, Lima")</f>
      </c>
      <c r="O631" t="str">
        <v>Acelerado y giro brusco</v>
      </c>
      <c r="P631" t="str">
        <v/>
      </c>
      <c r="Q631">
        <v>2181.2</v>
      </c>
      <c r="R631" t="str">
        <v/>
      </c>
      <c r="S631">
        <v>58.1</v>
      </c>
      <c r="T631">
        <v>83.95</v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>
        <v>86</v>
      </c>
      <c r="AC631" t="str">
        <v>01/10/2026</v>
      </c>
      <c r="AD631" t="str">
        <v>15:36:38</v>
      </c>
      <c r="AE631">
        <f>IF("ONLINE"="NOGPS","GPS Antiguo","En línea")</f>
      </c>
      <c r="AF631">
        <f>IF(0=0,"Sin atender", IF(0=1,"Atendida","Atendida y Reportada"))</f>
      </c>
      <c r="AG631" t="str">
        <v/>
      </c>
      <c r="AH631" t="str">
        <v/>
      </c>
      <c r="AI631" t="str">
        <v/>
      </c>
      <c r="AJ631" t="str">
        <v/>
      </c>
      <c r="AK631" t="str">
        <v>01/10/2026 15:36:50</v>
      </c>
      <c r="AL631" t="str">
        <v>15:36:50</v>
      </c>
      <c r="AM631" t="str">
        <v/>
      </c>
    </row>
    <row r="632">
      <c r="A632">
        <v>631</v>
      </c>
      <c r="B632" t="str">
        <v>MASS BSF</v>
      </c>
      <c r="C632" t="str">
        <v>F8R-810</v>
      </c>
      <c r="D632" t="str">
        <v>F8R-810</v>
      </c>
      <c r="E632" t="str">
        <v/>
      </c>
      <c r="F632" t="str">
        <v>867806078868827</v>
      </c>
      <c r="G632" t="str">
        <v>TBD</v>
      </c>
      <c r="H632" t="str">
        <v/>
      </c>
      <c r="I632" t="str">
        <v/>
      </c>
      <c r="J632" t="str">
        <v>01/10/2026</v>
      </c>
      <c r="K632" t="str">
        <v>15:37:24</v>
      </c>
      <c r="L632">
        <v>-12.233747</v>
      </c>
      <c r="M632">
        <v>-76.960815</v>
      </c>
      <c r="N632">
        <f>HYPERLINK("https://www.google.com/maps/search/?api=1&amp;query=-12.233747,-76.960815","Carretera Panamericana Sur, Villa El Salvador, Lima")</f>
      </c>
      <c r="O632" t="str">
        <v>Acelerado y giro brusco</v>
      </c>
      <c r="P632" t="str">
        <v/>
      </c>
      <c r="Q632">
        <v>2182</v>
      </c>
      <c r="R632" t="str">
        <v/>
      </c>
      <c r="S632">
        <v>69.4</v>
      </c>
      <c r="T632">
        <v>83.95</v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>
        <v>86</v>
      </c>
      <c r="AC632" t="str">
        <v>01/10/2026</v>
      </c>
      <c r="AD632" t="str">
        <v>15:37:20</v>
      </c>
      <c r="AE632">
        <f>IF("ONLINE"="NOGPS","GPS Antiguo","En línea")</f>
      </c>
      <c r="AF632">
        <f>IF(0=0,"Sin atender", IF(0=1,"Atendida","Atendida y Reportada"))</f>
      </c>
      <c r="AG632" t="str">
        <v/>
      </c>
      <c r="AH632" t="str">
        <v/>
      </c>
      <c r="AI632" t="str">
        <v/>
      </c>
      <c r="AJ632" t="str">
        <v/>
      </c>
      <c r="AK632" t="str">
        <v>01/10/2026 15:37:26</v>
      </c>
      <c r="AL632" t="str">
        <v>15:37:26</v>
      </c>
      <c r="AM632" t="str">
        <v/>
      </c>
    </row>
    <row r="633">
      <c r="A633">
        <v>632</v>
      </c>
      <c r="B633" t="str">
        <v>MASS BSF</v>
      </c>
      <c r="C633" t="str">
        <v>F8R-810</v>
      </c>
      <c r="D633" t="str">
        <v>F8R-810</v>
      </c>
      <c r="E633" t="str">
        <v/>
      </c>
      <c r="F633" t="str">
        <v>867806078868827</v>
      </c>
      <c r="G633" t="str">
        <v>TBD</v>
      </c>
      <c r="H633" t="str">
        <v/>
      </c>
      <c r="I633" t="str">
        <v/>
      </c>
      <c r="J633" t="str">
        <v>01/10/2026</v>
      </c>
      <c r="K633" t="str">
        <v>15:38:48</v>
      </c>
      <c r="L633">
        <v>-12.240528</v>
      </c>
      <c r="M633">
        <v>-76.94781</v>
      </c>
      <c r="N633">
        <f>HYPERLINK("https://www.google.com/maps/search/?api=1&amp;query=-12.240528,-76.94781","Carretera Panamericana Sur, Villa El Salvador, Lima")</f>
      </c>
      <c r="O633" t="str">
        <v>Aceleración brusca</v>
      </c>
      <c r="P633" t="str">
        <v>CMT-910</v>
      </c>
      <c r="Q633">
        <v>2183.6</v>
      </c>
      <c r="R633" t="str">
        <v/>
      </c>
      <c r="S633">
        <v>50.1</v>
      </c>
      <c r="T633">
        <v>83.95</v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>
        <v>86</v>
      </c>
      <c r="AC633" t="str">
        <v>01/10/2026</v>
      </c>
      <c r="AD633" t="str">
        <v>15:38:45</v>
      </c>
      <c r="AE633">
        <f>IF("ONLINE"="NOGPS","GPS Antiguo","En línea")</f>
      </c>
      <c r="AF633">
        <f>IF(0=0,"Sin atender", IF(0=1,"Atendida","Atendida y Reportada"))</f>
      </c>
      <c r="AG633" t="str">
        <v/>
      </c>
      <c r="AH633" t="str">
        <v/>
      </c>
      <c r="AI633" t="str">
        <v/>
      </c>
      <c r="AJ633" t="str">
        <v/>
      </c>
      <c r="AK633" t="str">
        <v>01/10/2026 15:38:59</v>
      </c>
      <c r="AL633" t="str">
        <v>15:38:59</v>
      </c>
      <c r="AM633" t="str">
        <v/>
      </c>
    </row>
    <row r="634">
      <c r="A634">
        <v>633</v>
      </c>
      <c r="B634" t="str">
        <v>MASS BSF</v>
      </c>
      <c r="C634" t="str">
        <v>F8R-810</v>
      </c>
      <c r="D634" t="str">
        <v>F8R-810</v>
      </c>
      <c r="E634" t="str">
        <v/>
      </c>
      <c r="F634" t="str">
        <v>867806078868827</v>
      </c>
      <c r="G634" t="str">
        <v>TBD</v>
      </c>
      <c r="H634" t="str">
        <v/>
      </c>
      <c r="I634" t="str">
        <v/>
      </c>
      <c r="J634" t="str">
        <v>01/10/2026</v>
      </c>
      <c r="K634" t="str">
        <v>15:39:03</v>
      </c>
      <c r="L634">
        <v>-12.241482</v>
      </c>
      <c r="M634">
        <v>-76.94598</v>
      </c>
      <c r="N634">
        <f>HYPERLINK("https://www.google.com/maps/search/?api=1&amp;query=-12.241482,-76.94598","Carretera Panamericana Sur, Villa El Salvador, Lima")</f>
      </c>
      <c r="O634" t="str">
        <v>Aceleración brusca</v>
      </c>
      <c r="P634" t="str">
        <v>CMT-910</v>
      </c>
      <c r="Q634">
        <v>2183.8</v>
      </c>
      <c r="R634" t="str">
        <v/>
      </c>
      <c r="S634">
        <v>62</v>
      </c>
      <c r="T634">
        <v>83.95</v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>
        <v>86</v>
      </c>
      <c r="AC634" t="str">
        <v>01/10/2026</v>
      </c>
      <c r="AD634" t="str">
        <v>15:39:00</v>
      </c>
      <c r="AE634">
        <f>IF("ONLINE"="NOGPS","GPS Antiguo","En línea")</f>
      </c>
      <c r="AF634">
        <f>IF(0=0,"Sin atender", IF(0=1,"Atendida","Atendida y Reportada"))</f>
      </c>
      <c r="AG634" t="str">
        <v/>
      </c>
      <c r="AH634" t="str">
        <v/>
      </c>
      <c r="AI634" t="str">
        <v/>
      </c>
      <c r="AJ634" t="str">
        <v/>
      </c>
      <c r="AK634" t="str">
        <v>01/10/2026 15:39:13</v>
      </c>
      <c r="AL634" t="str">
        <v>15:39:13</v>
      </c>
      <c r="AM634" t="str">
        <v/>
      </c>
    </row>
    <row r="635">
      <c r="A635">
        <v>634</v>
      </c>
      <c r="B635" t="str">
        <v>MASS BSF</v>
      </c>
      <c r="C635" t="str">
        <v>F8R-810</v>
      </c>
      <c r="D635" t="str">
        <v>F8R-810</v>
      </c>
      <c r="E635" t="str">
        <v/>
      </c>
      <c r="F635" t="str">
        <v>867806078868827</v>
      </c>
      <c r="G635" t="str">
        <v>TBD</v>
      </c>
      <c r="H635" t="str">
        <v/>
      </c>
      <c r="I635" t="str">
        <v/>
      </c>
      <c r="J635" t="str">
        <v>01/10/2026</v>
      </c>
      <c r="K635" t="str">
        <v>15:39:10</v>
      </c>
      <c r="L635">
        <v>-12.241914</v>
      </c>
      <c r="M635">
        <v>-76.945145</v>
      </c>
      <c r="N635">
        <f>HYPERLINK("https://www.google.com/maps/search/?api=1&amp;query=-12.241914,-76.945145","Carretera Panamericana Sur, Villa El Salvador, Lima")</f>
      </c>
      <c r="O635" t="str">
        <v>Aceleración brusca</v>
      </c>
      <c r="P635" t="str">
        <v>CMT-910</v>
      </c>
      <c r="Q635">
        <v>2183.9</v>
      </c>
      <c r="R635" t="str">
        <v/>
      </c>
      <c r="S635">
        <v>62.9</v>
      </c>
      <c r="T635">
        <v>83.95</v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>
        <v>86</v>
      </c>
      <c r="AC635" t="str">
        <v>01/10/2026</v>
      </c>
      <c r="AD635" t="str">
        <v>15:39:06</v>
      </c>
      <c r="AE635">
        <f>IF("ONLINE"="NOGPS","GPS Antiguo","En línea")</f>
      </c>
      <c r="AF635">
        <f>IF(0=0,"Sin atender", IF(0=1,"Atendida","Atendida y Reportada"))</f>
      </c>
      <c r="AG635" t="str">
        <v/>
      </c>
      <c r="AH635" t="str">
        <v/>
      </c>
      <c r="AI635" t="str">
        <v/>
      </c>
      <c r="AJ635" t="str">
        <v/>
      </c>
      <c r="AK635" t="str">
        <v>01/10/2026 15:39:28</v>
      </c>
      <c r="AL635" t="str">
        <v>15:39:28</v>
      </c>
      <c r="AM635" t="str">
        <v/>
      </c>
    </row>
    <row r="636">
      <c r="A636">
        <v>635</v>
      </c>
      <c r="B636" t="str">
        <v>MASS BSF</v>
      </c>
      <c r="C636" t="str">
        <v>F8R-810</v>
      </c>
      <c r="D636" t="str">
        <v>F8R-810</v>
      </c>
      <c r="E636" t="str">
        <v/>
      </c>
      <c r="F636" t="str">
        <v>867806078868827</v>
      </c>
      <c r="G636" t="str">
        <v>TBD</v>
      </c>
      <c r="H636" t="str">
        <v/>
      </c>
      <c r="I636" t="str">
        <v/>
      </c>
      <c r="J636" t="str">
        <v>01/10/2026</v>
      </c>
      <c r="K636" t="str">
        <v>15:40:35</v>
      </c>
      <c r="L636">
        <v>-12.248952</v>
      </c>
      <c r="M636">
        <v>-76.93258</v>
      </c>
      <c r="N636">
        <f>HYPERLINK("https://www.google.com/maps/search/?api=1&amp;query=-12.248952,-76.93258","Carretera Panamericana Sur, Lurín, Lima")</f>
      </c>
      <c r="O636" t="str">
        <v>Aceleración brusca</v>
      </c>
      <c r="P636" t="str">
        <v>CMT-910</v>
      </c>
      <c r="Q636">
        <v>2185.5</v>
      </c>
      <c r="R636" t="str">
        <v/>
      </c>
      <c r="S636">
        <v>60</v>
      </c>
      <c r="T636">
        <v>83.95</v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>
        <v>87</v>
      </c>
      <c r="AC636" t="str">
        <v>01/10/2026</v>
      </c>
      <c r="AD636" t="str">
        <v>15:40:32</v>
      </c>
      <c r="AE636">
        <f>IF("ONLINE"="NOGPS","GPS Antiguo","En línea")</f>
      </c>
      <c r="AF636">
        <f>IF(0=0,"Sin atender", IF(0=1,"Atendida","Atendida y Reportada"))</f>
      </c>
      <c r="AG636" t="str">
        <v/>
      </c>
      <c r="AH636" t="str">
        <v/>
      </c>
      <c r="AI636" t="str">
        <v/>
      </c>
      <c r="AJ636" t="str">
        <v/>
      </c>
      <c r="AK636" t="str">
        <v>01/10/2026 15:40:43</v>
      </c>
      <c r="AL636" t="str">
        <v>15:40:43</v>
      </c>
      <c r="AM636" t="str">
        <v/>
      </c>
    </row>
    <row r="637">
      <c r="A637">
        <v>636</v>
      </c>
      <c r="B637" t="str">
        <v>MASS BSF</v>
      </c>
      <c r="C637" t="str">
        <v>F8R-810</v>
      </c>
      <c r="D637" t="str">
        <v>F8R-810</v>
      </c>
      <c r="E637" t="str">
        <v/>
      </c>
      <c r="F637" t="str">
        <v>867806078868827</v>
      </c>
      <c r="G637" t="str">
        <v>TBD</v>
      </c>
      <c r="H637" t="str">
        <v/>
      </c>
      <c r="I637" t="str">
        <v/>
      </c>
      <c r="J637" t="str">
        <v>01/10/2026</v>
      </c>
      <c r="K637" t="str">
        <v>15:41:03</v>
      </c>
      <c r="L637">
        <v>-12.25141</v>
      </c>
      <c r="M637">
        <v>-76.929375</v>
      </c>
      <c r="N637">
        <f>HYPERLINK("https://www.google.com/maps/search/?api=1&amp;query=-12.25141,-76.929375","Carretera Panamericana Sur, Lurín, Lima")</f>
      </c>
      <c r="O637" t="str">
        <v>Aceleración brusca</v>
      </c>
      <c r="P637" t="str">
        <v>CMT-910</v>
      </c>
      <c r="Q637">
        <v>2185.9</v>
      </c>
      <c r="R637" t="str">
        <v/>
      </c>
      <c r="S637">
        <v>54.4</v>
      </c>
      <c r="T637">
        <v>83.95</v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>
        <v>87</v>
      </c>
      <c r="AC637" t="str">
        <v>01/10/2026</v>
      </c>
      <c r="AD637" t="str">
        <v>15:40:59</v>
      </c>
      <c r="AE637">
        <f>IF("ONLINE"="NOGPS","GPS Antiguo","En línea")</f>
      </c>
      <c r="AF637">
        <f>IF(0=0,"Sin atender", IF(0=1,"Atendida","Atendida y Reportada"))</f>
      </c>
      <c r="AG637" t="str">
        <v/>
      </c>
      <c r="AH637" t="str">
        <v/>
      </c>
      <c r="AI637" t="str">
        <v/>
      </c>
      <c r="AJ637" t="str">
        <v/>
      </c>
      <c r="AK637" t="str">
        <v>01/10/2026 15:41:17</v>
      </c>
      <c r="AL637" t="str">
        <v>15:41:17</v>
      </c>
      <c r="AM637" t="str">
        <v/>
      </c>
    </row>
    <row r="638">
      <c r="A638">
        <v>637</v>
      </c>
      <c r="B638" t="str">
        <v>MASS BSF</v>
      </c>
      <c r="C638" t="str">
        <v>F8R-810</v>
      </c>
      <c r="D638" t="str">
        <v>F8R-810</v>
      </c>
      <c r="E638" t="str">
        <v/>
      </c>
      <c r="F638" t="str">
        <v>867806078868827</v>
      </c>
      <c r="G638" t="str">
        <v>TBD</v>
      </c>
      <c r="H638" t="str">
        <v/>
      </c>
      <c r="I638" t="str">
        <v/>
      </c>
      <c r="J638" t="str">
        <v>01/10/2026</v>
      </c>
      <c r="K638" t="str">
        <v>15:41:08</v>
      </c>
      <c r="L638">
        <v>-12.251899</v>
      </c>
      <c r="M638">
        <v>-76.92884</v>
      </c>
      <c r="N638">
        <f>HYPERLINK("https://www.google.com/maps/search/?api=1&amp;query=-12.251899,-76.92884","Carretera Panamericana Sur, Lurín, Lima")</f>
      </c>
      <c r="O638" t="str">
        <v>Aceleración brusca</v>
      </c>
      <c r="P638" t="str">
        <v>CMT-910</v>
      </c>
      <c r="Q638">
        <v>2186</v>
      </c>
      <c r="R638" t="str">
        <v/>
      </c>
      <c r="S638">
        <v>42.4</v>
      </c>
      <c r="T638">
        <v>83.95</v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>
        <v>86</v>
      </c>
      <c r="AC638" t="str">
        <v>01/10/2026</v>
      </c>
      <c r="AD638" t="str">
        <v>15:41:05</v>
      </c>
      <c r="AE638">
        <f>IF("ONLINE"="NOGPS","GPS Antiguo","En línea")</f>
      </c>
      <c r="AF638">
        <f>IF(0=0,"Sin atender", IF(0=1,"Atendida","Atendida y Reportada"))</f>
      </c>
      <c r="AG638" t="str">
        <v/>
      </c>
      <c r="AH638" t="str">
        <v/>
      </c>
      <c r="AI638" t="str">
        <v/>
      </c>
      <c r="AJ638" t="str">
        <v/>
      </c>
      <c r="AK638" t="str">
        <v>01/10/2026 15:41:34</v>
      </c>
      <c r="AL638" t="str">
        <v>15:41:34</v>
      </c>
      <c r="AM638" t="str">
        <v/>
      </c>
    </row>
    <row r="639">
      <c r="A639">
        <v>638</v>
      </c>
      <c r="B639" t="str">
        <v>MASS BSF</v>
      </c>
      <c r="C639" t="str">
        <v>F8R-810</v>
      </c>
      <c r="D639" t="str">
        <v>F8R-810</v>
      </c>
      <c r="E639" t="str">
        <v/>
      </c>
      <c r="F639" t="str">
        <v>867806078868827</v>
      </c>
      <c r="G639" t="str">
        <v>TBD</v>
      </c>
      <c r="H639" t="str">
        <v/>
      </c>
      <c r="I639" t="str">
        <v/>
      </c>
      <c r="J639" t="str">
        <v>01/10/2026</v>
      </c>
      <c r="K639" t="str">
        <v>15:41:14</v>
      </c>
      <c r="L639">
        <v>-12.252263</v>
      </c>
      <c r="M639">
        <v>-76.92854</v>
      </c>
      <c r="N639">
        <f>HYPERLINK("https://www.google.com/maps/search/?api=1&amp;query=-12.252263,-76.92854","Carretera Panamericana Sur, Lurín, Lima")</f>
      </c>
      <c r="O639" t="str">
        <v>Acelerado y giro brusco</v>
      </c>
      <c r="P639" t="str">
        <v/>
      </c>
      <c r="Q639">
        <v>2186</v>
      </c>
      <c r="R639" t="str">
        <v/>
      </c>
      <c r="S639">
        <v>22.2</v>
      </c>
      <c r="T639">
        <v>83.95</v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>
        <v>87</v>
      </c>
      <c r="AC639" t="str">
        <v>01/10/2026</v>
      </c>
      <c r="AD639" t="str">
        <v>15:41:11</v>
      </c>
      <c r="AE639">
        <f>IF("ONLINE"="NOGPS","GPS Antiguo","En línea")</f>
      </c>
      <c r="AF639">
        <f>IF(0=0,"Sin atender", IF(0=1,"Atendida","Atendida y Reportada"))</f>
      </c>
      <c r="AG639" t="str">
        <v/>
      </c>
      <c r="AH639" t="str">
        <v/>
      </c>
      <c r="AI639" t="str">
        <v/>
      </c>
      <c r="AJ639" t="str">
        <v/>
      </c>
      <c r="AK639" t="str">
        <v>01/10/2026 15:41:26</v>
      </c>
      <c r="AL639" t="str">
        <v>15:41:26</v>
      </c>
      <c r="AM639" t="str">
        <v/>
      </c>
    </row>
    <row r="640">
      <c r="A640">
        <v>639</v>
      </c>
      <c r="B640" t="str">
        <v>MASS BSF</v>
      </c>
      <c r="C640" t="str">
        <v>F8R-810</v>
      </c>
      <c r="D640" t="str">
        <v>F8R-810</v>
      </c>
      <c r="E640" t="str">
        <v/>
      </c>
      <c r="F640" t="str">
        <v>867806078868827</v>
      </c>
      <c r="G640" t="str">
        <v>TBD</v>
      </c>
      <c r="H640" t="str">
        <v/>
      </c>
      <c r="I640" t="str">
        <v/>
      </c>
      <c r="J640" t="str">
        <v>01/10/2026</v>
      </c>
      <c r="K640" t="str">
        <v>15:41:41</v>
      </c>
      <c r="L640">
        <v>-12.253007</v>
      </c>
      <c r="M640">
        <v>-76.92884</v>
      </c>
      <c r="N640">
        <f>HYPERLINK("https://www.google.com/maps/search/?api=1&amp;query=-12.253007,-76.92884","Lurín, Lima")</f>
      </c>
      <c r="O640" t="str">
        <v>Acelerado y giro brusco</v>
      </c>
      <c r="P640" t="str">
        <v/>
      </c>
      <c r="Q640">
        <v>2186.1</v>
      </c>
      <c r="R640" t="str">
        <v/>
      </c>
      <c r="S640">
        <v>18.8</v>
      </c>
      <c r="T640">
        <v>83.95</v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>
        <v>86</v>
      </c>
      <c r="AC640" t="str">
        <v>01/10/2026</v>
      </c>
      <c r="AD640" t="str">
        <v>15:41:38</v>
      </c>
      <c r="AE640">
        <f>IF("ONLINE"="NOGPS","GPS Antiguo","En línea")</f>
      </c>
      <c r="AF640">
        <f>IF(0=0,"Sin atender", IF(0=1,"Atendida","Atendida y Reportada"))</f>
      </c>
      <c r="AG640" t="str">
        <v/>
      </c>
      <c r="AH640" t="str">
        <v/>
      </c>
      <c r="AI640" t="str">
        <v/>
      </c>
      <c r="AJ640" t="str">
        <v/>
      </c>
      <c r="AK640" t="str">
        <v>01/10/2026 15:41:58</v>
      </c>
      <c r="AL640" t="str">
        <v>15:41:58</v>
      </c>
      <c r="AM640" t="str">
        <v/>
      </c>
    </row>
    <row r="641">
      <c r="A641">
        <v>640</v>
      </c>
      <c r="B641" t="str">
        <v>MASS BSF</v>
      </c>
      <c r="C641" t="str">
        <v>F8R-810</v>
      </c>
      <c r="D641" t="str">
        <v>F8R-810</v>
      </c>
      <c r="E641" t="str">
        <v/>
      </c>
      <c r="F641" t="str">
        <v>867806078868827</v>
      </c>
      <c r="G641" t="str">
        <v>TBD</v>
      </c>
      <c r="H641" t="str">
        <v/>
      </c>
      <c r="I641" t="str">
        <v/>
      </c>
      <c r="J641" t="str">
        <v>01/10/2026</v>
      </c>
      <c r="K641" t="str">
        <v>15:41:49</v>
      </c>
      <c r="L641">
        <v>-12.253322</v>
      </c>
      <c r="M641">
        <v>-76.92896</v>
      </c>
      <c r="N641">
        <f>HYPERLINK("https://www.google.com/maps/search/?api=1&amp;query=-12.253322,-76.92896","Lurín, Lima")</f>
      </c>
      <c r="O641" t="str">
        <v>Acelerado y giro brusco</v>
      </c>
      <c r="P641" t="str">
        <v/>
      </c>
      <c r="Q641">
        <v>2186.2</v>
      </c>
      <c r="R641" t="str">
        <v/>
      </c>
      <c r="S641">
        <v>16.4</v>
      </c>
      <c r="T641">
        <v>83.95</v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>
        <v>86</v>
      </c>
      <c r="AC641" t="str">
        <v>01/10/2026</v>
      </c>
      <c r="AD641" t="str">
        <v>15:41:46</v>
      </c>
      <c r="AE641">
        <f>IF("ONLINE"="NOGPS","GPS Antiguo","En línea")</f>
      </c>
      <c r="AF641">
        <f>IF(0=0,"Sin atender", IF(0=1,"Atendida","Atendida y Reportada"))</f>
      </c>
      <c r="AG641" t="str">
        <v/>
      </c>
      <c r="AH641" t="str">
        <v/>
      </c>
      <c r="AI641" t="str">
        <v/>
      </c>
      <c r="AJ641" t="str">
        <v/>
      </c>
      <c r="AK641" t="str">
        <v>01/10/2026 15:42:02</v>
      </c>
      <c r="AL641" t="str">
        <v>15:42:02</v>
      </c>
      <c r="AM641" t="str">
        <v/>
      </c>
    </row>
    <row r="642">
      <c r="A642">
        <v>641</v>
      </c>
      <c r="B642" t="str">
        <v>MASS BSF</v>
      </c>
      <c r="C642" t="str">
        <v>F8R-810</v>
      </c>
      <c r="D642" t="str">
        <v>F8R-810</v>
      </c>
      <c r="E642" t="str">
        <v/>
      </c>
      <c r="F642" t="str">
        <v>867806078868827</v>
      </c>
      <c r="G642" t="str">
        <v>TBD</v>
      </c>
      <c r="H642" t="str">
        <v/>
      </c>
      <c r="I642" t="str">
        <v/>
      </c>
      <c r="J642" t="str">
        <v>01/10/2026</v>
      </c>
      <c r="K642" t="str">
        <v>15:41:56</v>
      </c>
      <c r="L642">
        <v>-12.25347</v>
      </c>
      <c r="M642">
        <v>-76.92882</v>
      </c>
      <c r="N642">
        <f>HYPERLINK("https://www.google.com/maps/search/?api=1&amp;query=-12.25347,-76.92882","Lurín, Lima")</f>
      </c>
      <c r="O642" t="str">
        <v>Acelerado y giro brusco</v>
      </c>
      <c r="P642" t="str">
        <v/>
      </c>
      <c r="Q642">
        <v>2186.2</v>
      </c>
      <c r="R642" t="str">
        <v/>
      </c>
      <c r="S642">
        <v>10.3</v>
      </c>
      <c r="T642">
        <v>84.32</v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>
        <v>88</v>
      </c>
      <c r="AC642" t="str">
        <v>01/10/2026</v>
      </c>
      <c r="AD642" t="str">
        <v>15:41:53</v>
      </c>
      <c r="AE642">
        <f>IF("ONLINE"="NOGPS","GPS Antiguo","En línea")</f>
      </c>
      <c r="AF642">
        <f>IF(0=0,"Sin atender", IF(0=1,"Atendida","Atendida y Reportada"))</f>
      </c>
      <c r="AG642" t="str">
        <v/>
      </c>
      <c r="AH642" t="str">
        <v/>
      </c>
      <c r="AI642" t="str">
        <v/>
      </c>
      <c r="AJ642" t="str">
        <v/>
      </c>
      <c r="AK642" t="str">
        <v>01/10/2026 15:42:21</v>
      </c>
      <c r="AL642" t="str">
        <v>15:42:21</v>
      </c>
      <c r="AM642" t="str">
        <v/>
      </c>
    </row>
    <row r="643">
      <c r="A643">
        <v>642</v>
      </c>
      <c r="B643" t="str">
        <v>MASS BSF</v>
      </c>
      <c r="C643" t="str">
        <v>F8R-810</v>
      </c>
      <c r="D643" t="str">
        <v>F8R-810</v>
      </c>
      <c r="E643" t="str">
        <v/>
      </c>
      <c r="F643" t="str">
        <v>867806078868827</v>
      </c>
      <c r="G643" t="str">
        <v>TBD</v>
      </c>
      <c r="H643" t="str">
        <v/>
      </c>
      <c r="I643" t="str">
        <v/>
      </c>
      <c r="J643" t="str">
        <v>01/10/2026</v>
      </c>
      <c r="K643" t="str">
        <v>15:42:05</v>
      </c>
      <c r="L643">
        <v>-12.253569</v>
      </c>
      <c r="M643">
        <v>-76.928665</v>
      </c>
      <c r="N643">
        <f>HYPERLINK("https://www.google.com/maps/search/?api=1&amp;query=-12.253569,-76.928665","Lurín, Lima")</f>
      </c>
      <c r="O643" t="str">
        <v>Acelerado y giro brusco</v>
      </c>
      <c r="P643" t="str">
        <v/>
      </c>
      <c r="Q643">
        <v>2186.2</v>
      </c>
      <c r="R643" t="str">
        <v/>
      </c>
      <c r="S643">
        <v>4</v>
      </c>
      <c r="T643">
        <v>83.95</v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>
        <v>88</v>
      </c>
      <c r="AC643" t="str">
        <v>01/10/2026</v>
      </c>
      <c r="AD643" t="str">
        <v>15:42:02</v>
      </c>
      <c r="AE643">
        <f>IF("ONLINE"="NOGPS","GPS Antiguo","En línea")</f>
      </c>
      <c r="AF643">
        <f>IF(0=0,"Sin atender", IF(0=1,"Atendida","Atendida y Reportada"))</f>
      </c>
      <c r="AG643" t="str">
        <v/>
      </c>
      <c r="AH643" t="str">
        <v/>
      </c>
      <c r="AI643" t="str">
        <v/>
      </c>
      <c r="AJ643" t="str">
        <v/>
      </c>
      <c r="AK643" t="str">
        <v>01/10/2026 15:42:15</v>
      </c>
      <c r="AL643" t="str">
        <v>15:42:15</v>
      </c>
      <c r="AM643" t="str">
        <v/>
      </c>
    </row>
    <row r="644">
      <c r="A644">
        <v>643</v>
      </c>
      <c r="B644" t="str">
        <v>MASS BSF</v>
      </c>
      <c r="C644" t="str">
        <v>F8R-810</v>
      </c>
      <c r="D644" t="str">
        <v>F8R-810</v>
      </c>
      <c r="E644" t="str">
        <v/>
      </c>
      <c r="F644" t="str">
        <v>867806078868827</v>
      </c>
      <c r="G644" t="str">
        <v>TBD</v>
      </c>
      <c r="H644" t="str">
        <v/>
      </c>
      <c r="I644" t="str">
        <v/>
      </c>
      <c r="J644" t="str">
        <v>01/10/2026</v>
      </c>
      <c r="K644" t="str">
        <v>15:42:10</v>
      </c>
      <c r="L644">
        <v>-12.25357</v>
      </c>
      <c r="M644">
        <v>-76.92866</v>
      </c>
      <c r="N644">
        <f>HYPERLINK("https://www.google.com/maps/search/?api=1&amp;query=-12.25357,-76.92866","Lurín, Lima")</f>
      </c>
      <c r="O644" t="str">
        <v>Vehículo apagado</v>
      </c>
      <c r="P644" t="str">
        <v>Vehículo Apagado</v>
      </c>
      <c r="Q644">
        <v>2186.2</v>
      </c>
      <c r="R644" t="str">
        <v/>
      </c>
      <c r="S644">
        <v>0</v>
      </c>
      <c r="T644">
        <v>84.32</v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>
        <v>88</v>
      </c>
      <c r="AC644" t="str">
        <v>01/10/2026</v>
      </c>
      <c r="AD644" t="str">
        <v>15:42:06</v>
      </c>
      <c r="AE644">
        <f>IF("ONLINE"="NOGPS","GPS Antiguo","En línea")</f>
      </c>
      <c r="AF644">
        <f>IF(0=0,"Sin atender", IF(0=1,"Atendida","Atendida y Reportada"))</f>
      </c>
      <c r="AG644" t="str">
        <v/>
      </c>
      <c r="AH644" t="str">
        <v/>
      </c>
      <c r="AI644" t="str">
        <v/>
      </c>
      <c r="AJ644" t="str">
        <v/>
      </c>
      <c r="AK644" t="str">
        <v>01/10/2026 15:42:21</v>
      </c>
      <c r="AL644" t="str">
        <v>15:42:21</v>
      </c>
      <c r="AM644" t="str">
        <v/>
      </c>
    </row>
    <row r="645">
      <c r="A645">
        <v>644</v>
      </c>
      <c r="B645" t="str">
        <v>MASS BSF</v>
      </c>
      <c r="C645" t="str">
        <v>F8R-810</v>
      </c>
      <c r="D645" t="str">
        <v>F8R-810</v>
      </c>
      <c r="E645" t="str">
        <v/>
      </c>
      <c r="F645" t="str">
        <v>867806078868827</v>
      </c>
      <c r="G645" t="str">
        <v>TBD</v>
      </c>
      <c r="H645" t="str">
        <v/>
      </c>
      <c r="I645" t="str">
        <v/>
      </c>
      <c r="J645" t="str">
        <v>01/10/2026</v>
      </c>
      <c r="K645" t="str">
        <v>15:49:04</v>
      </c>
      <c r="L645">
        <v>-12.25357</v>
      </c>
      <c r="M645">
        <v>-76.92866</v>
      </c>
      <c r="N645">
        <f>HYPERLINK("https://www.google.com/maps/search/?api=1&amp;query=-12.25357,-76.92866","Lurín, Lima")</f>
      </c>
      <c r="O645" t="str">
        <v>Vehículo encendido</v>
      </c>
      <c r="P645" t="str">
        <v/>
      </c>
      <c r="Q645">
        <v>2186.2</v>
      </c>
      <c r="R645" t="str">
        <v/>
      </c>
      <c r="S645">
        <v>0</v>
      </c>
      <c r="T645">
        <v>84.32</v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>
        <v>88</v>
      </c>
      <c r="AC645" t="str">
        <v>01/10/2026</v>
      </c>
      <c r="AD645" t="str">
        <v>15:49:00</v>
      </c>
      <c r="AE645">
        <f>IF("ONLINE"="NOGPS","GPS Antiguo","En línea")</f>
      </c>
      <c r="AF645">
        <f>IF(0=0,"Sin atender", IF(0=1,"Atendida","Atendida y Reportada"))</f>
      </c>
      <c r="AG645" t="str">
        <v/>
      </c>
      <c r="AH645" t="str">
        <v/>
      </c>
      <c r="AI645" t="str">
        <v/>
      </c>
      <c r="AJ645" t="str">
        <v/>
      </c>
      <c r="AK645" t="str">
        <v>01/10/2026 15:49:25</v>
      </c>
      <c r="AL645" t="str">
        <v>15:49:25</v>
      </c>
      <c r="AM645" t="str">
        <v/>
      </c>
    </row>
    <row r="646">
      <c r="A646">
        <v>645</v>
      </c>
      <c r="B646" t="str">
        <v>MASS BSF</v>
      </c>
      <c r="C646" t="str">
        <v>F8R-810</v>
      </c>
      <c r="D646" t="str">
        <v>F8R-810</v>
      </c>
      <c r="E646" t="str">
        <v/>
      </c>
      <c r="F646" t="str">
        <v>867806078868827</v>
      </c>
      <c r="G646" t="str">
        <v>TBD</v>
      </c>
      <c r="H646" t="str">
        <v/>
      </c>
      <c r="I646" t="str">
        <v/>
      </c>
      <c r="J646" t="str">
        <v>01/10/2026</v>
      </c>
      <c r="K646" t="str">
        <v>15:49:36</v>
      </c>
      <c r="L646">
        <v>-12.253596</v>
      </c>
      <c r="M646">
        <v>-76.928566</v>
      </c>
      <c r="N646">
        <f>HYPERLINK("https://www.google.com/maps/search/?api=1&amp;query=-12.253596,-76.928566","Lurín, Lima")</f>
      </c>
      <c r="O646" t="str">
        <v>Acelerado y giro brusco</v>
      </c>
      <c r="P646" t="str">
        <v/>
      </c>
      <c r="Q646">
        <v>2186.2</v>
      </c>
      <c r="R646" t="str">
        <v/>
      </c>
      <c r="S646">
        <v>5.3</v>
      </c>
      <c r="T646">
        <v>84.32</v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>
        <v>88</v>
      </c>
      <c r="AC646" t="str">
        <v>01/10/2026</v>
      </c>
      <c r="AD646" t="str">
        <v>15:49:33</v>
      </c>
      <c r="AE646">
        <f>IF("ONLINE"="NOGPS","GPS Antiguo","En línea")</f>
      </c>
      <c r="AF646">
        <f>IF(0=0,"Sin atender", IF(0=1,"Atendida","Atendida y Reportada"))</f>
      </c>
      <c r="AG646" t="str">
        <v/>
      </c>
      <c r="AH646" t="str">
        <v/>
      </c>
      <c r="AI646" t="str">
        <v/>
      </c>
      <c r="AJ646" t="str">
        <v/>
      </c>
      <c r="AK646" t="str">
        <v>01/10/2026 15:49:54</v>
      </c>
      <c r="AL646" t="str">
        <v>15:49:54</v>
      </c>
      <c r="AM646" t="str">
        <v/>
      </c>
    </row>
    <row r="647">
      <c r="A647">
        <v>646</v>
      </c>
      <c r="B647" t="str">
        <v>MASS BSF</v>
      </c>
      <c r="C647" t="str">
        <v>F8R-810</v>
      </c>
      <c r="D647" t="str">
        <v>F8R-810</v>
      </c>
      <c r="E647" t="str">
        <v/>
      </c>
      <c r="F647" t="str">
        <v>867806078868827</v>
      </c>
      <c r="G647" t="str">
        <v>TBD</v>
      </c>
      <c r="H647" t="str">
        <v/>
      </c>
      <c r="I647" t="str">
        <v/>
      </c>
      <c r="J647" t="str">
        <v>01/10/2026</v>
      </c>
      <c r="K647" t="str">
        <v>15:49:39</v>
      </c>
      <c r="L647">
        <v>-12.253598</v>
      </c>
      <c r="M647">
        <v>-76.92853</v>
      </c>
      <c r="N647">
        <f>HYPERLINK("https://www.google.com/maps/search/?api=1&amp;query=-12.253598,-76.92853","Lurín, Lima")</f>
      </c>
      <c r="O647" t="str">
        <v>Giro brusco</v>
      </c>
      <c r="P647" t="str">
        <v/>
      </c>
      <c r="Q647">
        <v>2186.2</v>
      </c>
      <c r="R647" t="str">
        <v/>
      </c>
      <c r="S647">
        <v>8.3</v>
      </c>
      <c r="T647">
        <v>84.32</v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>
        <v>88</v>
      </c>
      <c r="AC647" t="str">
        <v>01/10/2026</v>
      </c>
      <c r="AD647" t="str">
        <v>15:49:35</v>
      </c>
      <c r="AE647">
        <f>IF("ONLINE"="NOGPS","GPS Antiguo","En línea")</f>
      </c>
      <c r="AF647">
        <f>IF(0=0,"Sin atender", IF(0=1,"Atendida","Atendida y Reportada"))</f>
      </c>
      <c r="AG647" t="str">
        <v/>
      </c>
      <c r="AH647" t="str">
        <v/>
      </c>
      <c r="AI647" t="str">
        <v/>
      </c>
      <c r="AJ647" t="str">
        <v/>
      </c>
      <c r="AK647" t="str">
        <v>01/10/2026 15:49:57</v>
      </c>
      <c r="AL647" t="str">
        <v>15:49:57</v>
      </c>
      <c r="AM647" t="str">
        <v/>
      </c>
    </row>
    <row r="648">
      <c r="A648">
        <v>647</v>
      </c>
      <c r="B648" t="str">
        <v>MASS BSF</v>
      </c>
      <c r="C648" t="str">
        <v>F8R-810</v>
      </c>
      <c r="D648" t="str">
        <v>F8R-810</v>
      </c>
      <c r="E648" t="str">
        <v/>
      </c>
      <c r="F648" t="str">
        <v>867806078868827</v>
      </c>
      <c r="G648" t="str">
        <v>TBD</v>
      </c>
      <c r="H648" t="str">
        <v/>
      </c>
      <c r="I648" t="str">
        <v/>
      </c>
      <c r="J648" t="str">
        <v>01/10/2026</v>
      </c>
      <c r="K648" t="str">
        <v>15:49:54</v>
      </c>
      <c r="L648">
        <v>-12.25326</v>
      </c>
      <c r="M648">
        <v>-76.92823</v>
      </c>
      <c r="N648">
        <f>HYPERLINK("https://www.google.com/maps/search/?api=1&amp;query=-12.25326,-76.92823","Lurín, Lima")</f>
      </c>
      <c r="O648" t="str">
        <v>Aceleración brusca</v>
      </c>
      <c r="P648" t="str">
        <v>CMT-910</v>
      </c>
      <c r="Q648">
        <v>2186.3</v>
      </c>
      <c r="R648" t="str">
        <v/>
      </c>
      <c r="S648">
        <v>10.1</v>
      </c>
      <c r="T648">
        <v>84.32</v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>
        <v>88</v>
      </c>
      <c r="AC648" t="str">
        <v>01/10/2026</v>
      </c>
      <c r="AD648" t="str">
        <v>15:49:51</v>
      </c>
      <c r="AE648">
        <f>IF("ONLINE"="NOGPS","GPS Antiguo","En línea")</f>
      </c>
      <c r="AF648">
        <f>IF(0=0,"Sin atender", IF(0=1,"Atendida","Atendida y Reportada"))</f>
      </c>
      <c r="AG648" t="str">
        <v/>
      </c>
      <c r="AH648" t="str">
        <v/>
      </c>
      <c r="AI648" t="str">
        <v/>
      </c>
      <c r="AJ648" t="str">
        <v/>
      </c>
      <c r="AK648" t="str">
        <v>01/10/2026 15:50:06</v>
      </c>
      <c r="AL648" t="str">
        <v>15:50:06</v>
      </c>
      <c r="AM648" t="str">
        <v/>
      </c>
    </row>
    <row r="649">
      <c r="A649">
        <v>648</v>
      </c>
      <c r="B649" t="str">
        <v>MASS BSF</v>
      </c>
      <c r="C649" t="str">
        <v>F8R-810</v>
      </c>
      <c r="D649" t="str">
        <v>F8R-810</v>
      </c>
      <c r="E649" t="str">
        <v/>
      </c>
      <c r="F649" t="str">
        <v>867806078868827</v>
      </c>
      <c r="G649" t="str">
        <v>TBD</v>
      </c>
      <c r="H649" t="str">
        <v/>
      </c>
      <c r="I649" t="str">
        <v/>
      </c>
      <c r="J649" t="str">
        <v>01/10/2026</v>
      </c>
      <c r="K649" t="str">
        <v>15:50:16</v>
      </c>
      <c r="L649">
        <v>-12.253155</v>
      </c>
      <c r="M649">
        <v>-76.92752</v>
      </c>
      <c r="N649">
        <f>HYPERLINK("https://www.google.com/maps/search/?api=1&amp;query=-12.253155,-76.92752","Lurín, Lima")</f>
      </c>
      <c r="O649" t="str">
        <v>Acelerado y giro brusco</v>
      </c>
      <c r="P649" t="str">
        <v/>
      </c>
      <c r="Q649">
        <v>2186.3</v>
      </c>
      <c r="R649" t="str">
        <v/>
      </c>
      <c r="S649">
        <v>14.2</v>
      </c>
      <c r="T649">
        <v>84.32</v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>
        <v>93</v>
      </c>
      <c r="AC649" t="str">
        <v>01/10/2026</v>
      </c>
      <c r="AD649" t="str">
        <v>15:50:12</v>
      </c>
      <c r="AE649">
        <f>IF("ONLINE"="NOGPS","GPS Antiguo","En línea")</f>
      </c>
      <c r="AF649">
        <f>IF(0=0,"Sin atender", IF(0=1,"Atendida","Atendida y Reportada"))</f>
      </c>
      <c r="AG649" t="str">
        <v/>
      </c>
      <c r="AH649" t="str">
        <v/>
      </c>
      <c r="AI649" t="str">
        <v/>
      </c>
      <c r="AJ649" t="str">
        <v/>
      </c>
      <c r="AK649" t="str">
        <v>01/10/2026 15:50:34</v>
      </c>
      <c r="AL649" t="str">
        <v>15:50:34</v>
      </c>
      <c r="AM649" t="str">
        <v/>
      </c>
    </row>
    <row r="650">
      <c r="A650">
        <v>649</v>
      </c>
      <c r="B650" t="str">
        <v>MASS BSF</v>
      </c>
      <c r="C650" t="str">
        <v>F8R-810</v>
      </c>
      <c r="D650" t="str">
        <v>F8R-810</v>
      </c>
      <c r="E650" t="str">
        <v/>
      </c>
      <c r="F650" t="str">
        <v>867806078868827</v>
      </c>
      <c r="G650" t="str">
        <v>TBD</v>
      </c>
      <c r="H650" t="str">
        <v/>
      </c>
      <c r="I650" t="str">
        <v/>
      </c>
      <c r="J650" t="str">
        <v>01/10/2026</v>
      </c>
      <c r="K650" t="str">
        <v>15:50:27</v>
      </c>
      <c r="L650">
        <v>-12.253068</v>
      </c>
      <c r="M650">
        <v>-76.92725</v>
      </c>
      <c r="N650">
        <f>HYPERLINK("https://www.google.com/maps/search/?api=1&amp;query=-12.253068,-76.92725","Carretera Panamericana Sur, Lurín, Lima")</f>
      </c>
      <c r="O650" t="str">
        <v>Acelerado y giro brusco</v>
      </c>
      <c r="P650" t="str">
        <v/>
      </c>
      <c r="Q650">
        <v>2186.4</v>
      </c>
      <c r="R650" t="str">
        <v/>
      </c>
      <c r="S650">
        <v>6.2</v>
      </c>
      <c r="T650">
        <v>84.32</v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>
        <v>93</v>
      </c>
      <c r="AC650" t="str">
        <v>01/10/2026</v>
      </c>
      <c r="AD650" t="str">
        <v>15:50:23</v>
      </c>
      <c r="AE650">
        <f>IF("ONLINE"="NOGPS","GPS Antiguo","En línea")</f>
      </c>
      <c r="AF650">
        <f>IF(0=0,"Sin atender", IF(0=1,"Atendida","Atendida y Reportada"))</f>
      </c>
      <c r="AG650" t="str">
        <v/>
      </c>
      <c r="AH650" t="str">
        <v/>
      </c>
      <c r="AI650" t="str">
        <v/>
      </c>
      <c r="AJ650" t="str">
        <v/>
      </c>
      <c r="AK650" t="str">
        <v>01/10/2026 15:50:44</v>
      </c>
      <c r="AL650" t="str">
        <v>15:50:44</v>
      </c>
      <c r="AM650" t="str">
        <v/>
      </c>
    </row>
    <row r="651">
      <c r="A651">
        <v>650</v>
      </c>
      <c r="B651" t="str">
        <v>MASS BSF</v>
      </c>
      <c r="C651" t="str">
        <v>F8R-810</v>
      </c>
      <c r="D651" t="str">
        <v>F8R-810</v>
      </c>
      <c r="E651" t="str">
        <v/>
      </c>
      <c r="F651" t="str">
        <v>867806078868827</v>
      </c>
      <c r="G651" t="str">
        <v>TBD</v>
      </c>
      <c r="H651" t="str">
        <v/>
      </c>
      <c r="I651" t="str">
        <v/>
      </c>
      <c r="J651" t="str">
        <v>01/10/2026</v>
      </c>
      <c r="K651" t="str">
        <v>15:50:43</v>
      </c>
      <c r="L651">
        <v>-12.253035</v>
      </c>
      <c r="M651">
        <v>-76.92721</v>
      </c>
      <c r="N651">
        <f>HYPERLINK("https://www.google.com/maps/search/?api=1&amp;query=-12.253035,-76.92721","Carretera Panamericana Sur, Lurín, Lima")</f>
      </c>
      <c r="O651" t="str">
        <v>Acelerado y giro brusco</v>
      </c>
      <c r="P651" t="str">
        <v/>
      </c>
      <c r="Q651">
        <v>2186.4</v>
      </c>
      <c r="R651" t="str">
        <v/>
      </c>
      <c r="S651">
        <v>4.8</v>
      </c>
      <c r="T651">
        <v>84.32</v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>
        <v>93</v>
      </c>
      <c r="AC651" t="str">
        <v>01/10/2026</v>
      </c>
      <c r="AD651" t="str">
        <v>15:50:40</v>
      </c>
      <c r="AE651">
        <f>IF("ONLINE"="NOGPS","GPS Antiguo","En línea")</f>
      </c>
      <c r="AF651">
        <f>IF(0=0,"Sin atender", IF(0=1,"Atendida","Atendida y Reportada"))</f>
      </c>
      <c r="AG651" t="str">
        <v/>
      </c>
      <c r="AH651" t="str">
        <v/>
      </c>
      <c r="AI651" t="str">
        <v/>
      </c>
      <c r="AJ651" t="str">
        <v/>
      </c>
      <c r="AK651" t="str">
        <v>01/10/2026 15:50:50</v>
      </c>
      <c r="AL651" t="str">
        <v>15:50:50</v>
      </c>
      <c r="AM651" t="str">
        <v/>
      </c>
    </row>
    <row r="652">
      <c r="A652">
        <v>651</v>
      </c>
      <c r="B652" t="str">
        <v>MASS BSF</v>
      </c>
      <c r="C652" t="str">
        <v>F8R-810</v>
      </c>
      <c r="D652" t="str">
        <v>F8R-810</v>
      </c>
      <c r="E652" t="str">
        <v/>
      </c>
      <c r="F652" t="str">
        <v>867806078868827</v>
      </c>
      <c r="G652" t="str">
        <v>TBD</v>
      </c>
      <c r="H652" t="str">
        <v/>
      </c>
      <c r="I652" t="str">
        <v/>
      </c>
      <c r="J652" t="str">
        <v>01/10/2026</v>
      </c>
      <c r="K652" t="str">
        <v>15:51:09</v>
      </c>
      <c r="L652">
        <v>-12.253957</v>
      </c>
      <c r="M652">
        <v>-76.92556</v>
      </c>
      <c r="N652">
        <f>HYPERLINK("https://www.google.com/maps/search/?api=1&amp;query=-12.253957,-76.92556","Carretera Panamericana Sur, Lurín, Lima")</f>
      </c>
      <c r="O652" t="str">
        <v>Acelerado y giro brusco</v>
      </c>
      <c r="P652" t="str">
        <v/>
      </c>
      <c r="Q652">
        <v>2186.6</v>
      </c>
      <c r="R652" t="str">
        <v/>
      </c>
      <c r="S652">
        <v>45</v>
      </c>
      <c r="T652">
        <v>84.32</v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>
        <v>93</v>
      </c>
      <c r="AC652" t="str">
        <v>01/10/2026</v>
      </c>
      <c r="AD652" t="str">
        <v>15:51:05</v>
      </c>
      <c r="AE652">
        <f>IF("ONLINE"="NOGPS","GPS Antiguo","En línea")</f>
      </c>
      <c r="AF652">
        <f>IF(0=0,"Sin atender", IF(0=1,"Atendida","Atendida y Reportada"))</f>
      </c>
      <c r="AG652" t="str">
        <v/>
      </c>
      <c r="AH652" t="str">
        <v/>
      </c>
      <c r="AI652" t="str">
        <v/>
      </c>
      <c r="AJ652" t="str">
        <v/>
      </c>
      <c r="AK652" t="str">
        <v>01/10/2026 15:51:20</v>
      </c>
      <c r="AL652" t="str">
        <v>15:51:20</v>
      </c>
      <c r="AM652" t="str">
        <v/>
      </c>
    </row>
    <row r="653">
      <c r="A653">
        <v>652</v>
      </c>
      <c r="B653" t="str">
        <v>MASS BSF</v>
      </c>
      <c r="C653" t="str">
        <v>F8R-810</v>
      </c>
      <c r="D653" t="str">
        <v>F8R-810</v>
      </c>
      <c r="E653" t="str">
        <v/>
      </c>
      <c r="F653" t="str">
        <v>867806078868827</v>
      </c>
      <c r="G653" t="str">
        <v>TBD</v>
      </c>
      <c r="H653" t="str">
        <v/>
      </c>
      <c r="I653" t="str">
        <v/>
      </c>
      <c r="J653" t="str">
        <v>01/10/2026</v>
      </c>
      <c r="K653" t="str">
        <v>15:51:18</v>
      </c>
      <c r="L653">
        <v>-12.254583</v>
      </c>
      <c r="M653">
        <v>-76.924385</v>
      </c>
      <c r="N653">
        <f>HYPERLINK("https://www.google.com/maps/search/?api=1&amp;query=-12.254583,-76.924385","Carretera Panamericana Sur, Lurín, Lima")</f>
      </c>
      <c r="O653" t="str">
        <v>Aceleración brusca</v>
      </c>
      <c r="P653" t="str">
        <v>CMT-910</v>
      </c>
      <c r="Q653">
        <v>2186.7</v>
      </c>
      <c r="R653" t="str">
        <v/>
      </c>
      <c r="S653">
        <v>58.7</v>
      </c>
      <c r="T653">
        <v>84.32</v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>
        <v>93</v>
      </c>
      <c r="AC653" t="str">
        <v>01/10/2026</v>
      </c>
      <c r="AD653" t="str">
        <v>15:51:15</v>
      </c>
      <c r="AE653">
        <f>IF("ONLINE"="NOGPS","GPS Antiguo","En línea")</f>
      </c>
      <c r="AF653">
        <f>IF(0=0,"Sin atender", IF(0=1,"Atendida","Atendida y Reportada"))</f>
      </c>
      <c r="AG653" t="str">
        <v/>
      </c>
      <c r="AH653" t="str">
        <v/>
      </c>
      <c r="AI653" t="str">
        <v/>
      </c>
      <c r="AJ653" t="str">
        <v/>
      </c>
      <c r="AK653" t="str">
        <v>01/10/2026 15:51:32</v>
      </c>
      <c r="AL653" t="str">
        <v>15:51:32</v>
      </c>
      <c r="AM653" t="str">
        <v/>
      </c>
    </row>
    <row r="654">
      <c r="A654">
        <v>653</v>
      </c>
      <c r="B654" t="str">
        <v>MASS BSF</v>
      </c>
      <c r="C654" t="str">
        <v>F8R-810</v>
      </c>
      <c r="D654" t="str">
        <v>F8R-810</v>
      </c>
      <c r="E654" t="str">
        <v/>
      </c>
      <c r="F654" t="str">
        <v>867806078868827</v>
      </c>
      <c r="G654" t="str">
        <v>TBD</v>
      </c>
      <c r="H654" t="str">
        <v/>
      </c>
      <c r="I654" t="str">
        <v/>
      </c>
      <c r="J654" t="str">
        <v>01/10/2026</v>
      </c>
      <c r="K654" t="str">
        <v>15:53:43</v>
      </c>
      <c r="L654">
        <v>-12.268249</v>
      </c>
      <c r="M654">
        <v>-76.90234</v>
      </c>
      <c r="N654">
        <f>HYPERLINK("https://www.google.com/maps/search/?api=1&amp;query=-12.268249,-76.90234","Carretera Panamericana Sur, Lurín, Lima")</f>
      </c>
      <c r="O654" t="str">
        <v>Aceleración brusca</v>
      </c>
      <c r="P654" t="str">
        <v>CMT-910</v>
      </c>
      <c r="Q654">
        <v>2189.5</v>
      </c>
      <c r="R654" t="str">
        <v/>
      </c>
      <c r="S654">
        <v>74.2</v>
      </c>
      <c r="T654">
        <v>84.32</v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>
        <v>93</v>
      </c>
      <c r="AC654" t="str">
        <v>01/10/2026</v>
      </c>
      <c r="AD654" t="str">
        <v>15:53:40</v>
      </c>
      <c r="AE654">
        <f>IF("ONLINE"="NOGPS","GPS Antiguo","En línea")</f>
      </c>
      <c r="AF654">
        <f>IF(0=0,"Sin atender", IF(0=1,"Atendida","Atendida y Reportada"))</f>
      </c>
      <c r="AG654" t="str">
        <v/>
      </c>
      <c r="AH654" t="str">
        <v/>
      </c>
      <c r="AI654" t="str">
        <v/>
      </c>
      <c r="AJ654" t="str">
        <v/>
      </c>
      <c r="AK654" t="str">
        <v>01/10/2026 15:53:56</v>
      </c>
      <c r="AL654" t="str">
        <v>15:53:56</v>
      </c>
      <c r="AM654" t="str">
        <v/>
      </c>
    </row>
    <row r="655">
      <c r="A655">
        <v>654</v>
      </c>
      <c r="B655" t="str">
        <v>MASS BSF</v>
      </c>
      <c r="C655" t="str">
        <v>F8R-810</v>
      </c>
      <c r="D655" t="str">
        <v>F8R-810</v>
      </c>
      <c r="E655" t="str">
        <v/>
      </c>
      <c r="F655" t="str">
        <v>867806078868827</v>
      </c>
      <c r="G655" t="str">
        <v>TBD</v>
      </c>
      <c r="H655" t="str">
        <v/>
      </c>
      <c r="I655" t="str">
        <v/>
      </c>
      <c r="J655" t="str">
        <v>01/10/2026</v>
      </c>
      <c r="K655" t="str">
        <v>15:53:56</v>
      </c>
      <c r="L655">
        <v>-12.269577</v>
      </c>
      <c r="M655">
        <v>-76.90024</v>
      </c>
      <c r="N655">
        <f>HYPERLINK("https://www.google.com/maps/search/?api=1&amp;query=-12.269577,-76.90024","Carretera Panamericana Sur, Lurín, Lima")</f>
      </c>
      <c r="O655" t="str">
        <v>Aceleración brusca</v>
      </c>
      <c r="P655" t="str">
        <v>CMT-910</v>
      </c>
      <c r="Q655">
        <v>2189.8</v>
      </c>
      <c r="R655" t="str">
        <v/>
      </c>
      <c r="S655">
        <v>75.7</v>
      </c>
      <c r="T655">
        <v>84.32</v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>
        <v>93</v>
      </c>
      <c r="AC655" t="str">
        <v>01/10/2026</v>
      </c>
      <c r="AD655" t="str">
        <v>15:53:53</v>
      </c>
      <c r="AE655">
        <f>IF("ONLINE"="NOGPS","GPS Antiguo","En línea")</f>
      </c>
      <c r="AF655">
        <f>IF(0=0,"Sin atender", IF(0=1,"Atendida","Atendida y Reportada"))</f>
      </c>
      <c r="AG655" t="str">
        <v/>
      </c>
      <c r="AH655" t="str">
        <v/>
      </c>
      <c r="AI655" t="str">
        <v/>
      </c>
      <c r="AJ655" t="str">
        <v/>
      </c>
      <c r="AK655" t="str">
        <v>01/10/2026 15:54:10</v>
      </c>
      <c r="AL655" t="str">
        <v>15:54:10</v>
      </c>
      <c r="AM655" t="str">
        <v/>
      </c>
    </row>
    <row r="656">
      <c r="A656">
        <v>655</v>
      </c>
      <c r="B656" t="str">
        <v>MASS BSF</v>
      </c>
      <c r="C656" t="str">
        <v>F8R-810</v>
      </c>
      <c r="D656" t="str">
        <v>F8R-810</v>
      </c>
      <c r="E656" t="str">
        <v/>
      </c>
      <c r="F656" t="str">
        <v>867806078868827</v>
      </c>
      <c r="G656" t="str">
        <v>TBD</v>
      </c>
      <c r="H656" t="str">
        <v/>
      </c>
      <c r="I656" t="str">
        <v/>
      </c>
      <c r="J656" t="str">
        <v>01/10/2026</v>
      </c>
      <c r="K656" t="str">
        <v>15:54:35</v>
      </c>
      <c r="L656">
        <v>-12.273633</v>
      </c>
      <c r="M656">
        <v>-76.89385</v>
      </c>
      <c r="N656">
        <f>HYPERLINK("https://www.google.com/maps/search/?api=1&amp;query=-12.273633,-76.89385","Carretera Panamericana Sur, Lurín, Lima")</f>
      </c>
      <c r="O656" t="str">
        <v>Aceleración brusca</v>
      </c>
      <c r="P656" t="str">
        <v>CMT-910</v>
      </c>
      <c r="Q656">
        <v>2190.6</v>
      </c>
      <c r="R656" t="str">
        <v/>
      </c>
      <c r="S656">
        <v>73.3</v>
      </c>
      <c r="T656">
        <v>84.32</v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>
        <v>93</v>
      </c>
      <c r="AC656" t="str">
        <v>01/10/2026</v>
      </c>
      <c r="AD656" t="str">
        <v>15:54:32</v>
      </c>
      <c r="AE656">
        <f>IF("ONLINE"="NOGPS","GPS Antiguo","En línea")</f>
      </c>
      <c r="AF656">
        <f>IF(0=0,"Sin atender", IF(0=1,"Atendida","Atendida y Reportada"))</f>
      </c>
      <c r="AG656" t="str">
        <v/>
      </c>
      <c r="AH656" t="str">
        <v/>
      </c>
      <c r="AI656" t="str">
        <v/>
      </c>
      <c r="AJ656" t="str">
        <v/>
      </c>
      <c r="AK656" t="str">
        <v>01/10/2026 15:54:42</v>
      </c>
      <c r="AL656" t="str">
        <v>15:54:42</v>
      </c>
      <c r="AM656" t="str">
        <v/>
      </c>
    </row>
    <row r="657">
      <c r="A657">
        <v>656</v>
      </c>
      <c r="B657" t="str">
        <v>MASS BSF</v>
      </c>
      <c r="C657" t="str">
        <v>F8R-810</v>
      </c>
      <c r="D657" t="str">
        <v>F8R-810</v>
      </c>
      <c r="E657" t="str">
        <v/>
      </c>
      <c r="F657" t="str">
        <v>867806078868827</v>
      </c>
      <c r="G657" t="str">
        <v>TBD</v>
      </c>
      <c r="H657" t="str">
        <v/>
      </c>
      <c r="I657" t="str">
        <v/>
      </c>
      <c r="J657" t="str">
        <v>01/10/2026</v>
      </c>
      <c r="K657" t="str">
        <v>15:54:54</v>
      </c>
      <c r="L657">
        <v>-12.275514</v>
      </c>
      <c r="M657">
        <v>-76.890854</v>
      </c>
      <c r="N657">
        <f>HYPERLINK("https://www.google.com/maps/search/?api=1&amp;query=-12.275514,-76.890854","Carretera Panamericana Sur, Lurín, Lima")</f>
      </c>
      <c r="O657" t="str">
        <v>Aceleración brusca</v>
      </c>
      <c r="P657" t="str">
        <v>CMT-910</v>
      </c>
      <c r="Q657">
        <v>2191</v>
      </c>
      <c r="R657" t="str">
        <v/>
      </c>
      <c r="S657">
        <v>73.3</v>
      </c>
      <c r="T657">
        <v>84.32</v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>
        <v>93</v>
      </c>
      <c r="AC657" t="str">
        <v>01/10/2026</v>
      </c>
      <c r="AD657" t="str">
        <v>15:54:51</v>
      </c>
      <c r="AE657">
        <f>IF("ONLINE"="NOGPS","GPS Antiguo","En línea")</f>
      </c>
      <c r="AF657">
        <f>IF(0=0,"Sin atender", IF(0=1,"Atendida","Atendida y Reportada"))</f>
      </c>
      <c r="AG657" t="str">
        <v/>
      </c>
      <c r="AH657" t="str">
        <v/>
      </c>
      <c r="AI657" t="str">
        <v/>
      </c>
      <c r="AJ657" t="str">
        <v/>
      </c>
      <c r="AK657" t="str">
        <v>01/10/2026 15:55:04</v>
      </c>
      <c r="AL657" t="str">
        <v>15:55:04</v>
      </c>
      <c r="AM657" t="str">
        <v/>
      </c>
    </row>
    <row r="658">
      <c r="A658">
        <v>657</v>
      </c>
      <c r="B658" t="str">
        <v>MASS BSF</v>
      </c>
      <c r="C658" t="str">
        <v>F8R-810</v>
      </c>
      <c r="D658" t="str">
        <v>F8R-810</v>
      </c>
      <c r="E658" t="str">
        <v/>
      </c>
      <c r="F658" t="str">
        <v>867806078868827</v>
      </c>
      <c r="G658" t="str">
        <v>TBD</v>
      </c>
      <c r="H658" t="str">
        <v/>
      </c>
      <c r="I658" t="str">
        <v/>
      </c>
      <c r="J658" t="str">
        <v>01/10/2026</v>
      </c>
      <c r="K658" t="str">
        <v>15:55:17</v>
      </c>
      <c r="L658">
        <v>-12.277763</v>
      </c>
      <c r="M658">
        <v>-76.88728</v>
      </c>
      <c r="N658">
        <f>HYPERLINK("https://www.google.com/maps/search/?api=1&amp;query=-12.277763,-76.88728","Carretera Panamericana Sur, Lurín, Lima")</f>
      </c>
      <c r="O658" t="str">
        <v>Aceleración brusca</v>
      </c>
      <c r="P658" t="str">
        <v>CMT-910</v>
      </c>
      <c r="Q658">
        <v>2191.5</v>
      </c>
      <c r="R658" t="str">
        <v/>
      </c>
      <c r="S658">
        <v>75.3</v>
      </c>
      <c r="T658">
        <v>84.32</v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>
        <v>93</v>
      </c>
      <c r="AC658" t="str">
        <v>01/10/2026</v>
      </c>
      <c r="AD658" t="str">
        <v>15:55:13</v>
      </c>
      <c r="AE658">
        <f>IF("ONLINE"="NOGPS","GPS Antiguo","En línea")</f>
      </c>
      <c r="AF658">
        <f>IF(0=0,"Sin atender", IF(0=1,"Atendida","Atendida y Reportada"))</f>
      </c>
      <c r="AG658" t="str">
        <v/>
      </c>
      <c r="AH658" t="str">
        <v/>
      </c>
      <c r="AI658" t="str">
        <v/>
      </c>
      <c r="AJ658" t="str">
        <v/>
      </c>
      <c r="AK658" t="str">
        <v>01/10/2026 15:55:30</v>
      </c>
      <c r="AL658" t="str">
        <v>15:55:30</v>
      </c>
      <c r="AM658" t="str">
        <v/>
      </c>
    </row>
    <row r="659">
      <c r="A659">
        <v>658</v>
      </c>
      <c r="B659" t="str">
        <v>MASS BSF</v>
      </c>
      <c r="C659" t="str">
        <v>F8R-810</v>
      </c>
      <c r="D659" t="str">
        <v>F8R-810</v>
      </c>
      <c r="E659" t="str">
        <v/>
      </c>
      <c r="F659" t="str">
        <v>867806078868827</v>
      </c>
      <c r="G659" t="str">
        <v>TBD</v>
      </c>
      <c r="H659" t="str">
        <v/>
      </c>
      <c r="I659" t="str">
        <v/>
      </c>
      <c r="J659" t="str">
        <v>01/10/2026</v>
      </c>
      <c r="K659" t="str">
        <v>15:55:48</v>
      </c>
      <c r="L659">
        <v>-12.281022</v>
      </c>
      <c r="M659">
        <v>-76.88208</v>
      </c>
      <c r="N659">
        <f>HYPERLINK("https://www.google.com/maps/search/?api=1&amp;query=-12.281022,-76.88208","Carretera Panamericana Sur, Lurín, Lima")</f>
      </c>
      <c r="O659" t="str">
        <v>Aceleración brusca</v>
      </c>
      <c r="P659" t="str">
        <v>CMT-910</v>
      </c>
      <c r="Q659">
        <v>2192.1</v>
      </c>
      <c r="R659" t="str">
        <v/>
      </c>
      <c r="S659">
        <v>74.2</v>
      </c>
      <c r="T659">
        <v>84.32</v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>
        <v>93</v>
      </c>
      <c r="AC659" t="str">
        <v>01/10/2026</v>
      </c>
      <c r="AD659" t="str">
        <v>15:55:45</v>
      </c>
      <c r="AE659">
        <f>IF("ONLINE"="NOGPS","GPS Antiguo","En línea")</f>
      </c>
      <c r="AF659">
        <f>IF(0=0,"Sin atender", IF(0=1,"Atendida","Atendida y Reportada"))</f>
      </c>
      <c r="AG659" t="str">
        <v/>
      </c>
      <c r="AH659" t="str">
        <v/>
      </c>
      <c r="AI659" t="str">
        <v/>
      </c>
      <c r="AJ659" t="str">
        <v/>
      </c>
      <c r="AK659" t="str">
        <v>01/10/2026 15:56:00</v>
      </c>
      <c r="AL659" t="str">
        <v>15:56:00</v>
      </c>
      <c r="AM659" t="str">
        <v/>
      </c>
    </row>
    <row r="660">
      <c r="A660">
        <v>659</v>
      </c>
      <c r="B660" t="str">
        <v>MASS BSF</v>
      </c>
      <c r="C660" t="str">
        <v>F8R-810</v>
      </c>
      <c r="D660" t="str">
        <v>F8R-810</v>
      </c>
      <c r="E660" t="str">
        <v/>
      </c>
      <c r="F660" t="str">
        <v>867806078868827</v>
      </c>
      <c r="G660" t="str">
        <v>TBD</v>
      </c>
      <c r="H660" t="str">
        <v/>
      </c>
      <c r="I660" t="str">
        <v/>
      </c>
      <c r="J660" t="str">
        <v>01/10/2026</v>
      </c>
      <c r="K660" t="str">
        <v>15:58:13</v>
      </c>
      <c r="L660">
        <v>-12.294468</v>
      </c>
      <c r="M660">
        <v>-76.86064</v>
      </c>
      <c r="N660">
        <f>HYPERLINK("https://www.google.com/maps/search/?api=1&amp;query=-12.294468,-76.86064","Carretera Panamericana Sur, Lurín, Lima")</f>
      </c>
      <c r="O660" t="str">
        <v>Aceleración brusca</v>
      </c>
      <c r="P660" t="str">
        <v>CMT-910</v>
      </c>
      <c r="Q660">
        <v>2194.9</v>
      </c>
      <c r="R660" t="str">
        <v/>
      </c>
      <c r="S660">
        <v>64</v>
      </c>
      <c r="T660">
        <v>84.32</v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>
        <v>86</v>
      </c>
      <c r="AC660" t="str">
        <v>01/10/2026</v>
      </c>
      <c r="AD660" t="str">
        <v>15:58:09</v>
      </c>
      <c r="AE660">
        <f>IF("ONLINE"="NOGPS","GPS Antiguo","En línea")</f>
      </c>
      <c r="AF660">
        <f>IF(0=0,"Sin atender", IF(0=1,"Atendida","Atendida y Reportada"))</f>
      </c>
      <c r="AG660" t="str">
        <v/>
      </c>
      <c r="AH660" t="str">
        <v/>
      </c>
      <c r="AI660" t="str">
        <v/>
      </c>
      <c r="AJ660" t="str">
        <v/>
      </c>
      <c r="AK660" t="str">
        <v>01/10/2026 15:58:29</v>
      </c>
      <c r="AL660" t="str">
        <v>15:58:29</v>
      </c>
      <c r="AM660" t="str">
        <v/>
      </c>
    </row>
    <row r="661">
      <c r="A661">
        <v>660</v>
      </c>
      <c r="B661" t="str">
        <v>MASS BSF</v>
      </c>
      <c r="C661" t="str">
        <v>F8R-810</v>
      </c>
      <c r="D661" t="str">
        <v>F8R-810</v>
      </c>
      <c r="E661" t="str">
        <v/>
      </c>
      <c r="F661" t="str">
        <v>867806078868827</v>
      </c>
      <c r="G661" t="str">
        <v>TBD</v>
      </c>
      <c r="H661" t="str">
        <v/>
      </c>
      <c r="I661" t="str">
        <v/>
      </c>
      <c r="J661" t="str">
        <v>01/10/2026</v>
      </c>
      <c r="K661" t="str">
        <v>15:59:32</v>
      </c>
      <c r="L661">
        <v>-12.299873</v>
      </c>
      <c r="M661">
        <v>-76.84947</v>
      </c>
      <c r="N661">
        <f>HYPERLINK("https://www.google.com/maps/search/?api=1&amp;query=-12.299873,-76.84947","Carretera Panamericana Sur, Lurín, Lima")</f>
      </c>
      <c r="O661" t="str">
        <v>Acelerado y giro brusco</v>
      </c>
      <c r="P661" t="str">
        <v/>
      </c>
      <c r="Q661">
        <v>2196.2</v>
      </c>
      <c r="R661" t="str">
        <v/>
      </c>
      <c r="S661">
        <v>61.6</v>
      </c>
      <c r="T661">
        <v>84.32</v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>
        <v>93</v>
      </c>
      <c r="AC661" t="str">
        <v>01/10/2026</v>
      </c>
      <c r="AD661" t="str">
        <v>15:59:29</v>
      </c>
      <c r="AE661">
        <f>IF("ONLINE"="NOGPS","GPS Antiguo","En línea")</f>
      </c>
      <c r="AF661">
        <f>IF(0=0,"Sin atender", IF(0=1,"Atendida","Atendida y Reportada"))</f>
      </c>
      <c r="AG661" t="str">
        <v/>
      </c>
      <c r="AH661" t="str">
        <v/>
      </c>
      <c r="AI661" t="str">
        <v/>
      </c>
      <c r="AJ661" t="str">
        <v/>
      </c>
      <c r="AK661" t="str">
        <v>01/10/2026 15:59:54</v>
      </c>
      <c r="AL661" t="str">
        <v>15:59:54</v>
      </c>
      <c r="AM661" t="str">
        <v/>
      </c>
    </row>
    <row r="662">
      <c r="A662">
        <v>661</v>
      </c>
      <c r="B662" t="str">
        <v>MASS BSF</v>
      </c>
      <c r="C662" t="str">
        <v>F8R-810</v>
      </c>
      <c r="D662" t="str">
        <v>F8R-810</v>
      </c>
      <c r="E662" t="str">
        <v/>
      </c>
      <c r="F662" t="str">
        <v>867806078868827</v>
      </c>
      <c r="G662" t="str">
        <v>TBD</v>
      </c>
      <c r="H662" t="str">
        <v/>
      </c>
      <c r="I662" t="str">
        <v/>
      </c>
      <c r="J662" t="str">
        <v>01/10/2026</v>
      </c>
      <c r="K662" t="str">
        <v>16:00:11</v>
      </c>
      <c r="L662">
        <v>-12.302312</v>
      </c>
      <c r="M662">
        <v>-76.84399</v>
      </c>
      <c r="N662">
        <f>HYPERLINK("https://www.google.com/maps/search/?api=1&amp;query=-12.302312,-76.84399","Carretera Panamericana Sur, Lurín, Lima")</f>
      </c>
      <c r="O662" t="str">
        <v>Acelerado y giro brusco</v>
      </c>
      <c r="P662" t="str">
        <v/>
      </c>
      <c r="Q662">
        <v>2196.9</v>
      </c>
      <c r="R662" t="str">
        <v/>
      </c>
      <c r="S662">
        <v>52.9</v>
      </c>
      <c r="T662">
        <v>84.32</v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>
        <v>93</v>
      </c>
      <c r="AC662" t="str">
        <v>01/10/2026</v>
      </c>
      <c r="AD662" t="str">
        <v>16:00:07</v>
      </c>
      <c r="AE662">
        <f>IF("ONLINE"="NOGPS","GPS Antiguo","En línea")</f>
      </c>
      <c r="AF662">
        <f>IF(0=0,"Sin atender", IF(0=1,"Atendida","Atendida y Reportada"))</f>
      </c>
      <c r="AG662" t="str">
        <v/>
      </c>
      <c r="AH662" t="str">
        <v/>
      </c>
      <c r="AI662" t="str">
        <v/>
      </c>
      <c r="AJ662" t="str">
        <v/>
      </c>
      <c r="AK662" t="str">
        <v>01/10/2026 16:00:30</v>
      </c>
      <c r="AL662" t="str">
        <v>16:00:30</v>
      </c>
      <c r="AM662" t="str">
        <v/>
      </c>
    </row>
    <row r="663">
      <c r="A663">
        <v>662</v>
      </c>
      <c r="B663" t="str">
        <v>MASS BSF</v>
      </c>
      <c r="C663" t="str">
        <v>F8R-810</v>
      </c>
      <c r="D663" t="str">
        <v>F8R-810</v>
      </c>
      <c r="E663" t="str">
        <v/>
      </c>
      <c r="F663" t="str">
        <v>867806078868827</v>
      </c>
      <c r="G663" t="str">
        <v>TBD</v>
      </c>
      <c r="H663" t="str">
        <v/>
      </c>
      <c r="I663" t="str">
        <v/>
      </c>
      <c r="J663" t="str">
        <v>01/10/2026</v>
      </c>
      <c r="K663" t="str">
        <v>16:00:22</v>
      </c>
      <c r="L663">
        <v>-12.302967</v>
      </c>
      <c r="M663">
        <v>-76.842705</v>
      </c>
      <c r="N663">
        <f>HYPERLINK("https://www.google.com/maps/search/?api=1&amp;query=-12.302967,-76.842705","Carretera Panamericana Sur, Lurín, Lima")</f>
      </c>
      <c r="O663" t="str">
        <v>Acelerado y giro brusco</v>
      </c>
      <c r="P663" t="str">
        <v/>
      </c>
      <c r="Q663">
        <v>2197.1</v>
      </c>
      <c r="R663" t="str">
        <v/>
      </c>
      <c r="S663">
        <v>54.4</v>
      </c>
      <c r="T663">
        <v>84.32</v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>
        <v>93</v>
      </c>
      <c r="AC663" t="str">
        <v>01/10/2026</v>
      </c>
      <c r="AD663" t="str">
        <v>16:00:18</v>
      </c>
      <c r="AE663">
        <f>IF("ONLINE"="NOGPS","GPS Antiguo","En línea")</f>
      </c>
      <c r="AF663">
        <f>IF(0=0,"Sin atender", IF(0=1,"Atendida","Atendida y Reportada"))</f>
      </c>
      <c r="AG663" t="str">
        <v/>
      </c>
      <c r="AH663" t="str">
        <v/>
      </c>
      <c r="AI663" t="str">
        <v/>
      </c>
      <c r="AJ663" t="str">
        <v/>
      </c>
      <c r="AK663" t="str">
        <v>01/10/2026 16:00:33</v>
      </c>
      <c r="AL663" t="str">
        <v>16:00:33</v>
      </c>
      <c r="AM663" t="str">
        <v/>
      </c>
    </row>
    <row r="664">
      <c r="A664">
        <v>663</v>
      </c>
      <c r="B664" t="str">
        <v>MASS BSF</v>
      </c>
      <c r="C664" t="str">
        <v>F8R-810</v>
      </c>
      <c r="D664" t="str">
        <v>F8R-810</v>
      </c>
      <c r="E664" t="str">
        <v/>
      </c>
      <c r="F664" t="str">
        <v>867806078868827</v>
      </c>
      <c r="G664" t="str">
        <v>TBD</v>
      </c>
      <c r="H664" t="str">
        <v/>
      </c>
      <c r="I664" t="str">
        <v/>
      </c>
      <c r="J664" t="str">
        <v>01/10/2026</v>
      </c>
      <c r="K664" t="str">
        <v>16:00:43</v>
      </c>
      <c r="L664">
        <v>-12.304613</v>
      </c>
      <c r="M664">
        <v>-76.84026</v>
      </c>
      <c r="N664">
        <f>HYPERLINK("https://www.google.com/maps/search/?api=1&amp;query=-12.304613,-76.84026","Carretera Panamericana Sur, Lurín, Lima")</f>
      </c>
      <c r="O664" t="str">
        <v>Acelerado y giro brusco</v>
      </c>
      <c r="P664" t="str">
        <v/>
      </c>
      <c r="Q664">
        <v>2197.4</v>
      </c>
      <c r="R664" t="str">
        <v/>
      </c>
      <c r="S664">
        <v>54.6</v>
      </c>
      <c r="T664">
        <v>84.32</v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>
        <v>88</v>
      </c>
      <c r="AC664" t="str">
        <v>01/10/2026</v>
      </c>
      <c r="AD664" t="str">
        <v>16:00:39</v>
      </c>
      <c r="AE664">
        <f>IF("ONLINE"="NOGPS","GPS Antiguo","En línea")</f>
      </c>
      <c r="AF664">
        <f>IF(0=0,"Sin atender", IF(0=1,"Atendida","Atendida y Reportada"))</f>
      </c>
      <c r="AG664" t="str">
        <v/>
      </c>
      <c r="AH664" t="str">
        <v/>
      </c>
      <c r="AI664" t="str">
        <v/>
      </c>
      <c r="AJ664" t="str">
        <v/>
      </c>
      <c r="AK664" t="str">
        <v>01/10/2026 16:01:00</v>
      </c>
      <c r="AL664" t="str">
        <v>16:01:00</v>
      </c>
      <c r="AM664" t="str">
        <v/>
      </c>
    </row>
    <row r="665">
      <c r="A665">
        <v>664</v>
      </c>
      <c r="B665" t="str">
        <v>MASS BSF</v>
      </c>
      <c r="C665" t="str">
        <v>F8R-810</v>
      </c>
      <c r="D665" t="str">
        <v>F8R-810</v>
      </c>
      <c r="E665" t="str">
        <v/>
      </c>
      <c r="F665" t="str">
        <v>867806078868827</v>
      </c>
      <c r="G665" t="str">
        <v>TBD</v>
      </c>
      <c r="H665" t="str">
        <v/>
      </c>
      <c r="I665" t="str">
        <v/>
      </c>
      <c r="J665" t="str">
        <v>01/10/2026</v>
      </c>
      <c r="K665" t="str">
        <v>16:01:25</v>
      </c>
      <c r="L665">
        <v>-12.308779</v>
      </c>
      <c r="M665">
        <v>-76.83645</v>
      </c>
      <c r="N665">
        <f>HYPERLINK("https://www.google.com/maps/search/?api=1&amp;query=-12.308779,-76.83645","Carretera Panamericana Sur, Punta Hermosa, Lima")</f>
      </c>
      <c r="O665" t="str">
        <v>Aceleración brusca</v>
      </c>
      <c r="P665" t="str">
        <v>CMT-910</v>
      </c>
      <c r="Q665">
        <v>2198</v>
      </c>
      <c r="R665" t="str">
        <v/>
      </c>
      <c r="S665">
        <v>54.4</v>
      </c>
      <c r="T665">
        <v>84.32</v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>
        <v>88</v>
      </c>
      <c r="AC665" t="str">
        <v>01/10/2026</v>
      </c>
      <c r="AD665" t="str">
        <v>16:01:22</v>
      </c>
      <c r="AE665">
        <f>IF("ONLINE"="NOGPS","GPS Antiguo","En línea")</f>
      </c>
      <c r="AF665">
        <f>IF(0=0,"Sin atender", IF(0=1,"Atendida","Atendida y Reportada"))</f>
      </c>
      <c r="AG665" t="str">
        <v/>
      </c>
      <c r="AH665" t="str">
        <v/>
      </c>
      <c r="AI665" t="str">
        <v/>
      </c>
      <c r="AJ665" t="str">
        <v/>
      </c>
      <c r="AK665" t="str">
        <v>01/10/2026 16:01:31</v>
      </c>
      <c r="AL665" t="str">
        <v>16:01:31</v>
      </c>
      <c r="AM665" t="str">
        <v/>
      </c>
    </row>
    <row r="666">
      <c r="A666">
        <v>665</v>
      </c>
      <c r="B666" t="str">
        <v>MASS BSF</v>
      </c>
      <c r="C666" t="str">
        <v>F8R-810</v>
      </c>
      <c r="D666" t="str">
        <v>F8R-810</v>
      </c>
      <c r="E666" t="str">
        <v/>
      </c>
      <c r="F666" t="str">
        <v>867806078868827</v>
      </c>
      <c r="G666" t="str">
        <v>TBD</v>
      </c>
      <c r="H666" t="str">
        <v/>
      </c>
      <c r="I666" t="str">
        <v/>
      </c>
      <c r="J666" t="str">
        <v>01/10/2026</v>
      </c>
      <c r="K666" t="str">
        <v>16:01:37</v>
      </c>
      <c r="L666">
        <v>-12.31017</v>
      </c>
      <c r="M666">
        <v>-76.83552</v>
      </c>
      <c r="N666">
        <f>HYPERLINK("https://www.google.com/maps/search/?api=1&amp;query=-12.31017,-76.83552","Carretera Panamericana Sur, Punta Hermosa, Lima")</f>
      </c>
      <c r="O666" t="str">
        <v>Acelerado y giro brusco</v>
      </c>
      <c r="P666" t="str">
        <v/>
      </c>
      <c r="Q666">
        <v>2198.2</v>
      </c>
      <c r="R666" t="str">
        <v/>
      </c>
      <c r="S666">
        <v>55</v>
      </c>
      <c r="T666">
        <v>84.32</v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>
        <v>88</v>
      </c>
      <c r="AC666" t="str">
        <v>01/10/2026</v>
      </c>
      <c r="AD666" t="str">
        <v>16:01:34</v>
      </c>
      <c r="AE666">
        <f>IF("ONLINE"="NOGPS","GPS Antiguo","En línea")</f>
      </c>
      <c r="AF666">
        <f>IF(0=0,"Sin atender", IF(0=1,"Atendida","Atendida y Reportada"))</f>
      </c>
      <c r="AG666" t="str">
        <v/>
      </c>
      <c r="AH666" t="str">
        <v/>
      </c>
      <c r="AI666" t="str">
        <v/>
      </c>
      <c r="AJ666" t="str">
        <v/>
      </c>
      <c r="AK666" t="str">
        <v>01/10/2026 16:01:51</v>
      </c>
      <c r="AL666" t="str">
        <v>16:01:51</v>
      </c>
      <c r="AM666" t="str">
        <v/>
      </c>
    </row>
    <row r="667">
      <c r="A667">
        <v>666</v>
      </c>
      <c r="B667" t="str">
        <v>MASS BSF</v>
      </c>
      <c r="C667" t="str">
        <v>F8R-810</v>
      </c>
      <c r="D667" t="str">
        <v>F8R-810</v>
      </c>
      <c r="E667" t="str">
        <v/>
      </c>
      <c r="F667" t="str">
        <v>867806078868827</v>
      </c>
      <c r="G667" t="str">
        <v>TBD</v>
      </c>
      <c r="H667" t="str">
        <v/>
      </c>
      <c r="I667" t="str">
        <v/>
      </c>
      <c r="J667" t="str">
        <v>01/10/2026</v>
      </c>
      <c r="K667" t="str">
        <v>16:01:50</v>
      </c>
      <c r="L667">
        <v>-12.311685</v>
      </c>
      <c r="M667">
        <v>-76.834496</v>
      </c>
      <c r="N667">
        <f>HYPERLINK("https://www.google.com/maps/search/?api=1&amp;query=-12.311685,-76.834496","Carretera Panamericana Sur, Punta Hermosa, Lima")</f>
      </c>
      <c r="O667" t="str">
        <v>Aceleración brusca</v>
      </c>
      <c r="P667" t="str">
        <v>CMT-910</v>
      </c>
      <c r="Q667">
        <v>2198.4</v>
      </c>
      <c r="R667" t="str">
        <v/>
      </c>
      <c r="S667">
        <v>63.7</v>
      </c>
      <c r="T667">
        <v>84.32</v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>
        <v>88</v>
      </c>
      <c r="AC667" t="str">
        <v>01/10/2026</v>
      </c>
      <c r="AD667" t="str">
        <v>16:01:46</v>
      </c>
      <c r="AE667">
        <f>IF("ONLINE"="NOGPS","GPS Antiguo","En línea")</f>
      </c>
      <c r="AF667">
        <f>IF(0=0,"Sin atender", IF(0=1,"Atendida","Atendida y Reportada"))</f>
      </c>
      <c r="AG667" t="str">
        <v/>
      </c>
      <c r="AH667" t="str">
        <v/>
      </c>
      <c r="AI667" t="str">
        <v/>
      </c>
      <c r="AJ667" t="str">
        <v/>
      </c>
      <c r="AK667" t="str">
        <v>01/10/2026 16:02:18</v>
      </c>
      <c r="AL667" t="str">
        <v>16:02:18</v>
      </c>
      <c r="AM667" t="str">
        <v/>
      </c>
    </row>
    <row r="668">
      <c r="A668">
        <v>667</v>
      </c>
      <c r="B668" t="str">
        <v>MASS BSF</v>
      </c>
      <c r="C668" t="str">
        <v>F8R-810</v>
      </c>
      <c r="D668" t="str">
        <v>F8R-810</v>
      </c>
      <c r="E668" t="str">
        <v/>
      </c>
      <c r="F668" t="str">
        <v>867806078868827</v>
      </c>
      <c r="G668" t="str">
        <v>TBD</v>
      </c>
      <c r="H668" t="str">
        <v/>
      </c>
      <c r="I668" t="str">
        <v/>
      </c>
      <c r="J668" t="str">
        <v>01/10/2026</v>
      </c>
      <c r="K668" t="str">
        <v>16:01:57</v>
      </c>
      <c r="L668">
        <v>-12.312643</v>
      </c>
      <c r="M668">
        <v>-76.833855</v>
      </c>
      <c r="N668">
        <f>HYPERLINK("https://www.google.com/maps/search/?api=1&amp;query=-12.312643,-76.833855","Carretera Panamericana Sur, Punta Hermosa, Lima")</f>
      </c>
      <c r="O668" t="str">
        <v>Acelerado y giro brusco</v>
      </c>
      <c r="P668" t="str">
        <v/>
      </c>
      <c r="Q668">
        <v>2198.5</v>
      </c>
      <c r="R668" t="str">
        <v/>
      </c>
      <c r="S668">
        <v>65</v>
      </c>
      <c r="T668">
        <v>84.32</v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>
        <v>88</v>
      </c>
      <c r="AC668" t="str">
        <v>01/10/2026</v>
      </c>
      <c r="AD668" t="str">
        <v>16:01:53</v>
      </c>
      <c r="AE668">
        <f>IF("ONLINE"="NOGPS","GPS Antiguo","En línea")</f>
      </c>
      <c r="AF668">
        <f>IF(0=0,"Sin atender", IF(0=1,"Atendida","Atendida y Reportada"))</f>
      </c>
      <c r="AG668" t="str">
        <v/>
      </c>
      <c r="AH668" t="str">
        <v/>
      </c>
      <c r="AI668" t="str">
        <v/>
      </c>
      <c r="AJ668" t="str">
        <v/>
      </c>
      <c r="AK668" t="str">
        <v>01/10/2026 16:02:10</v>
      </c>
      <c r="AL668" t="str">
        <v>16:02:10</v>
      </c>
      <c r="AM668" t="str">
        <v/>
      </c>
    </row>
    <row r="669">
      <c r="A669">
        <v>668</v>
      </c>
      <c r="B669" t="str">
        <v>MASS BSF</v>
      </c>
      <c r="C669" t="str">
        <v>F8R-810</v>
      </c>
      <c r="D669" t="str">
        <v>F8R-810</v>
      </c>
      <c r="E669" t="str">
        <v/>
      </c>
      <c r="F669" t="str">
        <v>867806078868827</v>
      </c>
      <c r="G669" t="str">
        <v>TBD</v>
      </c>
      <c r="H669" t="str">
        <v/>
      </c>
      <c r="I669" t="str">
        <v/>
      </c>
      <c r="J669" t="str">
        <v>01/10/2026</v>
      </c>
      <c r="K669" t="str">
        <v>16:02:09</v>
      </c>
      <c r="L669">
        <v>-12.314235</v>
      </c>
      <c r="M669">
        <v>-76.832794</v>
      </c>
      <c r="N669">
        <f>HYPERLINK("https://www.google.com/maps/search/?api=1&amp;query=-12.314235,-76.832794","Carretera Panamericana Sur, Punta Hermosa, Lima")</f>
      </c>
      <c r="O669" t="str">
        <v>Aceleración brusca</v>
      </c>
      <c r="P669" t="str">
        <v>CMT-910</v>
      </c>
      <c r="Q669">
        <v>2198.7</v>
      </c>
      <c r="R669" t="str">
        <v/>
      </c>
      <c r="S669">
        <v>62.5</v>
      </c>
      <c r="T669">
        <v>84.32</v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>
        <v>88</v>
      </c>
      <c r="AC669" t="str">
        <v>01/10/2026</v>
      </c>
      <c r="AD669" t="str">
        <v>16:02:05</v>
      </c>
      <c r="AE669">
        <f>IF("ONLINE"="NOGPS","GPS Antiguo","En línea")</f>
      </c>
      <c r="AF669">
        <f>IF(0=0,"Sin atender", IF(0=1,"Atendida","Atendida y Reportada"))</f>
      </c>
      <c r="AG669" t="str">
        <v/>
      </c>
      <c r="AH669" t="str">
        <v/>
      </c>
      <c r="AI669" t="str">
        <v/>
      </c>
      <c r="AJ669" t="str">
        <v/>
      </c>
      <c r="AK669" t="str">
        <v>01/10/2026 16:02:12</v>
      </c>
      <c r="AL669" t="str">
        <v>16:02:12</v>
      </c>
      <c r="AM669" t="str">
        <v/>
      </c>
    </row>
    <row r="670">
      <c r="A670">
        <v>669</v>
      </c>
      <c r="B670" t="str">
        <v>MASS BSF</v>
      </c>
      <c r="C670" t="str">
        <v>F8R-810</v>
      </c>
      <c r="D670" t="str">
        <v>F8R-810</v>
      </c>
      <c r="E670" t="str">
        <v/>
      </c>
      <c r="F670" t="str">
        <v>867806078868827</v>
      </c>
      <c r="G670" t="str">
        <v>TBD</v>
      </c>
      <c r="H670" t="str">
        <v/>
      </c>
      <c r="I670" t="str">
        <v/>
      </c>
      <c r="J670" t="str">
        <v>01/10/2026</v>
      </c>
      <c r="K670" t="str">
        <v>16:02:35</v>
      </c>
      <c r="L670">
        <v>-12.317688</v>
      </c>
      <c r="M670">
        <v>-76.83049</v>
      </c>
      <c r="N670">
        <f>HYPERLINK("https://www.google.com/maps/search/?api=1&amp;query=-12.317688,-76.83049","Carretera Panamericana Sur, Punta Hermosa, Lima")</f>
      </c>
      <c r="O670" t="str">
        <v>Acelerado y giro brusco</v>
      </c>
      <c r="P670" t="str">
        <v/>
      </c>
      <c r="Q670">
        <v>2199.2</v>
      </c>
      <c r="R670" t="str">
        <v/>
      </c>
      <c r="S670">
        <v>59.8</v>
      </c>
      <c r="T670">
        <v>84.32</v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>
        <v>88</v>
      </c>
      <c r="AC670" t="str">
        <v>01/10/2026</v>
      </c>
      <c r="AD670" t="str">
        <v>16:02:32</v>
      </c>
      <c r="AE670">
        <f>IF("ONLINE"="NOGPS","GPS Antiguo","En línea")</f>
      </c>
      <c r="AF670">
        <f>IF(0=0,"Sin atender", IF(0=1,"Atendida","Atendida y Reportada"))</f>
      </c>
      <c r="AG670" t="str">
        <v/>
      </c>
      <c r="AH670" t="str">
        <v/>
      </c>
      <c r="AI670" t="str">
        <v/>
      </c>
      <c r="AJ670" t="str">
        <v/>
      </c>
      <c r="AK670" t="str">
        <v>01/10/2026 16:02:46</v>
      </c>
      <c r="AL670" t="str">
        <v>16:02:46</v>
      </c>
      <c r="AM670" t="str">
        <v/>
      </c>
    </row>
    <row r="671">
      <c r="A671">
        <v>670</v>
      </c>
      <c r="B671" t="str">
        <v>MASS BSF</v>
      </c>
      <c r="C671" t="str">
        <v>F8R-810</v>
      </c>
      <c r="D671" t="str">
        <v>F8R-810</v>
      </c>
      <c r="E671" t="str">
        <v/>
      </c>
      <c r="F671" t="str">
        <v>867806078868827</v>
      </c>
      <c r="G671" t="str">
        <v>TBD</v>
      </c>
      <c r="H671" t="str">
        <v/>
      </c>
      <c r="I671" t="str">
        <v/>
      </c>
      <c r="J671" t="str">
        <v>01/10/2026</v>
      </c>
      <c r="K671" t="str">
        <v>16:02:52</v>
      </c>
      <c r="L671">
        <v>-12.319965</v>
      </c>
      <c r="M671">
        <v>-76.828964</v>
      </c>
      <c r="N671">
        <f>HYPERLINK("https://www.google.com/maps/search/?api=1&amp;query=-12.319965,-76.828964","Carretera Panamericana Sur, Punta Hermosa, Lima")</f>
      </c>
      <c r="O671" t="str">
        <v>Aceleración brusca</v>
      </c>
      <c r="P671" t="str">
        <v>CMT-910</v>
      </c>
      <c r="Q671">
        <v>2199.5</v>
      </c>
      <c r="R671" t="str">
        <v/>
      </c>
      <c r="S671">
        <v>68.1</v>
      </c>
      <c r="T671">
        <v>84.32</v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>
        <v>88</v>
      </c>
      <c r="AC671" t="str">
        <v>01/10/2026</v>
      </c>
      <c r="AD671" t="str">
        <v>16:02:49</v>
      </c>
      <c r="AE671">
        <f>IF("ONLINE"="NOGPS","GPS Antiguo","En línea")</f>
      </c>
      <c r="AF671">
        <f>IF(0=0,"Sin atender", IF(0=1,"Atendida","Atendida y Reportada"))</f>
      </c>
      <c r="AG671" t="str">
        <v/>
      </c>
      <c r="AH671" t="str">
        <v/>
      </c>
      <c r="AI671" t="str">
        <v/>
      </c>
      <c r="AJ671" t="str">
        <v/>
      </c>
      <c r="AK671" t="str">
        <v>01/10/2026 16:03:05</v>
      </c>
      <c r="AL671" t="str">
        <v>16:03:05</v>
      </c>
      <c r="AM671" t="str">
        <v/>
      </c>
    </row>
    <row r="672">
      <c r="A672">
        <v>671</v>
      </c>
      <c r="B672" t="str">
        <v>MASS BSF</v>
      </c>
      <c r="C672" t="str">
        <v>F8R-810</v>
      </c>
      <c r="D672" t="str">
        <v>F8R-810</v>
      </c>
      <c r="E672" t="str">
        <v/>
      </c>
      <c r="F672" t="str">
        <v>867806078868827</v>
      </c>
      <c r="G672" t="str">
        <v>TBD</v>
      </c>
      <c r="H672" t="str">
        <v/>
      </c>
      <c r="I672" t="str">
        <v/>
      </c>
      <c r="J672" t="str">
        <v>01/10/2026</v>
      </c>
      <c r="K672" t="str">
        <v>16:03:09</v>
      </c>
      <c r="L672">
        <v>-12.322288</v>
      </c>
      <c r="M672">
        <v>-76.827415</v>
      </c>
      <c r="N672">
        <f>HYPERLINK("https://www.google.com/maps/search/?api=1&amp;query=-12.322288,-76.827415","Carretera Panamericana Sur, Punta Hermosa, Lima")</f>
      </c>
      <c r="O672" t="str">
        <v>Acelerado y giro brusco</v>
      </c>
      <c r="P672" t="str">
        <v/>
      </c>
      <c r="Q672">
        <v>2199.8</v>
      </c>
      <c r="R672" t="str">
        <v/>
      </c>
      <c r="S672">
        <v>69</v>
      </c>
      <c r="T672">
        <v>84.32</v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>
        <v>88</v>
      </c>
      <c r="AC672" t="str">
        <v>01/10/2026</v>
      </c>
      <c r="AD672" t="str">
        <v>16:03:05</v>
      </c>
      <c r="AE672">
        <f>IF("ONLINE"="NOGPS","GPS Antiguo","En línea")</f>
      </c>
      <c r="AF672">
        <f>IF(0=0,"Sin atender", IF(0=1,"Atendida","Atendida y Reportada"))</f>
      </c>
      <c r="AG672" t="str">
        <v/>
      </c>
      <c r="AH672" t="str">
        <v/>
      </c>
      <c r="AI672" t="str">
        <v/>
      </c>
      <c r="AJ672" t="str">
        <v/>
      </c>
      <c r="AK672" t="str">
        <v>01/10/2026 16:03:14</v>
      </c>
      <c r="AL672" t="str">
        <v>16:03:14</v>
      </c>
      <c r="AM672" t="str">
        <v/>
      </c>
    </row>
    <row r="673">
      <c r="A673">
        <v>672</v>
      </c>
      <c r="B673" t="str">
        <v>MASS BSF</v>
      </c>
      <c r="C673" t="str">
        <v>F8R-810</v>
      </c>
      <c r="D673" t="str">
        <v>F8R-810</v>
      </c>
      <c r="E673" t="str">
        <v/>
      </c>
      <c r="F673" t="str">
        <v>867806078868827</v>
      </c>
      <c r="G673" t="str">
        <v>TBD</v>
      </c>
      <c r="H673" t="str">
        <v/>
      </c>
      <c r="I673" t="str">
        <v/>
      </c>
      <c r="J673" t="str">
        <v>01/10/2026</v>
      </c>
      <c r="K673" t="str">
        <v>16:03:23</v>
      </c>
      <c r="L673">
        <v>-12.324265</v>
      </c>
      <c r="M673">
        <v>-76.826096</v>
      </c>
      <c r="N673">
        <f>HYPERLINK("https://www.google.com/maps/search/?api=1&amp;query=-12.324265,-76.826096","Carretera Panamericana Sur, Punta Hermosa, Lima")</f>
      </c>
      <c r="O673" t="str">
        <v>Aceleración brusca</v>
      </c>
      <c r="P673" t="str">
        <v>CMT-910</v>
      </c>
      <c r="Q673">
        <v>2200</v>
      </c>
      <c r="R673" t="str">
        <v/>
      </c>
      <c r="S673">
        <v>64.4</v>
      </c>
      <c r="T673">
        <v>84.32</v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>
        <v>88</v>
      </c>
      <c r="AC673" t="str">
        <v>01/10/2026</v>
      </c>
      <c r="AD673" t="str">
        <v>16:03:19</v>
      </c>
      <c r="AE673">
        <f>IF("ONLINE"="NOGPS","GPS Antiguo","En línea")</f>
      </c>
      <c r="AF673">
        <f>IF(0=0,"Sin atender", IF(0=1,"Atendida","Atendida y Reportada"))</f>
      </c>
      <c r="AG673" t="str">
        <v/>
      </c>
      <c r="AH673" t="str">
        <v/>
      </c>
      <c r="AI673" t="str">
        <v/>
      </c>
      <c r="AJ673" t="str">
        <v/>
      </c>
      <c r="AK673" t="str">
        <v>01/10/2026 16:03:41</v>
      </c>
      <c r="AL673" t="str">
        <v>16:03:41</v>
      </c>
      <c r="AM673" t="str">
        <v/>
      </c>
    </row>
    <row r="674">
      <c r="A674">
        <v>673</v>
      </c>
      <c r="B674" t="str">
        <v>MASS BSF</v>
      </c>
      <c r="C674" t="str">
        <v>F8R-810</v>
      </c>
      <c r="D674" t="str">
        <v>F8R-810</v>
      </c>
      <c r="E674" t="str">
        <v/>
      </c>
      <c r="F674" t="str">
        <v>867806078868827</v>
      </c>
      <c r="G674" t="str">
        <v>TBD</v>
      </c>
      <c r="H674" t="str">
        <v/>
      </c>
      <c r="I674" t="str">
        <v/>
      </c>
      <c r="J674" t="str">
        <v>01/10/2026</v>
      </c>
      <c r="K674" t="str">
        <v>16:03:31</v>
      </c>
      <c r="L674">
        <v>-12.325435</v>
      </c>
      <c r="M674">
        <v>-76.82532</v>
      </c>
      <c r="N674">
        <f>HYPERLINK("https://www.google.com/maps/search/?api=1&amp;query=-12.325435,-76.82532","Carretera Panamericana Sur, Punta Hermosa, Lima")</f>
      </c>
      <c r="O674" t="str">
        <v>Acelerado y giro brusco</v>
      </c>
      <c r="P674" t="str">
        <v/>
      </c>
      <c r="Q674">
        <v>2200.2</v>
      </c>
      <c r="R674" t="str">
        <v/>
      </c>
      <c r="S674">
        <v>61.3</v>
      </c>
      <c r="T674">
        <v>84.32</v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>
        <v>88</v>
      </c>
      <c r="AC674" t="str">
        <v>01/10/2026</v>
      </c>
      <c r="AD674" t="str">
        <v>16:03:28</v>
      </c>
      <c r="AE674">
        <f>IF("ONLINE"="NOGPS","GPS Antiguo","En línea")</f>
      </c>
      <c r="AF674">
        <f>IF(0=0,"Sin atender", IF(0=1,"Atendida","Atendida y Reportada"))</f>
      </c>
      <c r="AG674" t="str">
        <v/>
      </c>
      <c r="AH674" t="str">
        <v/>
      </c>
      <c r="AI674" t="str">
        <v/>
      </c>
      <c r="AJ674" t="str">
        <v/>
      </c>
      <c r="AK674" t="str">
        <v>01/10/2026 16:03:49</v>
      </c>
      <c r="AL674" t="str">
        <v>16:03:49</v>
      </c>
      <c r="AM674" t="str">
        <v/>
      </c>
    </row>
    <row r="675">
      <c r="A675">
        <v>674</v>
      </c>
      <c r="B675" t="str">
        <v>MASS BSF</v>
      </c>
      <c r="C675" t="str">
        <v>F8R-810</v>
      </c>
      <c r="D675" t="str">
        <v>F8R-810</v>
      </c>
      <c r="E675" t="str">
        <v/>
      </c>
      <c r="F675" t="str">
        <v>867806078868827</v>
      </c>
      <c r="G675" t="str">
        <v>TBD</v>
      </c>
      <c r="H675" t="str">
        <v/>
      </c>
      <c r="I675" t="str">
        <v/>
      </c>
      <c r="J675" t="str">
        <v>01/10/2026</v>
      </c>
      <c r="K675" t="str">
        <v>16:04:29</v>
      </c>
      <c r="L675">
        <v>-12.332765</v>
      </c>
      <c r="M675">
        <v>-76.82042</v>
      </c>
      <c r="N675">
        <f>HYPERLINK("https://www.google.com/maps/search/?api=1&amp;query=-12.332765,-76.82042","Carretera Panamericana Sur, Punta Hermosa, Lima")</f>
      </c>
      <c r="O675" t="str">
        <v>Acelerado y giro brusco</v>
      </c>
      <c r="P675" t="str">
        <v/>
      </c>
      <c r="Q675">
        <v>2201.2</v>
      </c>
      <c r="R675" t="str">
        <v/>
      </c>
      <c r="S675">
        <v>49.8</v>
      </c>
      <c r="T675">
        <v>84.32</v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>
        <v>88</v>
      </c>
      <c r="AC675" t="str">
        <v>01/10/2026</v>
      </c>
      <c r="AD675" t="str">
        <v>16:04:26</v>
      </c>
      <c r="AE675">
        <f>IF("ONLINE"="NOGPS","GPS Antiguo","En línea")</f>
      </c>
      <c r="AF675">
        <f>IF(0=0,"Sin atender", IF(0=1,"Atendida","Atendida y Reportada"))</f>
      </c>
      <c r="AG675" t="str">
        <v/>
      </c>
      <c r="AH675" t="str">
        <v/>
      </c>
      <c r="AI675" t="str">
        <v/>
      </c>
      <c r="AJ675" t="str">
        <v/>
      </c>
      <c r="AK675" t="str">
        <v>01/10/2026 16:04:47</v>
      </c>
      <c r="AL675" t="str">
        <v>16:04:47</v>
      </c>
      <c r="AM675" t="str">
        <v/>
      </c>
    </row>
    <row r="676">
      <c r="A676">
        <v>675</v>
      </c>
      <c r="B676" t="str">
        <v>MASS BSF</v>
      </c>
      <c r="C676" t="str">
        <v>F8R-810</v>
      </c>
      <c r="D676" t="str">
        <v>F8R-810</v>
      </c>
      <c r="E676" t="str">
        <v/>
      </c>
      <c r="F676" t="str">
        <v>867806078868827</v>
      </c>
      <c r="G676" t="str">
        <v>TBD</v>
      </c>
      <c r="H676" t="str">
        <v/>
      </c>
      <c r="I676" t="str">
        <v/>
      </c>
      <c r="J676" t="str">
        <v>01/10/2026</v>
      </c>
      <c r="K676" t="str">
        <v>16:04:39</v>
      </c>
      <c r="L676">
        <v>-12.333643</v>
      </c>
      <c r="M676">
        <v>-76.81983</v>
      </c>
      <c r="N676">
        <f>HYPERLINK("https://www.google.com/maps/search/?api=1&amp;query=-12.333643,-76.81983","Carretera Panamericana Sur, Punta Hermosa, Lima")</f>
      </c>
      <c r="O676" t="str">
        <v>Aceleración brusca</v>
      </c>
      <c r="P676" t="str">
        <v>CMT-910</v>
      </c>
      <c r="Q676">
        <v>2201.3</v>
      </c>
      <c r="R676" t="str">
        <v/>
      </c>
      <c r="S676">
        <v>44.8</v>
      </c>
      <c r="T676">
        <v>84.32</v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>
        <v>88</v>
      </c>
      <c r="AC676" t="str">
        <v>01/10/2026</v>
      </c>
      <c r="AD676" t="str">
        <v>16:04:35</v>
      </c>
      <c r="AE676">
        <f>IF("ONLINE"="NOGPS","GPS Antiguo","En línea")</f>
      </c>
      <c r="AF676">
        <f>IF(0=0,"Sin atender", IF(0=1,"Atendida","Atendida y Reportada"))</f>
      </c>
      <c r="AG676" t="str">
        <v/>
      </c>
      <c r="AH676" t="str">
        <v/>
      </c>
      <c r="AI676" t="str">
        <v/>
      </c>
      <c r="AJ676" t="str">
        <v/>
      </c>
      <c r="AK676" t="str">
        <v>01/10/2026 16:04:47</v>
      </c>
      <c r="AL676" t="str">
        <v>16:04:47</v>
      </c>
      <c r="AM676" t="str">
        <v/>
      </c>
    </row>
    <row r="677">
      <c r="A677">
        <v>676</v>
      </c>
      <c r="B677" t="str">
        <v>MASS BSF</v>
      </c>
      <c r="C677" t="str">
        <v>F8R-810</v>
      </c>
      <c r="D677" t="str">
        <v>F8R-810</v>
      </c>
      <c r="E677" t="str">
        <v/>
      </c>
      <c r="F677" t="str">
        <v>867806078868827</v>
      </c>
      <c r="G677" t="str">
        <v>TBD</v>
      </c>
      <c r="H677" t="str">
        <v/>
      </c>
      <c r="I677" t="str">
        <v/>
      </c>
      <c r="J677" t="str">
        <v>01/10/2026</v>
      </c>
      <c r="K677" t="str">
        <v>16:04:43</v>
      </c>
      <c r="L677">
        <v>-12.334128</v>
      </c>
      <c r="M677">
        <v>-76.81951</v>
      </c>
      <c r="N677">
        <f>HYPERLINK("https://www.google.com/maps/search/?api=1&amp;query=-12.334128,-76.81951","Carretera Panamericana Sur, Punta Hermosa, Lima")</f>
      </c>
      <c r="O677" t="str">
        <v>Aceleración brusca</v>
      </c>
      <c r="P677" t="str">
        <v>CMT-910</v>
      </c>
      <c r="Q677">
        <v>2201.3</v>
      </c>
      <c r="R677" t="str">
        <v/>
      </c>
      <c r="S677">
        <v>46.8</v>
      </c>
      <c r="T677">
        <v>84.32</v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>
        <v>88</v>
      </c>
      <c r="AC677" t="str">
        <v>01/10/2026</v>
      </c>
      <c r="AD677" t="str">
        <v>16:04:40</v>
      </c>
      <c r="AE677">
        <f>IF("ONLINE"="NOGPS","GPS Antiguo","En línea")</f>
      </c>
      <c r="AF677">
        <f>IF(0=0,"Sin atender", IF(0=1,"Atendida","Atendida y Reportada"))</f>
      </c>
      <c r="AG677" t="str">
        <v/>
      </c>
      <c r="AH677" t="str">
        <v/>
      </c>
      <c r="AI677" t="str">
        <v/>
      </c>
      <c r="AJ677" t="str">
        <v/>
      </c>
      <c r="AK677" t="str">
        <v>01/10/2026 16:04:59</v>
      </c>
      <c r="AL677" t="str">
        <v>16:04:59</v>
      </c>
      <c r="AM677" t="str">
        <v/>
      </c>
    </row>
    <row r="678">
      <c r="A678">
        <v>677</v>
      </c>
      <c r="B678" t="str">
        <v>MASS BSF</v>
      </c>
      <c r="C678" t="str">
        <v>F8R-810</v>
      </c>
      <c r="D678" t="str">
        <v>F8R-810</v>
      </c>
      <c r="E678" t="str">
        <v/>
      </c>
      <c r="F678" t="str">
        <v>867806078868827</v>
      </c>
      <c r="G678" t="str">
        <v>TBD</v>
      </c>
      <c r="H678" t="str">
        <v/>
      </c>
      <c r="I678" t="str">
        <v/>
      </c>
      <c r="J678" t="str">
        <v>01/10/2026</v>
      </c>
      <c r="K678" t="str">
        <v>16:04:52</v>
      </c>
      <c r="L678">
        <v>-12.335036</v>
      </c>
      <c r="M678">
        <v>-76.81901</v>
      </c>
      <c r="N678">
        <f>HYPERLINK("https://www.google.com/maps/search/?api=1&amp;query=-12.335036,-76.81901","Carretera Panamericana Sur, Punta Hermosa, Lima")</f>
      </c>
      <c r="O678" t="str">
        <v>Acelerado y giro brusco</v>
      </c>
      <c r="P678" t="str">
        <v/>
      </c>
      <c r="Q678">
        <v>2201.4</v>
      </c>
      <c r="R678" t="str">
        <v/>
      </c>
      <c r="S678">
        <v>42.5</v>
      </c>
      <c r="T678">
        <v>84.32</v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>
        <v>88</v>
      </c>
      <c r="AC678" t="str">
        <v>01/10/2026</v>
      </c>
      <c r="AD678" t="str">
        <v>16:04:49</v>
      </c>
      <c r="AE678">
        <f>IF("ONLINE"="NOGPS","GPS Antiguo","En línea")</f>
      </c>
      <c r="AF678">
        <f>IF(0=0,"Sin atender", IF(0=1,"Atendida","Atendida y Reportada"))</f>
      </c>
      <c r="AG678" t="str">
        <v/>
      </c>
      <c r="AH678" t="str">
        <v/>
      </c>
      <c r="AI678" t="str">
        <v/>
      </c>
      <c r="AJ678" t="str">
        <v/>
      </c>
      <c r="AK678" t="str">
        <v>01/10/2026 16:05:07</v>
      </c>
      <c r="AL678" t="str">
        <v>16:05:07</v>
      </c>
      <c r="AM678" t="str">
        <v/>
      </c>
    </row>
    <row r="679">
      <c r="A679">
        <v>678</v>
      </c>
      <c r="B679" t="str">
        <v>MASS BSF</v>
      </c>
      <c r="C679" t="str">
        <v>F8R-810</v>
      </c>
      <c r="D679" t="str">
        <v>F8R-810</v>
      </c>
      <c r="E679" t="str">
        <v/>
      </c>
      <c r="F679" t="str">
        <v>867806078868827</v>
      </c>
      <c r="G679" t="str">
        <v>TBD</v>
      </c>
      <c r="H679" t="str">
        <v/>
      </c>
      <c r="I679" t="str">
        <v/>
      </c>
      <c r="J679" t="str">
        <v>01/10/2026</v>
      </c>
      <c r="K679" t="str">
        <v>16:05:03</v>
      </c>
      <c r="L679">
        <v>-12.335755</v>
      </c>
      <c r="M679">
        <v>-76.81883</v>
      </c>
      <c r="N679">
        <f>HYPERLINK("https://www.google.com/maps/search/?api=1&amp;query=-12.335755,-76.81883","Punta Hermosa, Lima")</f>
      </c>
      <c r="O679" t="str">
        <v>Aceleración brusca</v>
      </c>
      <c r="P679" t="str">
        <v>CMT-910</v>
      </c>
      <c r="Q679">
        <v>2201.5</v>
      </c>
      <c r="R679" t="str">
        <v/>
      </c>
      <c r="S679">
        <v>26.1</v>
      </c>
      <c r="T679">
        <v>84.32</v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>
        <v>87</v>
      </c>
      <c r="AC679" t="str">
        <v>01/10/2026</v>
      </c>
      <c r="AD679" t="str">
        <v>16:04:59</v>
      </c>
      <c r="AE679">
        <f>IF("ONLINE"="NOGPS","GPS Antiguo","En línea")</f>
      </c>
      <c r="AF679">
        <f>IF(0=0,"Sin atender", IF(0=1,"Atendida","Atendida y Reportada"))</f>
      </c>
      <c r="AG679" t="str">
        <v/>
      </c>
      <c r="AH679" t="str">
        <v/>
      </c>
      <c r="AI679" t="str">
        <v/>
      </c>
      <c r="AJ679" t="str">
        <v/>
      </c>
      <c r="AK679" t="str">
        <v>01/10/2026 16:05:18</v>
      </c>
      <c r="AL679" t="str">
        <v>16:05:18</v>
      </c>
      <c r="AM679" t="str">
        <v/>
      </c>
    </row>
    <row r="680">
      <c r="A680">
        <v>679</v>
      </c>
      <c r="B680" t="str">
        <v>MASS BSF</v>
      </c>
      <c r="C680" t="str">
        <v>F8R-810</v>
      </c>
      <c r="D680" t="str">
        <v>F8R-810</v>
      </c>
      <c r="E680" t="str">
        <v/>
      </c>
      <c r="F680" t="str">
        <v>867806078868827</v>
      </c>
      <c r="G680" t="str">
        <v>TBD</v>
      </c>
      <c r="H680" t="str">
        <v/>
      </c>
      <c r="I680" t="str">
        <v/>
      </c>
      <c r="J680" t="str">
        <v>01/10/2026</v>
      </c>
      <c r="K680" t="str">
        <v>16:05:23</v>
      </c>
      <c r="L680">
        <v>-12.33517</v>
      </c>
      <c r="M680">
        <v>-76.819595</v>
      </c>
      <c r="N680">
        <f>HYPERLINK("https://www.google.com/maps/search/?api=1&amp;query=-12.33517,-76.819595","Antigua Panamericana Sur, Punta Hermosa, Lima")</f>
      </c>
      <c r="O680" t="str">
        <v>Acelerado y giro brusco</v>
      </c>
      <c r="P680" t="str">
        <v/>
      </c>
      <c r="Q680">
        <v>2201.7</v>
      </c>
      <c r="R680" t="str">
        <v/>
      </c>
      <c r="S680">
        <v>25.1</v>
      </c>
      <c r="T680">
        <v>84.32</v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>
        <v>85</v>
      </c>
      <c r="AC680" t="str">
        <v>01/10/2026</v>
      </c>
      <c r="AD680" t="str">
        <v>16:05:19</v>
      </c>
      <c r="AE680">
        <f>IF("ONLINE"="NOGPS","GPS Antiguo","En línea")</f>
      </c>
      <c r="AF680">
        <f>IF(0=0,"Sin atender", IF(0=1,"Atendida","Atendida y Reportada"))</f>
      </c>
      <c r="AG680" t="str">
        <v/>
      </c>
      <c r="AH680" t="str">
        <v/>
      </c>
      <c r="AI680" t="str">
        <v/>
      </c>
      <c r="AJ680" t="str">
        <v/>
      </c>
      <c r="AK680" t="str">
        <v>01/10/2026 16:05:39</v>
      </c>
      <c r="AL680" t="str">
        <v>16:05:39</v>
      </c>
      <c r="AM680" t="str">
        <v/>
      </c>
    </row>
    <row r="681">
      <c r="A681">
        <v>680</v>
      </c>
      <c r="B681" t="str">
        <v>MASS BSF</v>
      </c>
      <c r="C681" t="str">
        <v>F8R-810</v>
      </c>
      <c r="D681" t="str">
        <v>F8R-810</v>
      </c>
      <c r="E681" t="str">
        <v/>
      </c>
      <c r="F681" t="str">
        <v>867806078868827</v>
      </c>
      <c r="G681" t="str">
        <v>TBD</v>
      </c>
      <c r="H681" t="str">
        <v/>
      </c>
      <c r="I681" t="str">
        <v/>
      </c>
      <c r="J681" t="str">
        <v>01/10/2026</v>
      </c>
      <c r="K681" t="str">
        <v>16:05:43</v>
      </c>
      <c r="L681">
        <v>-12.334073</v>
      </c>
      <c r="M681">
        <v>-76.82035</v>
      </c>
      <c r="N681">
        <f>HYPERLINK("https://www.google.com/maps/search/?api=1&amp;query=-12.334073,-76.82035","Antigua Panamericana Sur, Punta Hermosa, Lima")</f>
      </c>
      <c r="O681" t="str">
        <v>Acelerado y giro brusco</v>
      </c>
      <c r="P681" t="str">
        <v/>
      </c>
      <c r="Q681">
        <v>2201.8</v>
      </c>
      <c r="R681" t="str">
        <v/>
      </c>
      <c r="S681">
        <v>32.5</v>
      </c>
      <c r="T681">
        <v>84.32</v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>
        <v>85</v>
      </c>
      <c r="AC681" t="str">
        <v>01/10/2026</v>
      </c>
      <c r="AD681" t="str">
        <v>16:05:40</v>
      </c>
      <c r="AE681">
        <f>IF("ONLINE"="NOGPS","GPS Antiguo","En línea")</f>
      </c>
      <c r="AF681">
        <f>IF(0=0,"Sin atender", IF(0=1,"Atendida","Atendida y Reportada"))</f>
      </c>
      <c r="AG681" t="str">
        <v/>
      </c>
      <c r="AH681" t="str">
        <v/>
      </c>
      <c r="AI681" t="str">
        <v/>
      </c>
      <c r="AJ681" t="str">
        <v/>
      </c>
      <c r="AK681" t="str">
        <v>01/10/2026 16:06:07</v>
      </c>
      <c r="AL681" t="str">
        <v>16:06:07</v>
      </c>
      <c r="AM681" t="str">
        <v/>
      </c>
    </row>
    <row r="682">
      <c r="A682">
        <v>681</v>
      </c>
      <c r="B682" t="str">
        <v>MASS BSF</v>
      </c>
      <c r="C682" t="str">
        <v>F8R-810</v>
      </c>
      <c r="D682" t="str">
        <v>F8R-810</v>
      </c>
      <c r="E682" t="str">
        <v/>
      </c>
      <c r="F682" t="str">
        <v>867806078868827</v>
      </c>
      <c r="G682" t="str">
        <v>TBD</v>
      </c>
      <c r="H682" t="str">
        <v/>
      </c>
      <c r="I682" t="str">
        <v/>
      </c>
      <c r="J682" t="str">
        <v>01/10/2026</v>
      </c>
      <c r="K682" t="str">
        <v>16:05:51</v>
      </c>
      <c r="L682">
        <v>-12.333752</v>
      </c>
      <c r="M682">
        <v>-76.820526</v>
      </c>
      <c r="N682">
        <f>HYPERLINK("https://www.google.com/maps/search/?api=1&amp;query=-12.333752,-76.820526","Antigua Panamericana Sur, Punta Hermosa, Lima")</f>
      </c>
      <c r="O682" t="str">
        <v>Acelerado y giro brusco</v>
      </c>
      <c r="P682" t="str">
        <v/>
      </c>
      <c r="Q682">
        <v>2201.8</v>
      </c>
      <c r="R682" t="str">
        <v/>
      </c>
      <c r="S682">
        <v>14.2</v>
      </c>
      <c r="T682">
        <v>84.32</v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>
        <v>86</v>
      </c>
      <c r="AC682" t="str">
        <v>01/10/2026</v>
      </c>
      <c r="AD682" t="str">
        <v>16:05:47</v>
      </c>
      <c r="AE682">
        <f>IF("ONLINE"="NOGPS","GPS Antiguo","En línea")</f>
      </c>
      <c r="AF682">
        <f>IF(0=0,"Sin atender", IF(0=1,"Atendida","Atendida y Reportada"))</f>
      </c>
      <c r="AG682" t="str">
        <v/>
      </c>
      <c r="AH682" t="str">
        <v/>
      </c>
      <c r="AI682" t="str">
        <v/>
      </c>
      <c r="AJ682" t="str">
        <v/>
      </c>
      <c r="AK682" t="str">
        <v>01/10/2026 16:06:10</v>
      </c>
      <c r="AL682" t="str">
        <v>16:06:10</v>
      </c>
      <c r="AM682" t="str">
        <v/>
      </c>
    </row>
    <row r="683">
      <c r="A683">
        <v>682</v>
      </c>
      <c r="B683" t="str">
        <v>MASS BSF</v>
      </c>
      <c r="C683" t="str">
        <v>F8R-810</v>
      </c>
      <c r="D683" t="str">
        <v>F8R-810</v>
      </c>
      <c r="E683" t="str">
        <v/>
      </c>
      <c r="F683" t="str">
        <v>867806078868827</v>
      </c>
      <c r="G683" t="str">
        <v>TBD</v>
      </c>
      <c r="H683" t="str">
        <v/>
      </c>
      <c r="I683" t="str">
        <v/>
      </c>
      <c r="J683" t="str">
        <v>01/10/2026</v>
      </c>
      <c r="K683" t="str">
        <v>16:05:56</v>
      </c>
      <c r="L683">
        <v>-12.333709</v>
      </c>
      <c r="M683">
        <v>-76.82024</v>
      </c>
      <c r="N683">
        <f>HYPERLINK("https://www.google.com/maps/search/?api=1&amp;query=-12.333709,-76.82024","Punta Hermosa, Lima")</f>
      </c>
      <c r="O683" t="str">
        <v>Acelerado y giro brusco</v>
      </c>
      <c r="P683" t="str">
        <v/>
      </c>
      <c r="Q683">
        <v>2201.9</v>
      </c>
      <c r="R683" t="str">
        <v/>
      </c>
      <c r="S683">
        <v>24.8</v>
      </c>
      <c r="T683">
        <v>84.32</v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>
        <v>85</v>
      </c>
      <c r="AC683" t="str">
        <v>01/10/2026</v>
      </c>
      <c r="AD683" t="str">
        <v>16:05:53</v>
      </c>
      <c r="AE683">
        <f>IF("ONLINE"="NOGPS","GPS Antiguo","En línea")</f>
      </c>
      <c r="AF683">
        <f>IF(0=0,"Sin atender", IF(0=1,"Atendida","Atendida y Reportada"))</f>
      </c>
      <c r="AG683" t="str">
        <v/>
      </c>
      <c r="AH683" t="str">
        <v/>
      </c>
      <c r="AI683" t="str">
        <v/>
      </c>
      <c r="AJ683" t="str">
        <v/>
      </c>
      <c r="AK683" t="str">
        <v>01/10/2026 16:06:11</v>
      </c>
      <c r="AL683" t="str">
        <v>16:06:11</v>
      </c>
      <c r="AM683" t="str">
        <v/>
      </c>
    </row>
    <row r="684">
      <c r="A684">
        <v>683</v>
      </c>
      <c r="B684" t="str">
        <v>MASS BSF</v>
      </c>
      <c r="C684" t="str">
        <v>F8R-810</v>
      </c>
      <c r="D684" t="str">
        <v>F8R-810</v>
      </c>
      <c r="E684" t="str">
        <v/>
      </c>
      <c r="F684" t="str">
        <v>867806078868827</v>
      </c>
      <c r="G684" t="str">
        <v>TBD</v>
      </c>
      <c r="H684" t="str">
        <v/>
      </c>
      <c r="I684" t="str">
        <v/>
      </c>
      <c r="J684" t="str">
        <v>01/10/2026</v>
      </c>
      <c r="K684" t="str">
        <v>16:06:04</v>
      </c>
      <c r="L684">
        <v>-12.333585</v>
      </c>
      <c r="M684">
        <v>-76.8197</v>
      </c>
      <c r="N684">
        <f>HYPERLINK("https://www.google.com/maps/search/?api=1&amp;query=-12.333585,-76.8197","Carretera Panamericana Sur, Punta Hermosa, Lima")</f>
      </c>
      <c r="O684" t="str">
        <v>Acelerado y giro brusco</v>
      </c>
      <c r="P684" t="str">
        <v/>
      </c>
      <c r="Q684">
        <v>2201.9</v>
      </c>
      <c r="R684" t="str">
        <v/>
      </c>
      <c r="S684">
        <v>25.1</v>
      </c>
      <c r="T684">
        <v>84.32</v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>
        <v>85</v>
      </c>
      <c r="AC684" t="str">
        <v>01/10/2026</v>
      </c>
      <c r="AD684" t="str">
        <v>16:06:01</v>
      </c>
      <c r="AE684">
        <f>IF("ONLINE"="NOGPS","GPS Antiguo","En línea")</f>
      </c>
      <c r="AF684">
        <f>IF(0=0,"Sin atender", IF(0=1,"Atendida","Atendida y Reportada"))</f>
      </c>
      <c r="AG684" t="str">
        <v/>
      </c>
      <c r="AH684" t="str">
        <v/>
      </c>
      <c r="AI684" t="str">
        <v/>
      </c>
      <c r="AJ684" t="str">
        <v/>
      </c>
      <c r="AK684" t="str">
        <v>01/10/2026 16:06:14</v>
      </c>
      <c r="AL684" t="str">
        <v>16:06:14</v>
      </c>
      <c r="AM684" t="str">
        <v/>
      </c>
    </row>
    <row r="685">
      <c r="A685">
        <v>684</v>
      </c>
      <c r="B685" t="str">
        <v>MASS BSF</v>
      </c>
      <c r="C685" t="str">
        <v>F8R-810</v>
      </c>
      <c r="D685" t="str">
        <v>F8R-810</v>
      </c>
      <c r="E685" t="str">
        <v/>
      </c>
      <c r="F685" t="str">
        <v>867806078868827</v>
      </c>
      <c r="G685" t="str">
        <v>TBD</v>
      </c>
      <c r="H685" t="str">
        <v/>
      </c>
      <c r="I685" t="str">
        <v/>
      </c>
      <c r="J685" t="str">
        <v>01/10/2026</v>
      </c>
      <c r="K685" t="str">
        <v>16:06:14</v>
      </c>
      <c r="L685">
        <v>-12.333127</v>
      </c>
      <c r="M685">
        <v>-76.8196</v>
      </c>
      <c r="N685">
        <f>HYPERLINK("https://www.google.com/maps/search/?api=1&amp;query=-12.333127,-76.8196","Avenida Pampa Pacta, Punta Hermosa, Lima")</f>
      </c>
      <c r="O685" t="str">
        <v>Acelerado y giro brusco</v>
      </c>
      <c r="P685" t="str">
        <v/>
      </c>
      <c r="Q685">
        <v>2202</v>
      </c>
      <c r="R685" t="str">
        <v/>
      </c>
      <c r="S685">
        <v>25.5</v>
      </c>
      <c r="T685">
        <v>84.32</v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>
        <v>85</v>
      </c>
      <c r="AC685" t="str">
        <v>01/10/2026</v>
      </c>
      <c r="AD685" t="str">
        <v>16:06:10</v>
      </c>
      <c r="AE685">
        <f>IF("ONLINE"="NOGPS","GPS Antiguo","En línea")</f>
      </c>
      <c r="AF685">
        <f>IF(0=0,"Sin atender", IF(0=1,"Atendida","Atendida y Reportada"))</f>
      </c>
      <c r="AG685" t="str">
        <v/>
      </c>
      <c r="AH685" t="str">
        <v/>
      </c>
      <c r="AI685" t="str">
        <v/>
      </c>
      <c r="AJ685" t="str">
        <v/>
      </c>
      <c r="AK685" t="str">
        <v>01/10/2026 16:06:18</v>
      </c>
      <c r="AL685" t="str">
        <v>16:06:18</v>
      </c>
      <c r="AM685" t="str">
        <v/>
      </c>
    </row>
    <row r="686">
      <c r="A686">
        <v>685</v>
      </c>
      <c r="B686" t="str">
        <v>MASS BSF</v>
      </c>
      <c r="C686" t="str">
        <v>F8R-810</v>
      </c>
      <c r="D686" t="str">
        <v>F8R-810</v>
      </c>
      <c r="E686" t="str">
        <v/>
      </c>
      <c r="F686" t="str">
        <v>867806078868827</v>
      </c>
      <c r="G686" t="str">
        <v>TBD</v>
      </c>
      <c r="H686" t="str">
        <v/>
      </c>
      <c r="I686" t="str">
        <v/>
      </c>
      <c r="J686" t="str">
        <v>01/10/2026</v>
      </c>
      <c r="K686" t="str">
        <v>16:06:22</v>
      </c>
      <c r="L686">
        <v>-12.332755</v>
      </c>
      <c r="M686">
        <v>-76.81998</v>
      </c>
      <c r="N686">
        <f>HYPERLINK("https://www.google.com/maps/search/?api=1&amp;query=-12.332755,-76.81998","Carretera Panamericana Sur, Punta Hermosa, Lima")</f>
      </c>
      <c r="O686" t="str">
        <v>Acelerado y giro brusco</v>
      </c>
      <c r="P686" t="str">
        <v/>
      </c>
      <c r="Q686">
        <v>2202.1</v>
      </c>
      <c r="R686" t="str">
        <v/>
      </c>
      <c r="S686">
        <v>25.5</v>
      </c>
      <c r="T686">
        <v>84.32</v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>
        <v>85</v>
      </c>
      <c r="AC686" t="str">
        <v>01/10/2026</v>
      </c>
      <c r="AD686" t="str">
        <v>16:06:18</v>
      </c>
      <c r="AE686">
        <f>IF("ONLINE"="NOGPS","GPS Antiguo","En línea")</f>
      </c>
      <c r="AF686">
        <f>IF(0=0,"Sin atender", IF(0=1,"Atendida","Atendida y Reportada"))</f>
      </c>
      <c r="AG686" t="str">
        <v/>
      </c>
      <c r="AH686" t="str">
        <v/>
      </c>
      <c r="AI686" t="str">
        <v/>
      </c>
      <c r="AJ686" t="str">
        <v/>
      </c>
      <c r="AK686" t="str">
        <v>01/10/2026 16:06:30</v>
      </c>
      <c r="AL686" t="str">
        <v>16:06:30</v>
      </c>
      <c r="AM686" t="str">
        <v/>
      </c>
    </row>
    <row r="687">
      <c r="A687">
        <v>686</v>
      </c>
      <c r="B687" t="str">
        <v>MASS BSF</v>
      </c>
      <c r="C687" t="str">
        <v>F8R-810</v>
      </c>
      <c r="D687" t="str">
        <v>F8R-810</v>
      </c>
      <c r="E687" t="str">
        <v/>
      </c>
      <c r="F687" t="str">
        <v>867806078868827</v>
      </c>
      <c r="G687" t="str">
        <v>TBD</v>
      </c>
      <c r="H687" t="str">
        <v/>
      </c>
      <c r="I687" t="str">
        <v/>
      </c>
      <c r="J687" t="str">
        <v>01/10/2026</v>
      </c>
      <c r="K687" t="str">
        <v>16:06:42</v>
      </c>
      <c r="L687">
        <v>-12.331612</v>
      </c>
      <c r="M687">
        <v>-76.82094</v>
      </c>
      <c r="N687">
        <f>HYPERLINK("https://www.google.com/maps/search/?api=1&amp;query=-12.331612,-76.82094","Carretera Panamericana Sur, Punta Hermosa, Lima")</f>
      </c>
      <c r="O687" t="str">
        <v>Aceleración brusca</v>
      </c>
      <c r="P687" t="str">
        <v>CMT-910</v>
      </c>
      <c r="Q687">
        <v>2202.2</v>
      </c>
      <c r="R687" t="str">
        <v/>
      </c>
      <c r="S687">
        <v>40.1</v>
      </c>
      <c r="T687">
        <v>84.32</v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>
        <v>85</v>
      </c>
      <c r="AC687" t="str">
        <v>01/10/2026</v>
      </c>
      <c r="AD687" t="str">
        <v>16:06:39</v>
      </c>
      <c r="AE687">
        <f>IF("ONLINE"="NOGPS","GPS Antiguo","En línea")</f>
      </c>
      <c r="AF687">
        <f>IF(0=0,"Sin atender", IF(0=1,"Atendida","Atendida y Reportada"))</f>
      </c>
      <c r="AG687" t="str">
        <v/>
      </c>
      <c r="AH687" t="str">
        <v/>
      </c>
      <c r="AI687" t="str">
        <v/>
      </c>
      <c r="AJ687" t="str">
        <v/>
      </c>
      <c r="AK687" t="str">
        <v>01/10/2026 16:06:56</v>
      </c>
      <c r="AL687" t="str">
        <v>16:06:56</v>
      </c>
      <c r="AM687" t="str">
        <v/>
      </c>
    </row>
    <row r="688">
      <c r="A688">
        <v>687</v>
      </c>
      <c r="B688" t="str">
        <v>MASS BSF</v>
      </c>
      <c r="C688" t="str">
        <v>F8R-810</v>
      </c>
      <c r="D688" t="str">
        <v>F8R-810</v>
      </c>
      <c r="E688" t="str">
        <v/>
      </c>
      <c r="F688" t="str">
        <v>867806078868827</v>
      </c>
      <c r="G688" t="str">
        <v>TBD</v>
      </c>
      <c r="H688" t="str">
        <v/>
      </c>
      <c r="I688" t="str">
        <v/>
      </c>
      <c r="J688" t="str">
        <v>01/10/2026</v>
      </c>
      <c r="K688" t="str">
        <v>16:06:49</v>
      </c>
      <c r="L688">
        <v>-12.331007</v>
      </c>
      <c r="M688">
        <v>-76.82137</v>
      </c>
      <c r="N688">
        <f>HYPERLINK("https://www.google.com/maps/search/?api=1&amp;query=-12.331007,-76.82137","Carretera Panamericana Sur, Punta Hermosa, Lima")</f>
      </c>
      <c r="O688" t="str">
        <v>Aceleración brusca</v>
      </c>
      <c r="P688" t="str">
        <v>CMT-910</v>
      </c>
      <c r="Q688">
        <v>2202.3</v>
      </c>
      <c r="R688" t="str">
        <v/>
      </c>
      <c r="S688">
        <v>46.4</v>
      </c>
      <c r="T688">
        <v>84.32</v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>
        <v>85</v>
      </c>
      <c r="AC688" t="str">
        <v>01/10/2026</v>
      </c>
      <c r="AD688" t="str">
        <v>16:06:46</v>
      </c>
      <c r="AE688">
        <f>IF("ONLINE"="NOGPS","GPS Antiguo","En línea")</f>
      </c>
      <c r="AF688">
        <f>IF(0=0,"Sin atender", IF(0=1,"Atendida","Atendida y Reportada"))</f>
      </c>
      <c r="AG688" t="str">
        <v/>
      </c>
      <c r="AH688" t="str">
        <v/>
      </c>
      <c r="AI688" t="str">
        <v/>
      </c>
      <c r="AJ688" t="str">
        <v/>
      </c>
      <c r="AK688" t="str">
        <v>01/10/2026 16:07:12</v>
      </c>
      <c r="AL688" t="str">
        <v>16:07:12</v>
      </c>
      <c r="AM688" t="str">
        <v/>
      </c>
    </row>
    <row r="689">
      <c r="A689">
        <v>688</v>
      </c>
      <c r="B689" t="str">
        <v>MASS BSF</v>
      </c>
      <c r="C689" t="str">
        <v>F8R-810</v>
      </c>
      <c r="D689" t="str">
        <v>F8R-810</v>
      </c>
      <c r="E689" t="str">
        <v/>
      </c>
      <c r="F689" t="str">
        <v>867806078868827</v>
      </c>
      <c r="G689" t="str">
        <v>TBD</v>
      </c>
      <c r="H689" t="str">
        <v/>
      </c>
      <c r="I689" t="str">
        <v/>
      </c>
      <c r="J689" t="str">
        <v>01/10/2026</v>
      </c>
      <c r="K689" t="str">
        <v>16:07:08</v>
      </c>
      <c r="L689">
        <v>-12.328821</v>
      </c>
      <c r="M689">
        <v>-76.8229</v>
      </c>
      <c r="N689">
        <f>HYPERLINK("https://www.google.com/maps/search/?api=1&amp;query=-12.328821,-76.8229","Carretera Panamericana Sur, Punta Hermosa, Lima")</f>
      </c>
      <c r="O689" t="str">
        <v>Aceleración brusca</v>
      </c>
      <c r="P689" t="str">
        <v>CMT-910</v>
      </c>
      <c r="Q689">
        <v>2202.6</v>
      </c>
      <c r="R689" t="str">
        <v/>
      </c>
      <c r="S689">
        <v>54.8</v>
      </c>
      <c r="T689">
        <v>84.32</v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>
        <v>85</v>
      </c>
      <c r="AC689" t="str">
        <v>01/10/2026</v>
      </c>
      <c r="AD689" t="str">
        <v>16:07:05</v>
      </c>
      <c r="AE689">
        <f>IF("ONLINE"="NOGPS","GPS Antiguo","En línea")</f>
      </c>
      <c r="AF689">
        <f>IF(0=0,"Sin atender", IF(0=1,"Atendida","Atendida y Reportada"))</f>
      </c>
      <c r="AG689" t="str">
        <v/>
      </c>
      <c r="AH689" t="str">
        <v/>
      </c>
      <c r="AI689" t="str">
        <v/>
      </c>
      <c r="AJ689" t="str">
        <v/>
      </c>
      <c r="AK689" t="str">
        <v>01/10/2026 16:07:19</v>
      </c>
      <c r="AL689" t="str">
        <v>16:07:19</v>
      </c>
      <c r="AM689" t="str">
        <v/>
      </c>
    </row>
    <row r="690">
      <c r="A690">
        <v>689</v>
      </c>
      <c r="B690" t="str">
        <v>MASS BSF</v>
      </c>
      <c r="C690" t="str">
        <v>F8R-810</v>
      </c>
      <c r="D690" t="str">
        <v>F8R-810</v>
      </c>
      <c r="E690" t="str">
        <v/>
      </c>
      <c r="F690" t="str">
        <v>867806078868827</v>
      </c>
      <c r="G690" t="str">
        <v>TBD</v>
      </c>
      <c r="H690" t="str">
        <v/>
      </c>
      <c r="I690" t="str">
        <v/>
      </c>
      <c r="J690" t="str">
        <v>01/10/2026</v>
      </c>
      <c r="K690" t="str">
        <v>16:07:11</v>
      </c>
      <c r="L690">
        <v>-12.328598</v>
      </c>
      <c r="M690">
        <v>-76.82305</v>
      </c>
      <c r="N690">
        <f>HYPERLINK("https://www.google.com/maps/search/?api=1&amp;query=-12.328598,-76.82305","Carretera Panamericana Sur, Punta Hermosa, Lima")</f>
      </c>
      <c r="O690" t="str">
        <v>Acelerado y giro brusco</v>
      </c>
      <c r="P690" t="str">
        <v/>
      </c>
      <c r="Q690">
        <v>2202.6</v>
      </c>
      <c r="R690" t="str">
        <v/>
      </c>
      <c r="S690">
        <v>53.5</v>
      </c>
      <c r="T690">
        <v>84.32</v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>
        <v>85</v>
      </c>
      <c r="AC690" t="str">
        <v>01/10/2026</v>
      </c>
      <c r="AD690" t="str">
        <v>16:07:07</v>
      </c>
      <c r="AE690">
        <f>IF("ONLINE"="NOGPS","GPS Antiguo","En línea")</f>
      </c>
      <c r="AF690">
        <f>IF(0=0,"Sin atender", IF(0=1,"Atendida","Atendida y Reportada"))</f>
      </c>
      <c r="AG690" t="str">
        <v/>
      </c>
      <c r="AH690" t="str">
        <v/>
      </c>
      <c r="AI690" t="str">
        <v/>
      </c>
      <c r="AJ690" t="str">
        <v/>
      </c>
      <c r="AK690" t="str">
        <v>01/10/2026 16:07:24</v>
      </c>
      <c r="AL690" t="str">
        <v>16:07:24</v>
      </c>
      <c r="AM690" t="str">
        <v/>
      </c>
    </row>
    <row r="691">
      <c r="A691">
        <v>690</v>
      </c>
      <c r="B691" t="str">
        <v>MASS BSF</v>
      </c>
      <c r="C691" t="str">
        <v>F8R-810</v>
      </c>
      <c r="D691" t="str">
        <v>F8R-810</v>
      </c>
      <c r="E691" t="str">
        <v/>
      </c>
      <c r="F691" t="str">
        <v>867806078868827</v>
      </c>
      <c r="G691" t="str">
        <v>TBD</v>
      </c>
      <c r="H691" t="str">
        <v/>
      </c>
      <c r="I691" t="str">
        <v/>
      </c>
      <c r="J691" t="str">
        <v>01/10/2026</v>
      </c>
      <c r="K691" t="str">
        <v>16:07:30</v>
      </c>
      <c r="L691">
        <v>-12.32677</v>
      </c>
      <c r="M691">
        <v>-76.82428</v>
      </c>
      <c r="N691">
        <f>HYPERLINK("https://www.google.com/maps/search/?api=1&amp;query=-12.32677,-76.82428","Carretera Panamericana Sur, Punta Hermosa, Lima")</f>
      </c>
      <c r="O691" t="str">
        <v>Acelerado y giro brusco</v>
      </c>
      <c r="P691" t="str">
        <v/>
      </c>
      <c r="Q691">
        <v>2202.9</v>
      </c>
      <c r="R691" t="str">
        <v/>
      </c>
      <c r="S691">
        <v>47.4</v>
      </c>
      <c r="T691">
        <v>84.32</v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>
        <v>85</v>
      </c>
      <c r="AC691" t="str">
        <v>01/10/2026</v>
      </c>
      <c r="AD691" t="str">
        <v>16:07:26</v>
      </c>
      <c r="AE691">
        <f>IF("ONLINE"="NOGPS","GPS Antiguo","En línea")</f>
      </c>
      <c r="AF691">
        <f>IF(0=0,"Sin atender", IF(0=1,"Atendida","Atendida y Reportada"))</f>
      </c>
      <c r="AG691" t="str">
        <v/>
      </c>
      <c r="AH691" t="str">
        <v/>
      </c>
      <c r="AI691" t="str">
        <v/>
      </c>
      <c r="AJ691" t="str">
        <v/>
      </c>
      <c r="AK691" t="str">
        <v>01/10/2026 16:07:49</v>
      </c>
      <c r="AL691" t="str">
        <v>16:07:49</v>
      </c>
      <c r="AM691" t="str">
        <v/>
      </c>
    </row>
    <row r="692">
      <c r="A692">
        <v>691</v>
      </c>
      <c r="B692" t="str">
        <v>MASS BSF</v>
      </c>
      <c r="C692" t="str">
        <v>F8R-810</v>
      </c>
      <c r="D692" t="str">
        <v>F8R-810</v>
      </c>
      <c r="E692" t="str">
        <v/>
      </c>
      <c r="F692" t="str">
        <v>867806078868827</v>
      </c>
      <c r="G692" t="str">
        <v>TBD</v>
      </c>
      <c r="H692" t="str">
        <v/>
      </c>
      <c r="I692" t="str">
        <v/>
      </c>
      <c r="J692" t="str">
        <v>01/10/2026</v>
      </c>
      <c r="K692" t="str">
        <v>16:07:36</v>
      </c>
      <c r="L692">
        <v>-12.32606</v>
      </c>
      <c r="M692">
        <v>-76.82475</v>
      </c>
      <c r="N692">
        <f>HYPERLINK("https://www.google.com/maps/search/?api=1&amp;query=-12.32606,-76.82475","Carretera Panamericana Sur, Punta Hermosa, Lima")</f>
      </c>
      <c r="O692" t="str">
        <v>Aceleración brusca</v>
      </c>
      <c r="P692" t="str">
        <v>CMT-910</v>
      </c>
      <c r="Q692">
        <v>2203</v>
      </c>
      <c r="R692" t="str">
        <v/>
      </c>
      <c r="S692">
        <v>49.4</v>
      </c>
      <c r="T692">
        <v>84.32</v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>
        <v>85</v>
      </c>
      <c r="AC692" t="str">
        <v>01/10/2026</v>
      </c>
      <c r="AD692" t="str">
        <v>16:07:33</v>
      </c>
      <c r="AE692">
        <f>IF("ONLINE"="NOGPS","GPS Antiguo","En línea")</f>
      </c>
      <c r="AF692">
        <f>IF(0=0,"Sin atender", IF(0=1,"Atendida","Atendida y Reportada"))</f>
      </c>
      <c r="AG692" t="str">
        <v/>
      </c>
      <c r="AH692" t="str">
        <v/>
      </c>
      <c r="AI692" t="str">
        <v/>
      </c>
      <c r="AJ692" t="str">
        <v/>
      </c>
      <c r="AK692" t="str">
        <v>01/10/2026 16:07:58</v>
      </c>
      <c r="AL692" t="str">
        <v>16:07:58</v>
      </c>
      <c r="AM692" t="str">
        <v/>
      </c>
    </row>
    <row r="693">
      <c r="A693">
        <v>692</v>
      </c>
      <c r="B693" t="str">
        <v>MASS BSF</v>
      </c>
      <c r="C693" t="str">
        <v>F8R-810</v>
      </c>
      <c r="D693" t="str">
        <v>F8R-810</v>
      </c>
      <c r="E693" t="str">
        <v/>
      </c>
      <c r="F693" t="str">
        <v>867806078868827</v>
      </c>
      <c r="G693" t="str">
        <v>TBD</v>
      </c>
      <c r="H693" t="str">
        <v/>
      </c>
      <c r="I693" t="str">
        <v/>
      </c>
      <c r="J693" t="str">
        <v>01/10/2026</v>
      </c>
      <c r="K693" t="str">
        <v>16:07:54</v>
      </c>
      <c r="L693">
        <v>-12.324482</v>
      </c>
      <c r="M693">
        <v>-76.825806</v>
      </c>
      <c r="N693">
        <f>HYPERLINK("https://www.google.com/maps/search/?api=1&amp;query=-12.324482,-76.825806","Carretera Panamericana Sur, Punta Hermosa, Lima")</f>
      </c>
      <c r="O693" t="str">
        <v>Acelerado y giro brusco</v>
      </c>
      <c r="P693" t="str">
        <v/>
      </c>
      <c r="Q693">
        <v>2203.2</v>
      </c>
      <c r="R693" t="str">
        <v/>
      </c>
      <c r="S693">
        <v>40.1</v>
      </c>
      <c r="T693">
        <v>84.32</v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>
        <v>85</v>
      </c>
      <c r="AC693" t="str">
        <v>01/10/2026</v>
      </c>
      <c r="AD693" t="str">
        <v>16:07:51</v>
      </c>
      <c r="AE693">
        <f>IF("ONLINE"="NOGPS","GPS Antiguo","En línea")</f>
      </c>
      <c r="AF693">
        <f>IF(0=0,"Sin atender", IF(0=1,"Atendida","Atendida y Reportada"))</f>
      </c>
      <c r="AG693" t="str">
        <v/>
      </c>
      <c r="AH693" t="str">
        <v/>
      </c>
      <c r="AI693" t="str">
        <v/>
      </c>
      <c r="AJ693" t="str">
        <v/>
      </c>
      <c r="AK693" t="str">
        <v>01/10/2026 16:07:55</v>
      </c>
      <c r="AL693" t="str">
        <v>16:07:55</v>
      </c>
      <c r="AM693" t="str">
        <v/>
      </c>
    </row>
    <row r="694">
      <c r="A694">
        <v>693</v>
      </c>
      <c r="B694" t="str">
        <v>MASS BSF</v>
      </c>
      <c r="C694" t="str">
        <v>F8R-810</v>
      </c>
      <c r="D694" t="str">
        <v>F8R-810</v>
      </c>
      <c r="E694" t="str">
        <v/>
      </c>
      <c r="F694" t="str">
        <v>867806078868827</v>
      </c>
      <c r="G694" t="str">
        <v>TBD</v>
      </c>
      <c r="H694" t="str">
        <v/>
      </c>
      <c r="I694" t="str">
        <v/>
      </c>
      <c r="J694" t="str">
        <v>01/10/2026</v>
      </c>
      <c r="K694" t="str">
        <v>16:08:04</v>
      </c>
      <c r="L694">
        <v>-12.323705</v>
      </c>
      <c r="M694">
        <v>-76.826324</v>
      </c>
      <c r="N694">
        <f>HYPERLINK("https://www.google.com/maps/search/?api=1&amp;query=-12.323705,-76.826324","Carretera Panamericana Sur, Punta Hermosa, Lima")</f>
      </c>
      <c r="O694" t="str">
        <v>Acelerado y giro brusco</v>
      </c>
      <c r="P694" t="str">
        <v/>
      </c>
      <c r="Q694">
        <v>2203.3</v>
      </c>
      <c r="R694" t="str">
        <v/>
      </c>
      <c r="S694">
        <v>40.9</v>
      </c>
      <c r="T694">
        <v>84.32</v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>
        <v>85</v>
      </c>
      <c r="AC694" t="str">
        <v>01/10/2026</v>
      </c>
      <c r="AD694" t="str">
        <v>16:08:00</v>
      </c>
      <c r="AE694">
        <f>IF("ONLINE"="NOGPS","GPS Antiguo","En línea")</f>
      </c>
      <c r="AF694">
        <f>IF(0=0,"Sin atender", IF(0=1,"Atendida","Atendida y Reportada"))</f>
      </c>
      <c r="AG694" t="str">
        <v/>
      </c>
      <c r="AH694" t="str">
        <v/>
      </c>
      <c r="AI694" t="str">
        <v/>
      </c>
      <c r="AJ694" t="str">
        <v/>
      </c>
      <c r="AK694" t="str">
        <v>01/10/2026 16:08:15</v>
      </c>
      <c r="AL694" t="str">
        <v>16:08:15</v>
      </c>
      <c r="AM694" t="str">
        <v/>
      </c>
    </row>
    <row r="695">
      <c r="A695">
        <v>694</v>
      </c>
      <c r="B695" t="str">
        <v>MASS BSF</v>
      </c>
      <c r="C695" t="str">
        <v>F8R-810</v>
      </c>
      <c r="D695" t="str">
        <v>F8R-810</v>
      </c>
      <c r="E695" t="str">
        <v/>
      </c>
      <c r="F695" t="str">
        <v>867806078868827</v>
      </c>
      <c r="G695" t="str">
        <v>TBD</v>
      </c>
      <c r="H695" t="str">
        <v/>
      </c>
      <c r="I695" t="str">
        <v/>
      </c>
      <c r="J695" t="str">
        <v>01/10/2026</v>
      </c>
      <c r="K695" t="str">
        <v>16:09:00</v>
      </c>
      <c r="L695">
        <v>-12.318717</v>
      </c>
      <c r="M695">
        <v>-76.82955</v>
      </c>
      <c r="N695">
        <f>HYPERLINK("https://www.google.com/maps/search/?api=1&amp;query=-12.318717,-76.82955","Carretera Panamericana Sur, Punta Hermosa, Lima")</f>
      </c>
      <c r="O695" t="str">
        <v>Acelerado y giro brusco</v>
      </c>
      <c r="P695" t="str">
        <v/>
      </c>
      <c r="Q695">
        <v>2203.9</v>
      </c>
      <c r="R695" t="str">
        <v/>
      </c>
      <c r="S695">
        <v>38.8</v>
      </c>
      <c r="T695">
        <v>84.32</v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>
        <v>85</v>
      </c>
      <c r="AC695" t="str">
        <v>01/10/2026</v>
      </c>
      <c r="AD695" t="str">
        <v>16:08:57</v>
      </c>
      <c r="AE695">
        <f>IF("ONLINE"="NOGPS","GPS Antiguo","En línea")</f>
      </c>
      <c r="AF695">
        <f>IF(0=0,"Sin atender", IF(0=1,"Atendida","Atendida y Reportada"))</f>
      </c>
      <c r="AG695" t="str">
        <v/>
      </c>
      <c r="AH695" t="str">
        <v/>
      </c>
      <c r="AI695" t="str">
        <v/>
      </c>
      <c r="AJ695" t="str">
        <v/>
      </c>
      <c r="AK695" t="str">
        <v>01/10/2026 16:09:18</v>
      </c>
      <c r="AL695" t="str">
        <v>16:09:18</v>
      </c>
      <c r="AM695" t="str">
        <v/>
      </c>
    </row>
    <row r="696">
      <c r="A696">
        <v>695</v>
      </c>
      <c r="B696" t="str">
        <v>MASS BSF</v>
      </c>
      <c r="C696" t="str">
        <v>F8R-810</v>
      </c>
      <c r="D696" t="str">
        <v>F8R-810</v>
      </c>
      <c r="E696" t="str">
        <v/>
      </c>
      <c r="F696" t="str">
        <v>867806078868827</v>
      </c>
      <c r="G696" t="str">
        <v>TBD</v>
      </c>
      <c r="H696" t="str">
        <v/>
      </c>
      <c r="I696" t="str">
        <v/>
      </c>
      <c r="J696" t="str">
        <v>01/10/2026</v>
      </c>
      <c r="K696" t="str">
        <v>16:09:16</v>
      </c>
      <c r="L696">
        <v>-12.3178</v>
      </c>
      <c r="M696">
        <v>-76.829765</v>
      </c>
      <c r="N696">
        <f>HYPERLINK("https://www.google.com/maps/search/?api=1&amp;query=-12.3178,-76.829765","Punta Hermosa, Lima")</f>
      </c>
      <c r="O696" t="str">
        <v>Acelerado y giro brusco</v>
      </c>
      <c r="P696" t="str">
        <v/>
      </c>
      <c r="Q696">
        <v>2204</v>
      </c>
      <c r="R696" t="str">
        <v/>
      </c>
      <c r="S696">
        <v>10.3</v>
      </c>
      <c r="T696">
        <v>84.32</v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>
        <v>85</v>
      </c>
      <c r="AC696" t="str">
        <v>01/10/2026</v>
      </c>
      <c r="AD696" t="str">
        <v>16:09:13</v>
      </c>
      <c r="AE696">
        <f>IF("ONLINE"="NOGPS","GPS Antiguo","En línea")</f>
      </c>
      <c r="AF696">
        <f>IF(0=0,"Sin atender", IF(0=1,"Atendida","Atendida y Reportada"))</f>
      </c>
      <c r="AG696" t="str">
        <v/>
      </c>
      <c r="AH696" t="str">
        <v/>
      </c>
      <c r="AI696" t="str">
        <v/>
      </c>
      <c r="AJ696" t="str">
        <v/>
      </c>
      <c r="AK696" t="str">
        <v>01/10/2026 16:09:25</v>
      </c>
      <c r="AL696" t="str">
        <v>16:09:25</v>
      </c>
      <c r="AM696" t="str">
        <v/>
      </c>
    </row>
    <row r="697">
      <c r="A697">
        <v>696</v>
      </c>
      <c r="B697" t="str">
        <v>MASS BSF</v>
      </c>
      <c r="C697" t="str">
        <v>F8R-810</v>
      </c>
      <c r="D697" t="str">
        <v>F8R-810</v>
      </c>
      <c r="E697" t="str">
        <v/>
      </c>
      <c r="F697" t="str">
        <v>867806078868827</v>
      </c>
      <c r="G697" t="str">
        <v>TBD</v>
      </c>
      <c r="H697" t="str">
        <v/>
      </c>
      <c r="I697" t="str">
        <v/>
      </c>
      <c r="J697" t="str">
        <v>01/10/2026</v>
      </c>
      <c r="K697" t="str">
        <v>16:09:25</v>
      </c>
      <c r="L697">
        <v>-12.317648</v>
      </c>
      <c r="M697">
        <v>-76.82971</v>
      </c>
      <c r="N697">
        <f>HYPERLINK("https://www.google.com/maps/search/?api=1&amp;query=-12.317648,-76.82971","Punta Hermosa, Lima")</f>
      </c>
      <c r="O697" t="str">
        <v>Acelerado y giro brusco</v>
      </c>
      <c r="P697" t="str">
        <v/>
      </c>
      <c r="Q697">
        <v>2204</v>
      </c>
      <c r="R697" t="str">
        <v/>
      </c>
      <c r="S697">
        <v>7</v>
      </c>
      <c r="T697">
        <v>84.32</v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>
        <v>85</v>
      </c>
      <c r="AC697" t="str">
        <v>01/10/2026</v>
      </c>
      <c r="AD697" t="str">
        <v>16:09:21</v>
      </c>
      <c r="AE697">
        <f>IF("ONLINE"="NOGPS","GPS Antiguo","En línea")</f>
      </c>
      <c r="AF697">
        <f>IF(0=0,"Sin atender", IF(0=1,"Atendida","Atendida y Reportada"))</f>
      </c>
      <c r="AG697" t="str">
        <v/>
      </c>
      <c r="AH697" t="str">
        <v/>
      </c>
      <c r="AI697" t="str">
        <v/>
      </c>
      <c r="AJ697" t="str">
        <v/>
      </c>
      <c r="AK697" t="str">
        <v>01/10/2026 16:09:38</v>
      </c>
      <c r="AL697" t="str">
        <v>16:09:38</v>
      </c>
      <c r="AM697" t="str">
        <v/>
      </c>
    </row>
    <row r="698">
      <c r="A698">
        <v>697</v>
      </c>
      <c r="B698" t="str">
        <v>MASS BSF</v>
      </c>
      <c r="C698" t="str">
        <v>F8R-810</v>
      </c>
      <c r="D698" t="str">
        <v>F8R-810</v>
      </c>
      <c r="E698" t="str">
        <v/>
      </c>
      <c r="F698" t="str">
        <v>867806078868827</v>
      </c>
      <c r="G698" t="str">
        <v>TBD</v>
      </c>
      <c r="H698" t="str">
        <v/>
      </c>
      <c r="I698" t="str">
        <v xml:space="preserve"> </v>
      </c>
      <c r="J698" t="str">
        <v>01/10/2026</v>
      </c>
      <c r="K698" t="str">
        <v>16:09:30</v>
      </c>
      <c r="L698">
        <v>-12.31752</v>
      </c>
      <c r="M698">
        <v>-76.82962</v>
      </c>
      <c r="N698">
        <f>HYPERLINK("https://www.google.com/maps/search/?api=1&amp;query=-12.31752,-76.82962","Punta Hermosa, Lima")</f>
      </c>
      <c r="O698" t="str">
        <v>Llegó a la zona</v>
      </c>
      <c r="P698" t="str">
        <v/>
      </c>
      <c r="Q698">
        <v>2204.1</v>
      </c>
      <c r="R698" t="str">
        <v>MASS BSF 1</v>
      </c>
      <c r="S698">
        <v>10.7</v>
      </c>
      <c r="T698">
        <v>84.32</v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>
        <v>85</v>
      </c>
      <c r="AC698" t="str">
        <v>01/10/2026</v>
      </c>
      <c r="AD698" t="str">
        <v>16:09:27</v>
      </c>
      <c r="AE698">
        <f>IF("ONLINE"="NOGPS","GPS Antiguo","En línea")</f>
      </c>
      <c r="AF698">
        <f>IF(0=0,"Sin atender", IF(0=1,"Atendida","Atendida y Reportada"))</f>
      </c>
      <c r="AG698" t="str">
        <v/>
      </c>
      <c r="AH698" t="str">
        <v/>
      </c>
      <c r="AI698" t="str">
        <v/>
      </c>
      <c r="AJ698" t="str">
        <v/>
      </c>
      <c r="AK698" t="str">
        <v>01/10/2026 16:09:36</v>
      </c>
      <c r="AL698" t="str">
        <v>16:09:36</v>
      </c>
      <c r="AM698" t="str">
        <v/>
      </c>
    </row>
    <row r="699">
      <c r="A699">
        <v>698</v>
      </c>
      <c r="B699" t="str">
        <v>MASS BSF</v>
      </c>
      <c r="C699" t="str">
        <v>F8R-810</v>
      </c>
      <c r="D699" t="str">
        <v>F8R-810</v>
      </c>
      <c r="E699" t="str">
        <v/>
      </c>
      <c r="F699" t="str">
        <v>867806078868827</v>
      </c>
      <c r="G699" t="str">
        <v>TBD</v>
      </c>
      <c r="H699" t="str">
        <v/>
      </c>
      <c r="I699" t="str">
        <v/>
      </c>
      <c r="J699" t="str">
        <v>01/10/2026</v>
      </c>
      <c r="K699" t="str">
        <v>16:09:35</v>
      </c>
      <c r="L699">
        <v>-12.317449</v>
      </c>
      <c r="M699">
        <v>-76.82954</v>
      </c>
      <c r="N699">
        <f>HYPERLINK("https://www.google.com/maps/search/?api=1&amp;query=-12.317449,-76.82954","Punta Hermosa, Lima")</f>
      </c>
      <c r="O699" t="str">
        <v>Acelerado y giro brusco</v>
      </c>
      <c r="P699" t="str">
        <v/>
      </c>
      <c r="Q699">
        <v>2204.1</v>
      </c>
      <c r="R699" t="str">
        <v/>
      </c>
      <c r="S699">
        <v>9</v>
      </c>
      <c r="T699">
        <v>84.32</v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>
        <v>85</v>
      </c>
      <c r="AC699" t="str">
        <v>01/10/2026</v>
      </c>
      <c r="AD699" t="str">
        <v>16:09:31</v>
      </c>
      <c r="AE699">
        <f>IF("ONLINE"="NOGPS","GPS Antiguo","En línea")</f>
      </c>
      <c r="AF699">
        <f>IF(0=0,"Sin atender", IF(0=1,"Atendida","Atendida y Reportada"))</f>
      </c>
      <c r="AG699" t="str">
        <v/>
      </c>
      <c r="AH699" t="str">
        <v/>
      </c>
      <c r="AI699" t="str">
        <v/>
      </c>
      <c r="AJ699" t="str">
        <v/>
      </c>
      <c r="AK699" t="str">
        <v>01/10/2026 16:09:49</v>
      </c>
      <c r="AL699" t="str">
        <v>16:09:49</v>
      </c>
      <c r="AM699" t="str">
        <v/>
      </c>
    </row>
    <row r="700">
      <c r="A700">
        <v>699</v>
      </c>
      <c r="B700" t="str">
        <v>MASS BSF</v>
      </c>
      <c r="C700" t="str">
        <v>F8R-810</v>
      </c>
      <c r="D700" t="str">
        <v>F8R-810</v>
      </c>
      <c r="E700" t="str">
        <v/>
      </c>
      <c r="F700" t="str">
        <v>867806078868827</v>
      </c>
      <c r="G700" t="str">
        <v>TBD</v>
      </c>
      <c r="H700" t="str">
        <v/>
      </c>
      <c r="I700" t="str">
        <v/>
      </c>
      <c r="J700" t="str">
        <v>01/10/2026</v>
      </c>
      <c r="K700" t="str">
        <v>16:10:00</v>
      </c>
      <c r="L700">
        <v>-12.317331</v>
      </c>
      <c r="M700">
        <v>-76.82928</v>
      </c>
      <c r="N700">
        <f>HYPERLINK("https://www.google.com/maps/search/?api=1&amp;query=-12.317331,-76.82928","Punta Hermosa, Lima")</f>
      </c>
      <c r="O700" t="str">
        <v>Acelerado y giro brusco</v>
      </c>
      <c r="P700" t="str">
        <v/>
      </c>
      <c r="Q700">
        <v>2204.1</v>
      </c>
      <c r="R700" t="str">
        <v/>
      </c>
      <c r="S700">
        <v>11.4</v>
      </c>
      <c r="T700">
        <v>84.32</v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>
        <v>85</v>
      </c>
      <c r="AC700" t="str">
        <v>01/10/2026</v>
      </c>
      <c r="AD700" t="str">
        <v>16:09:56</v>
      </c>
      <c r="AE700">
        <f>IF("ONLINE"="NOGPS","GPS Antiguo","En línea")</f>
      </c>
      <c r="AF700">
        <f>IF(0=0,"Sin atender", IF(0=1,"Atendida","Atendida y Reportada"))</f>
      </c>
      <c r="AG700" t="str">
        <v/>
      </c>
      <c r="AH700" t="str">
        <v/>
      </c>
      <c r="AI700" t="str">
        <v/>
      </c>
      <c r="AJ700" t="str">
        <v/>
      </c>
      <c r="AK700" t="str">
        <v>01/10/2026 16:10:16</v>
      </c>
      <c r="AL700" t="str">
        <v>16:10:16</v>
      </c>
      <c r="AM700" t="str">
        <v/>
      </c>
    </row>
    <row r="701">
      <c r="A701">
        <v>700</v>
      </c>
      <c r="B701" t="str">
        <v>MASS BSF</v>
      </c>
      <c r="C701" t="str">
        <v>F8R-810</v>
      </c>
      <c r="D701" t="str">
        <v>F8R-810</v>
      </c>
      <c r="E701" t="str">
        <v/>
      </c>
      <c r="F701" t="str">
        <v>867806078868827</v>
      </c>
      <c r="G701" t="str">
        <v>TBD</v>
      </c>
      <c r="H701" t="str">
        <v/>
      </c>
      <c r="I701" t="str">
        <v/>
      </c>
      <c r="J701" t="str">
        <v>01/10/2026</v>
      </c>
      <c r="K701" t="str">
        <v>16:10:04</v>
      </c>
      <c r="L701">
        <v>-12.317268</v>
      </c>
      <c r="M701">
        <v>-76.829155</v>
      </c>
      <c r="N701">
        <f>HYPERLINK("https://www.google.com/maps/search/?api=1&amp;query=-12.317268,-76.829155","Punta Hermosa, Lima")</f>
      </c>
      <c r="O701" t="str">
        <v>Acelerado y giro brusco</v>
      </c>
      <c r="P701" t="str">
        <v/>
      </c>
      <c r="Q701">
        <v>2204.1</v>
      </c>
      <c r="R701" t="str">
        <v/>
      </c>
      <c r="S701">
        <v>12.2</v>
      </c>
      <c r="T701">
        <v>84.32</v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>
        <v>85</v>
      </c>
      <c r="AC701" t="str">
        <v>01/10/2026</v>
      </c>
      <c r="AD701" t="str">
        <v>16:10:01</v>
      </c>
      <c r="AE701">
        <f>IF("ONLINE"="NOGPS","GPS Antiguo","En línea")</f>
      </c>
      <c r="AF701">
        <f>IF(0=0,"Sin atender", IF(0=1,"Atendida","Atendida y Reportada"))</f>
      </c>
      <c r="AG701" t="str">
        <v/>
      </c>
      <c r="AH701" t="str">
        <v/>
      </c>
      <c r="AI701" t="str">
        <v/>
      </c>
      <c r="AJ701" t="str">
        <v/>
      </c>
      <c r="AK701" t="str">
        <v>01/10/2026 16:10:25</v>
      </c>
      <c r="AL701" t="str">
        <v>16:10:25</v>
      </c>
      <c r="AM701" t="str">
        <v/>
      </c>
    </row>
    <row r="702">
      <c r="A702">
        <v>701</v>
      </c>
      <c r="B702" t="str">
        <v>MASS BSF</v>
      </c>
      <c r="C702" t="str">
        <v>F8R-810</v>
      </c>
      <c r="D702" t="str">
        <v>F8R-810</v>
      </c>
      <c r="E702" t="str">
        <v/>
      </c>
      <c r="F702" t="str">
        <v>867806078868827</v>
      </c>
      <c r="G702" t="str">
        <v>TBD</v>
      </c>
      <c r="H702" t="str">
        <v/>
      </c>
      <c r="I702" t="str">
        <v/>
      </c>
      <c r="J702" t="str">
        <v>01/10/2026</v>
      </c>
      <c r="K702" t="str">
        <v>16:10:24</v>
      </c>
      <c r="L702">
        <v>-12.316972</v>
      </c>
      <c r="M702">
        <v>-76.82867</v>
      </c>
      <c r="N702">
        <f>HYPERLINK("https://www.google.com/maps/search/?api=1&amp;query=-12.316972,-76.82867","Punta Hermosa, Lima")</f>
      </c>
      <c r="O702" t="str">
        <v>Aceleración brusca</v>
      </c>
      <c r="P702" t="str">
        <v>CMT-910</v>
      </c>
      <c r="Q702">
        <v>2204.2</v>
      </c>
      <c r="R702" t="str">
        <v/>
      </c>
      <c r="S702">
        <v>10</v>
      </c>
      <c r="T702">
        <v>84.32</v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>
        <v>85</v>
      </c>
      <c r="AC702" t="str">
        <v>01/10/2026</v>
      </c>
      <c r="AD702" t="str">
        <v>16:10:20</v>
      </c>
      <c r="AE702">
        <f>IF("ONLINE"="NOGPS","GPS Antiguo","En línea")</f>
      </c>
      <c r="AF702">
        <f>IF(0=0,"Sin atender", IF(0=1,"Atendida","Atendida y Reportada"))</f>
      </c>
      <c r="AG702" t="str">
        <v/>
      </c>
      <c r="AH702" t="str">
        <v/>
      </c>
      <c r="AI702" t="str">
        <v/>
      </c>
      <c r="AJ702" t="str">
        <v/>
      </c>
      <c r="AK702" t="str">
        <v>01/10/2026 16:10:44</v>
      </c>
      <c r="AL702" t="str">
        <v>16:10:44</v>
      </c>
      <c r="AM702" t="str">
        <v/>
      </c>
    </row>
    <row r="703">
      <c r="A703">
        <v>702</v>
      </c>
      <c r="B703" t="str">
        <v>MASS BSF</v>
      </c>
      <c r="C703" t="str">
        <v>F8R-810</v>
      </c>
      <c r="D703" t="str">
        <v>F8R-810</v>
      </c>
      <c r="E703" t="str">
        <v/>
      </c>
      <c r="F703" t="str">
        <v>867806078868827</v>
      </c>
      <c r="G703" t="str">
        <v>TBD</v>
      </c>
      <c r="H703" t="str">
        <v/>
      </c>
      <c r="I703" t="str">
        <v/>
      </c>
      <c r="J703" t="str">
        <v>01/10/2026</v>
      </c>
      <c r="K703" t="str">
        <v>16:11:04</v>
      </c>
      <c r="L703">
        <v>-12.316317</v>
      </c>
      <c r="M703">
        <v>-76.827545</v>
      </c>
      <c r="N703">
        <f>HYPERLINK("https://www.google.com/maps/search/?api=1&amp;query=-12.316317,-76.827545","Punta Hermosa, Lima")</f>
      </c>
      <c r="O703" t="str">
        <v>Acelerado y giro brusco</v>
      </c>
      <c r="P703" t="str">
        <v/>
      </c>
      <c r="Q703">
        <v>2204.3</v>
      </c>
      <c r="R703" t="str">
        <v/>
      </c>
      <c r="S703">
        <v>12.4</v>
      </c>
      <c r="T703">
        <v>84.32</v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>
        <v>85</v>
      </c>
      <c r="AC703" t="str">
        <v>01/10/2026</v>
      </c>
      <c r="AD703" t="str">
        <v>16:11:00</v>
      </c>
      <c r="AE703">
        <f>IF("ONLINE"="NOGPS","GPS Antiguo","En línea")</f>
      </c>
      <c r="AF703">
        <f>IF(0=0,"Sin atender", IF(0=1,"Atendida","Atendida y Reportada"))</f>
      </c>
      <c r="AG703" t="str">
        <v/>
      </c>
      <c r="AH703" t="str">
        <v/>
      </c>
      <c r="AI703" t="str">
        <v/>
      </c>
      <c r="AJ703" t="str">
        <v/>
      </c>
      <c r="AK703" t="str">
        <v>01/10/2026 16:11:29</v>
      </c>
      <c r="AL703" t="str">
        <v>16:11:29</v>
      </c>
      <c r="AM703" t="str">
        <v/>
      </c>
    </row>
    <row r="704">
      <c r="A704">
        <v>703</v>
      </c>
      <c r="B704" t="str">
        <v>MASS BSF</v>
      </c>
      <c r="C704" t="str">
        <v>F8R-810</v>
      </c>
      <c r="D704" t="str">
        <v>F8R-810</v>
      </c>
      <c r="E704" t="str">
        <v/>
      </c>
      <c r="F704" t="str">
        <v>867806078868827</v>
      </c>
      <c r="G704" t="str">
        <v>TBD</v>
      </c>
      <c r="H704" t="str">
        <v/>
      </c>
      <c r="I704" t="str">
        <v/>
      </c>
      <c r="J704" t="str">
        <v>01/10/2026</v>
      </c>
      <c r="K704" t="str">
        <v>16:11:28</v>
      </c>
      <c r="L704">
        <v>-12.315884</v>
      </c>
      <c r="M704">
        <v>-76.82684</v>
      </c>
      <c r="N704">
        <f>HYPERLINK("https://www.google.com/maps/search/?api=1&amp;query=-12.315884,-76.82684","Punta Hermosa, Lima")</f>
      </c>
      <c r="O704" t="str">
        <v>Acelerado y giro brusco</v>
      </c>
      <c r="P704" t="str">
        <v/>
      </c>
      <c r="Q704">
        <v>2204.4</v>
      </c>
      <c r="R704" t="str">
        <v/>
      </c>
      <c r="S704">
        <v>13.8</v>
      </c>
      <c r="T704">
        <v>84.32</v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>
        <v>85</v>
      </c>
      <c r="AC704" t="str">
        <v>01/10/2026</v>
      </c>
      <c r="AD704" t="str">
        <v>16:11:25</v>
      </c>
      <c r="AE704">
        <f>IF("ONLINE"="NOGPS","GPS Antiguo","En línea")</f>
      </c>
      <c r="AF704">
        <f>IF(0=0,"Sin atender", IF(0=1,"Atendida","Atendida y Reportada"))</f>
      </c>
      <c r="AG704" t="str">
        <v/>
      </c>
      <c r="AH704" t="str">
        <v/>
      </c>
      <c r="AI704" t="str">
        <v/>
      </c>
      <c r="AJ704" t="str">
        <v/>
      </c>
      <c r="AK704" t="str">
        <v>01/10/2026 16:11:46</v>
      </c>
      <c r="AL704" t="str">
        <v>16:11:46</v>
      </c>
      <c r="AM704" t="str">
        <v/>
      </c>
    </row>
    <row r="705">
      <c r="A705">
        <v>704</v>
      </c>
      <c r="B705" t="str">
        <v>MASS BSF</v>
      </c>
      <c r="C705" t="str">
        <v>F8R-810</v>
      </c>
      <c r="D705" t="str">
        <v>F8R-810</v>
      </c>
      <c r="E705" t="str">
        <v/>
      </c>
      <c r="F705" t="str">
        <v>867806078868827</v>
      </c>
      <c r="G705" t="str">
        <v>TBD</v>
      </c>
      <c r="H705" t="str">
        <v/>
      </c>
      <c r="I705" t="str">
        <v/>
      </c>
      <c r="J705" t="str">
        <v>01/10/2026</v>
      </c>
      <c r="K705" t="str">
        <v>16:11:37</v>
      </c>
      <c r="L705">
        <v>-12.315726</v>
      </c>
      <c r="M705">
        <v>-76.826584</v>
      </c>
      <c r="N705">
        <f>HYPERLINK("https://www.google.com/maps/search/?api=1&amp;query=-12.315726,-76.826584","Punta Hermosa, Lima")</f>
      </c>
      <c r="O705" t="str">
        <v>Aceleración brusca</v>
      </c>
      <c r="P705" t="str">
        <v>CMT-910</v>
      </c>
      <c r="Q705">
        <v>2204.4</v>
      </c>
      <c r="R705" t="str">
        <v/>
      </c>
      <c r="S705">
        <v>14.6</v>
      </c>
      <c r="T705">
        <v>84.32</v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>
        <v>85</v>
      </c>
      <c r="AC705" t="str">
        <v>01/10/2026</v>
      </c>
      <c r="AD705" t="str">
        <v>16:11:33</v>
      </c>
      <c r="AE705">
        <f>IF("ONLINE"="NOGPS","GPS Antiguo","En línea")</f>
      </c>
      <c r="AF705">
        <f>IF(0=0,"Sin atender", IF(0=1,"Atendida","Atendida y Reportada"))</f>
      </c>
      <c r="AG705" t="str">
        <v/>
      </c>
      <c r="AH705" t="str">
        <v/>
      </c>
      <c r="AI705" t="str">
        <v/>
      </c>
      <c r="AJ705" t="str">
        <v/>
      </c>
      <c r="AK705" t="str">
        <v>01/10/2026 16:11:50</v>
      </c>
      <c r="AL705" t="str">
        <v>16:11:50</v>
      </c>
      <c r="AM705" t="str">
        <v/>
      </c>
    </row>
    <row r="706">
      <c r="A706">
        <v>705</v>
      </c>
      <c r="B706" t="str">
        <v>MASS BSF</v>
      </c>
      <c r="C706" t="str">
        <v>F8R-810</v>
      </c>
      <c r="D706" t="str">
        <v>F8R-810</v>
      </c>
      <c r="E706" t="str">
        <v/>
      </c>
      <c r="F706" t="str">
        <v>867806078868827</v>
      </c>
      <c r="G706" t="str">
        <v>TBD</v>
      </c>
      <c r="H706" t="str">
        <v/>
      </c>
      <c r="I706" t="str">
        <v/>
      </c>
      <c r="J706" t="str">
        <v>01/10/2026</v>
      </c>
      <c r="K706" t="str">
        <v>16:11:46</v>
      </c>
      <c r="L706">
        <v>-12.315555</v>
      </c>
      <c r="M706">
        <v>-76.82629</v>
      </c>
      <c r="N706">
        <f>HYPERLINK("https://www.google.com/maps/search/?api=1&amp;query=-12.315555,-76.82629","Punta Hermosa, Lima")</f>
      </c>
      <c r="O706" t="str">
        <v>Acelerado y giro brusco</v>
      </c>
      <c r="P706" t="str">
        <v/>
      </c>
      <c r="Q706">
        <v>2204.5</v>
      </c>
      <c r="R706" t="str">
        <v/>
      </c>
      <c r="S706">
        <v>12.9</v>
      </c>
      <c r="T706">
        <v>84.32</v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>
        <v>85</v>
      </c>
      <c r="AC706" t="str">
        <v>01/10/2026</v>
      </c>
      <c r="AD706" t="str">
        <v>16:11:42</v>
      </c>
      <c r="AE706">
        <f>IF("ONLINE"="NOGPS","GPS Antiguo","En línea")</f>
      </c>
      <c r="AF706">
        <f>IF(0=0,"Sin atender", IF(0=1,"Atendida","Atendida y Reportada"))</f>
      </c>
      <c r="AG706" t="str">
        <v/>
      </c>
      <c r="AH706" t="str">
        <v/>
      </c>
      <c r="AI706" t="str">
        <v/>
      </c>
      <c r="AJ706" t="str">
        <v/>
      </c>
      <c r="AK706" t="str">
        <v>01/10/2026 16:12:03</v>
      </c>
      <c r="AL706" t="str">
        <v>16:12:03</v>
      </c>
      <c r="AM706" t="str">
        <v/>
      </c>
    </row>
    <row r="707">
      <c r="A707">
        <v>706</v>
      </c>
      <c r="B707" t="str">
        <v>MASS BSF</v>
      </c>
      <c r="C707" t="str">
        <v>F8R-810</v>
      </c>
      <c r="D707" t="str">
        <v>F8R-810</v>
      </c>
      <c r="E707" t="str">
        <v/>
      </c>
      <c r="F707" t="str">
        <v>867806078868827</v>
      </c>
      <c r="G707" t="str">
        <v>TBD</v>
      </c>
      <c r="H707" t="str">
        <v/>
      </c>
      <c r="I707" t="str">
        <v/>
      </c>
      <c r="J707" t="str">
        <v>01/10/2026</v>
      </c>
      <c r="K707" t="str">
        <v>16:12:03</v>
      </c>
      <c r="L707">
        <v>-12.315327</v>
      </c>
      <c r="M707">
        <v>-76.825874</v>
      </c>
      <c r="N707">
        <f>HYPERLINK("https://www.google.com/maps/search/?api=1&amp;query=-12.315327,-76.825874","Punta Hermosa, Lima")</f>
      </c>
      <c r="O707" t="str">
        <v>Acelerado y giro brusco</v>
      </c>
      <c r="P707" t="str">
        <v/>
      </c>
      <c r="Q707">
        <v>2204.5</v>
      </c>
      <c r="R707" t="str">
        <v/>
      </c>
      <c r="S707">
        <v>10</v>
      </c>
      <c r="T707">
        <v>84.32</v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>
        <v>85</v>
      </c>
      <c r="AC707" t="str">
        <v>01/10/2026</v>
      </c>
      <c r="AD707" t="str">
        <v>16:12:00</v>
      </c>
      <c r="AE707">
        <f>IF("ONLINE"="NOGPS","GPS Antiguo","En línea")</f>
      </c>
      <c r="AF707">
        <f>IF(0=0,"Sin atender", IF(0=1,"Atendida","Atendida y Reportada"))</f>
      </c>
      <c r="AG707" t="str">
        <v/>
      </c>
      <c r="AH707" t="str">
        <v/>
      </c>
      <c r="AI707" t="str">
        <v/>
      </c>
      <c r="AJ707" t="str">
        <v/>
      </c>
      <c r="AK707" t="str">
        <v>01/10/2026 16:12:20</v>
      </c>
      <c r="AL707" t="str">
        <v>16:12:20</v>
      </c>
      <c r="AM707" t="str">
        <v/>
      </c>
    </row>
    <row r="708">
      <c r="A708">
        <v>707</v>
      </c>
      <c r="B708" t="str">
        <v>MASS BSF</v>
      </c>
      <c r="C708" t="str">
        <v>F8R-810</v>
      </c>
      <c r="D708" t="str">
        <v>F8R-810</v>
      </c>
      <c r="E708" t="str">
        <v/>
      </c>
      <c r="F708" t="str">
        <v>867806078868827</v>
      </c>
      <c r="G708" t="str">
        <v>TBD</v>
      </c>
      <c r="H708" t="str">
        <v/>
      </c>
      <c r="I708" t="str">
        <v/>
      </c>
      <c r="J708" t="str">
        <v>01/10/2026</v>
      </c>
      <c r="K708" t="str">
        <v>16:12:17</v>
      </c>
      <c r="L708">
        <v>-12.31575</v>
      </c>
      <c r="M708">
        <v>-76.825645</v>
      </c>
      <c r="N708">
        <f>HYPERLINK("https://www.google.com/maps/search/?api=1&amp;query=-12.31575,-76.825645","Punta Hermosa, Lima")</f>
      </c>
      <c r="O708" t="str">
        <v>Acelerado y giro brusco</v>
      </c>
      <c r="P708" t="str">
        <v/>
      </c>
      <c r="Q708">
        <v>2204.6</v>
      </c>
      <c r="R708" t="str">
        <v/>
      </c>
      <c r="S708">
        <v>13.8</v>
      </c>
      <c r="T708">
        <v>84.32</v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>
        <v>85</v>
      </c>
      <c r="AC708" t="str">
        <v>01/10/2026</v>
      </c>
      <c r="AD708" t="str">
        <v>16:12:14</v>
      </c>
      <c r="AE708">
        <f>IF("ONLINE"="NOGPS","GPS Antiguo","En línea")</f>
      </c>
      <c r="AF708">
        <f>IF(0=0,"Sin atender", IF(0=1,"Atendida","Atendida y Reportada"))</f>
      </c>
      <c r="AG708" t="str">
        <v/>
      </c>
      <c r="AH708" t="str">
        <v/>
      </c>
      <c r="AI708" t="str">
        <v/>
      </c>
      <c r="AJ708" t="str">
        <v/>
      </c>
      <c r="AK708" t="str">
        <v>01/10/2026 16:12:32</v>
      </c>
      <c r="AL708" t="str">
        <v>16:12:32</v>
      </c>
      <c r="AM708" t="str">
        <v/>
      </c>
    </row>
    <row r="709">
      <c r="A709">
        <v>708</v>
      </c>
      <c r="B709" t="str">
        <v>MASS BSF</v>
      </c>
      <c r="C709" t="str">
        <v>F8R-810</v>
      </c>
      <c r="D709" t="str">
        <v>F8R-810</v>
      </c>
      <c r="E709" t="str">
        <v/>
      </c>
      <c r="F709" t="str">
        <v>867806078868827</v>
      </c>
      <c r="G709" t="str">
        <v>TBD</v>
      </c>
      <c r="H709" t="str">
        <v/>
      </c>
      <c r="I709" t="str">
        <v/>
      </c>
      <c r="J709" t="str">
        <v>01/10/2026</v>
      </c>
      <c r="K709" t="str">
        <v>16:12:34</v>
      </c>
      <c r="L709">
        <v>-12.316274</v>
      </c>
      <c r="M709">
        <v>-76.825325</v>
      </c>
      <c r="N709">
        <f>HYPERLINK("https://www.google.com/maps/search/?api=1&amp;query=-12.316274,-76.825325","Punta Hermosa, Lima")</f>
      </c>
      <c r="O709" t="str">
        <v>Acelerado y giro brusco</v>
      </c>
      <c r="P709" t="str">
        <v/>
      </c>
      <c r="Q709">
        <v>2204.6</v>
      </c>
      <c r="R709" t="str">
        <v/>
      </c>
      <c r="S709">
        <v>13.8</v>
      </c>
      <c r="T709">
        <v>84.32</v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>
        <v>85</v>
      </c>
      <c r="AC709" t="str">
        <v>01/10/2026</v>
      </c>
      <c r="AD709" t="str">
        <v>16:12:31</v>
      </c>
      <c r="AE709">
        <f>IF("ONLINE"="NOGPS","GPS Antiguo","En línea")</f>
      </c>
      <c r="AF709">
        <f>IF(0=0,"Sin atender", IF(0=1,"Atendida","Atendida y Reportada"))</f>
      </c>
      <c r="AG709" t="str">
        <v/>
      </c>
      <c r="AH709" t="str">
        <v/>
      </c>
      <c r="AI709" t="str">
        <v/>
      </c>
      <c r="AJ709" t="str">
        <v/>
      </c>
      <c r="AK709" t="str">
        <v>01/10/2026 16:12:48</v>
      </c>
      <c r="AL709" t="str">
        <v>16:12:48</v>
      </c>
      <c r="AM709" t="str">
        <v/>
      </c>
    </row>
    <row r="710">
      <c r="A710">
        <v>709</v>
      </c>
      <c r="B710" t="str">
        <v>MASS BSF</v>
      </c>
      <c r="C710" t="str">
        <v>F8R-810</v>
      </c>
      <c r="D710" t="str">
        <v>F8R-810</v>
      </c>
      <c r="E710" t="str">
        <v/>
      </c>
      <c r="F710" t="str">
        <v>867806078868827</v>
      </c>
      <c r="G710" t="str">
        <v>TBD</v>
      </c>
      <c r="H710" t="str">
        <v/>
      </c>
      <c r="I710" t="str">
        <v/>
      </c>
      <c r="J710" t="str">
        <v>01/10/2026</v>
      </c>
      <c r="K710" t="str">
        <v>16:13:07</v>
      </c>
      <c r="L710">
        <v>-12.317232</v>
      </c>
      <c r="M710">
        <v>-76.82473</v>
      </c>
      <c r="N710">
        <f>HYPERLINK("https://www.google.com/maps/search/?api=1&amp;query=-12.317232,-76.82473","Punta Hermosa, Lima")</f>
      </c>
      <c r="O710" t="str">
        <v>Aceleración brusca</v>
      </c>
      <c r="P710" t="str">
        <v>CMT-910</v>
      </c>
      <c r="Q710">
        <v>2204.8</v>
      </c>
      <c r="R710" t="str">
        <v/>
      </c>
      <c r="S710">
        <v>12.4</v>
      </c>
      <c r="T710">
        <v>84.32</v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>
        <v>87</v>
      </c>
      <c r="AC710" t="str">
        <v>01/10/2026</v>
      </c>
      <c r="AD710" t="str">
        <v>16:13:04</v>
      </c>
      <c r="AE710">
        <f>IF("ONLINE"="NOGPS","GPS Antiguo","En línea")</f>
      </c>
      <c r="AF710">
        <f>IF(0=0,"Sin atender", IF(0=1,"Atendida","Atendida y Reportada"))</f>
      </c>
      <c r="AG710" t="str">
        <v/>
      </c>
      <c r="AH710" t="str">
        <v/>
      </c>
      <c r="AI710" t="str">
        <v/>
      </c>
      <c r="AJ710" t="str">
        <v/>
      </c>
      <c r="AK710" t="str">
        <v>01/10/2026 16:13:34</v>
      </c>
      <c r="AL710" t="str">
        <v>16:13:34</v>
      </c>
      <c r="AM710" t="str">
        <v/>
      </c>
    </row>
    <row r="711">
      <c r="A711">
        <v>710</v>
      </c>
      <c r="B711" t="str">
        <v>MASS BSF</v>
      </c>
      <c r="C711" t="str">
        <v>F8R-810</v>
      </c>
      <c r="D711" t="str">
        <v>F8R-810</v>
      </c>
      <c r="E711" t="str">
        <v/>
      </c>
      <c r="F711" t="str">
        <v>867806078868827</v>
      </c>
      <c r="G711" t="str">
        <v>TBD</v>
      </c>
      <c r="H711" t="str">
        <v/>
      </c>
      <c r="I711" t="str">
        <v/>
      </c>
      <c r="J711" t="str">
        <v>01/10/2026</v>
      </c>
      <c r="K711" t="str">
        <v>16:13:27</v>
      </c>
      <c r="L711">
        <v>-12.317614</v>
      </c>
      <c r="M711">
        <v>-76.82436</v>
      </c>
      <c r="N711">
        <f>HYPERLINK("https://www.google.com/maps/search/?api=1&amp;query=-12.317614,-76.82436","Punta Hermosa, Lima")</f>
      </c>
      <c r="O711" t="str">
        <v>Acelerado y giro brusco</v>
      </c>
      <c r="P711" t="str">
        <v/>
      </c>
      <c r="Q711">
        <v>2204.8</v>
      </c>
      <c r="R711" t="str">
        <v/>
      </c>
      <c r="S711">
        <v>5.7</v>
      </c>
      <c r="T711">
        <v>84.32</v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>
        <v>87</v>
      </c>
      <c r="AC711" t="str">
        <v>01/10/2026</v>
      </c>
      <c r="AD711" t="str">
        <v>16:13:23</v>
      </c>
      <c r="AE711">
        <f>IF("ONLINE"="NOGPS","GPS Antiguo","En línea")</f>
      </c>
      <c r="AF711">
        <f>IF(0=0,"Sin atender", IF(0=1,"Atendida","Atendida y Reportada"))</f>
      </c>
      <c r="AG711" t="str">
        <v/>
      </c>
      <c r="AH711" t="str">
        <v/>
      </c>
      <c r="AI711" t="str">
        <v/>
      </c>
      <c r="AJ711" t="str">
        <v/>
      </c>
      <c r="AK711" t="str">
        <v>01/10/2026 16:13:41</v>
      </c>
      <c r="AL711" t="str">
        <v>16:13:41</v>
      </c>
      <c r="AM711" t="str">
        <v/>
      </c>
    </row>
    <row r="712">
      <c r="A712">
        <v>711</v>
      </c>
      <c r="B712" t="str">
        <v>MASS BSF</v>
      </c>
      <c r="C712" t="str">
        <v>F8R-810</v>
      </c>
      <c r="D712" t="str">
        <v>F8R-810</v>
      </c>
      <c r="E712" t="str">
        <v/>
      </c>
      <c r="F712" t="str">
        <v>867806078868827</v>
      </c>
      <c r="G712" t="str">
        <v>TBD</v>
      </c>
      <c r="H712" t="str">
        <v/>
      </c>
      <c r="I712" t="str">
        <v/>
      </c>
      <c r="J712" t="str">
        <v>01/10/2026</v>
      </c>
      <c r="K712" t="str">
        <v>16:14:43</v>
      </c>
      <c r="L712">
        <v>-12.31767</v>
      </c>
      <c r="M712">
        <v>-76.82431</v>
      </c>
      <c r="N712">
        <f>HYPERLINK("https://www.google.com/maps/search/?api=1&amp;query=-12.31767,-76.82431","Punta Hermosa, Lima")</f>
      </c>
      <c r="O712" t="str">
        <v>Vehículo apagado</v>
      </c>
      <c r="P712" t="str">
        <v>Vehículo Apagado</v>
      </c>
      <c r="Q712">
        <v>2204.8</v>
      </c>
      <c r="R712" t="str">
        <v/>
      </c>
      <c r="S712">
        <v>0</v>
      </c>
      <c r="T712">
        <v>84.75</v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>
        <v>93</v>
      </c>
      <c r="AC712" t="str">
        <v>01/10/2026</v>
      </c>
      <c r="AD712" t="str">
        <v>16:14:39</v>
      </c>
      <c r="AE712">
        <f>IF("ONLINE"="NOGPS","GPS Antiguo","En línea")</f>
      </c>
      <c r="AF712">
        <f>IF(0=0,"Sin atender", IF(0=1,"Atendida","Atendida y Reportada"))</f>
      </c>
      <c r="AG712" t="str">
        <v/>
      </c>
      <c r="AH712" t="str">
        <v/>
      </c>
      <c r="AI712" t="str">
        <v/>
      </c>
      <c r="AJ712" t="str">
        <v/>
      </c>
      <c r="AK712" t="str">
        <v>01/10/2026 16:15:08</v>
      </c>
      <c r="AL712" t="str">
        <v>16:15:08</v>
      </c>
      <c r="AM712" t="str">
        <v/>
      </c>
    </row>
    <row r="713">
      <c r="A713">
        <v>712</v>
      </c>
      <c r="B713" t="str">
        <v>MASS BSF</v>
      </c>
      <c r="C713" t="str">
        <v>F8R-810</v>
      </c>
      <c r="D713" t="str">
        <v>F8R-810</v>
      </c>
      <c r="E713" t="str">
        <v/>
      </c>
      <c r="F713" t="str">
        <v>867806078868827</v>
      </c>
      <c r="G713" t="str">
        <v>TBD</v>
      </c>
      <c r="H713" t="str">
        <v/>
      </c>
      <c r="I713" t="str">
        <v/>
      </c>
      <c r="J713" t="str">
        <v>01/10/2026</v>
      </c>
      <c r="K713" t="str">
        <v>16:21:46</v>
      </c>
      <c r="L713">
        <v>-12.31767</v>
      </c>
      <c r="M713">
        <v>-76.82431</v>
      </c>
      <c r="N713">
        <f>HYPERLINK("https://www.google.com/maps/search/?api=1&amp;query=-12.31767,-76.82431","Punta Hermosa, Lima")</f>
      </c>
      <c r="O713" t="str">
        <v>Se detuvo</v>
      </c>
      <c r="P713" t="str">
        <v>Unidad se detuvo</v>
      </c>
      <c r="Q713">
        <v>2204.8</v>
      </c>
      <c r="R713" t="str">
        <v/>
      </c>
      <c r="S713">
        <v>0</v>
      </c>
      <c r="T713">
        <v>84.75</v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>
        <v>93</v>
      </c>
      <c r="AC713" t="str">
        <v>01/10/2026</v>
      </c>
      <c r="AD713" t="str">
        <v>16:21:42</v>
      </c>
      <c r="AE713">
        <f>IF("ONLINE"="NOGPS","GPS Antiguo","En línea")</f>
      </c>
      <c r="AF713">
        <f>IF(0=0,"Sin atender", IF(0=1,"Atendida","Atendida y Reportada"))</f>
      </c>
      <c r="AG713" t="str">
        <v/>
      </c>
      <c r="AH713" t="str">
        <v/>
      </c>
      <c r="AI713" t="str">
        <v/>
      </c>
      <c r="AJ713" t="str">
        <v/>
      </c>
      <c r="AK713" t="str">
        <v>01/10/2026 16:21:57</v>
      </c>
      <c r="AL713" t="str">
        <v>16:21:57</v>
      </c>
      <c r="AM713" t="str">
        <v/>
      </c>
    </row>
    <row r="714">
      <c r="A714">
        <v>713</v>
      </c>
      <c r="B714" t="str">
        <v>MASS BSF</v>
      </c>
      <c r="C714" t="str">
        <v>F8R-810</v>
      </c>
      <c r="D714" t="str">
        <v>F8R-810</v>
      </c>
      <c r="E714" t="str">
        <v/>
      </c>
      <c r="F714" t="str">
        <v>867806078868827</v>
      </c>
      <c r="G714" t="str">
        <v>TBD</v>
      </c>
      <c r="H714" t="str">
        <v/>
      </c>
      <c r="I714" t="str">
        <v/>
      </c>
      <c r="J714" t="str">
        <v>01/10/2026</v>
      </c>
      <c r="K714" t="str">
        <v>16:35:52</v>
      </c>
      <c r="L714">
        <v>-12.31767</v>
      </c>
      <c r="M714">
        <v>-76.82431</v>
      </c>
      <c r="N714">
        <f>HYPERLINK("https://www.google.com/maps/search/?api=1&amp;query=-12.31767,-76.82431","Punta Hermosa, Lima")</f>
      </c>
      <c r="O714" t="str">
        <v>Vehículo encendido</v>
      </c>
      <c r="P714" t="str">
        <v/>
      </c>
      <c r="Q714">
        <v>2204.8</v>
      </c>
      <c r="R714" t="str">
        <v/>
      </c>
      <c r="S714">
        <v>0</v>
      </c>
      <c r="T714">
        <v>84.75</v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>
        <v>93</v>
      </c>
      <c r="AC714" t="str">
        <v>01/10/2026</v>
      </c>
      <c r="AD714" t="str">
        <v>16:35:48</v>
      </c>
      <c r="AE714">
        <f>IF("ONLINE"="NOGPS","GPS Antiguo","En línea")</f>
      </c>
      <c r="AF714">
        <f>IF(0=0,"Sin atender", IF(0=1,"Atendida","Atendida y Reportada"))</f>
      </c>
      <c r="AG714" t="str">
        <v/>
      </c>
      <c r="AH714" t="str">
        <v/>
      </c>
      <c r="AI714" t="str">
        <v/>
      </c>
      <c r="AJ714" t="str">
        <v/>
      </c>
      <c r="AK714" t="str">
        <v>01/10/2026 16:36:10</v>
      </c>
      <c r="AL714" t="str">
        <v>16:36:10</v>
      </c>
      <c r="AM714" t="str">
        <v/>
      </c>
    </row>
    <row r="715">
      <c r="A715">
        <v>714</v>
      </c>
      <c r="B715" t="str">
        <v>MASS BSF</v>
      </c>
      <c r="C715" t="str">
        <v>F8R-810</v>
      </c>
      <c r="D715" t="str">
        <v>F8R-810</v>
      </c>
      <c r="E715" t="str">
        <v/>
      </c>
      <c r="F715" t="str">
        <v>867806078868827</v>
      </c>
      <c r="G715" t="str">
        <v>TBD</v>
      </c>
      <c r="H715" t="str">
        <v/>
      </c>
      <c r="I715" t="str">
        <v/>
      </c>
      <c r="J715" t="str">
        <v>01/10/2026</v>
      </c>
      <c r="K715" t="str">
        <v>16:36:50</v>
      </c>
      <c r="L715">
        <v>-12.316963</v>
      </c>
      <c r="M715">
        <v>-76.824875</v>
      </c>
      <c r="N715">
        <f>HYPERLINK("https://www.google.com/maps/search/?api=1&amp;query=-12.316963,-76.824875","Punta Hermosa, Lima")</f>
      </c>
      <c r="O715" t="str">
        <v>Aceleración brusca</v>
      </c>
      <c r="P715" t="str">
        <v>CMT-910</v>
      </c>
      <c r="Q715">
        <v>2204.9</v>
      </c>
      <c r="R715" t="str">
        <v/>
      </c>
      <c r="S715">
        <v>10.7</v>
      </c>
      <c r="T715">
        <v>84.75</v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>
        <v>93</v>
      </c>
      <c r="AC715" t="str">
        <v>01/10/2026</v>
      </c>
      <c r="AD715" t="str">
        <v>16:36:46</v>
      </c>
      <c r="AE715">
        <f>IF("ONLINE"="NOGPS","GPS Antiguo","En línea")</f>
      </c>
      <c r="AF715">
        <f>IF(0=0,"Sin atender", IF(0=1,"Atendida","Atendida y Reportada"))</f>
      </c>
      <c r="AG715" t="str">
        <v/>
      </c>
      <c r="AH715" t="str">
        <v/>
      </c>
      <c r="AI715" t="str">
        <v/>
      </c>
      <c r="AJ715" t="str">
        <v/>
      </c>
      <c r="AK715" t="str">
        <v>01/10/2026 16:37:04</v>
      </c>
      <c r="AL715" t="str">
        <v>16:37:04</v>
      </c>
      <c r="AM715" t="str">
        <v/>
      </c>
    </row>
    <row r="716">
      <c r="A716">
        <v>715</v>
      </c>
      <c r="B716" t="str">
        <v>MASS BSF</v>
      </c>
      <c r="C716" t="str">
        <v>F8R-810</v>
      </c>
      <c r="D716" t="str">
        <v>F8R-810</v>
      </c>
      <c r="E716" t="str">
        <v/>
      </c>
      <c r="F716" t="str">
        <v>867806078868827</v>
      </c>
      <c r="G716" t="str">
        <v>TBD</v>
      </c>
      <c r="H716" t="str">
        <v/>
      </c>
      <c r="I716" t="str">
        <v/>
      </c>
      <c r="J716" t="str">
        <v>01/10/2026</v>
      </c>
      <c r="K716" t="str">
        <v>16:38:12</v>
      </c>
      <c r="L716">
        <v>-12.315291</v>
      </c>
      <c r="M716">
        <v>-76.82606</v>
      </c>
      <c r="N716">
        <f>HYPERLINK("https://www.google.com/maps/search/?api=1&amp;query=-12.315291,-76.82606","Punta Hermosa, Lima")</f>
      </c>
      <c r="O716" t="str">
        <v>Acelerado y giro brusco</v>
      </c>
      <c r="P716" t="str">
        <v/>
      </c>
      <c r="Q716">
        <v>2205.2</v>
      </c>
      <c r="R716" t="str">
        <v/>
      </c>
      <c r="S716">
        <v>13.5</v>
      </c>
      <c r="T716">
        <v>84.75</v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>
        <v>93</v>
      </c>
      <c r="AC716" t="str">
        <v>01/10/2026</v>
      </c>
      <c r="AD716" t="str">
        <v>16:38:08</v>
      </c>
      <c r="AE716">
        <f>IF("ONLINE"="NOGPS","GPS Antiguo","En línea")</f>
      </c>
      <c r="AF716">
        <f>IF(0=0,"Sin atender", IF(0=1,"Atendida","Atendida y Reportada"))</f>
      </c>
      <c r="AG716" t="str">
        <v/>
      </c>
      <c r="AH716" t="str">
        <v/>
      </c>
      <c r="AI716" t="str">
        <v/>
      </c>
      <c r="AJ716" t="str">
        <v/>
      </c>
      <c r="AK716" t="str">
        <v>01/10/2026 16:38:33</v>
      </c>
      <c r="AL716" t="str">
        <v>16:38:33</v>
      </c>
      <c r="AM716" t="str">
        <v/>
      </c>
    </row>
    <row r="717">
      <c r="A717">
        <v>716</v>
      </c>
      <c r="B717" t="str">
        <v>MASS BSF</v>
      </c>
      <c r="C717" t="str">
        <v>F8R-810</v>
      </c>
      <c r="D717" t="str">
        <v>F8R-810</v>
      </c>
      <c r="E717" t="str">
        <v/>
      </c>
      <c r="F717" t="str">
        <v>867806078868827</v>
      </c>
      <c r="G717" t="str">
        <v>TBD</v>
      </c>
      <c r="H717" t="str">
        <v/>
      </c>
      <c r="I717" t="str">
        <v/>
      </c>
      <c r="J717" t="str">
        <v>01/10/2026</v>
      </c>
      <c r="K717" t="str">
        <v>16:38:27</v>
      </c>
      <c r="L717">
        <v>-12.315525</v>
      </c>
      <c r="M717">
        <v>-76.82644</v>
      </c>
      <c r="N717">
        <f>HYPERLINK("https://www.google.com/maps/search/?api=1&amp;query=-12.315525,-76.82644","Punta Hermosa, Lima")</f>
      </c>
      <c r="O717" t="str">
        <v>Acelerado y giro brusco</v>
      </c>
      <c r="P717" t="str">
        <v/>
      </c>
      <c r="Q717">
        <v>2205.2</v>
      </c>
      <c r="R717" t="str">
        <v/>
      </c>
      <c r="S717">
        <v>12.5</v>
      </c>
      <c r="T717">
        <v>84.75</v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>
        <v>93</v>
      </c>
      <c r="AC717" t="str">
        <v>01/10/2026</v>
      </c>
      <c r="AD717" t="str">
        <v>16:38:23</v>
      </c>
      <c r="AE717">
        <f>IF("ONLINE"="NOGPS","GPS Antiguo","En línea")</f>
      </c>
      <c r="AF717">
        <f>IF(0=0,"Sin atender", IF(0=1,"Atendida","Atendida y Reportada"))</f>
      </c>
      <c r="AG717" t="str">
        <v/>
      </c>
      <c r="AH717" t="str">
        <v/>
      </c>
      <c r="AI717" t="str">
        <v/>
      </c>
      <c r="AJ717" t="str">
        <v/>
      </c>
      <c r="AK717" t="str">
        <v>01/10/2026 16:38:32</v>
      </c>
      <c r="AL717" t="str">
        <v>16:38:32</v>
      </c>
      <c r="AM717" t="str">
        <v/>
      </c>
    </row>
    <row r="718">
      <c r="A718">
        <v>717</v>
      </c>
      <c r="B718" t="str">
        <v>MASS BSF</v>
      </c>
      <c r="C718" t="str">
        <v>F8R-810</v>
      </c>
      <c r="D718" t="str">
        <v>F8R-810</v>
      </c>
      <c r="E718" t="str">
        <v/>
      </c>
      <c r="F718" t="str">
        <v>867806078868827</v>
      </c>
      <c r="G718" t="str">
        <v>TBD</v>
      </c>
      <c r="H718" t="str">
        <v/>
      </c>
      <c r="I718" t="str">
        <v/>
      </c>
      <c r="J718" t="str">
        <v>01/10/2026</v>
      </c>
      <c r="K718" t="str">
        <v>16:38:56</v>
      </c>
      <c r="L718">
        <v>-12.31607</v>
      </c>
      <c r="M718">
        <v>-76.827286</v>
      </c>
      <c r="N718">
        <f>HYPERLINK("https://www.google.com/maps/search/?api=1&amp;query=-12.31607,-76.827286","Punta Hermosa, Lima")</f>
      </c>
      <c r="O718" t="str">
        <v>Acelerado y giro brusco</v>
      </c>
      <c r="P718" t="str">
        <v/>
      </c>
      <c r="Q718">
        <v>2205.3</v>
      </c>
      <c r="R718" t="str">
        <v/>
      </c>
      <c r="S718">
        <v>10.7</v>
      </c>
      <c r="T718">
        <v>84.75</v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>
        <v>93</v>
      </c>
      <c r="AC718" t="str">
        <v>01/10/2026</v>
      </c>
      <c r="AD718" t="str">
        <v>16:38:53</v>
      </c>
      <c r="AE718">
        <f>IF("ONLINE"="NOGPS","GPS Antiguo","En línea")</f>
      </c>
      <c r="AF718">
        <f>IF(0=0,"Sin atender", IF(0=1,"Atendida","Atendida y Reportada"))</f>
      </c>
      <c r="AG718" t="str">
        <v/>
      </c>
      <c r="AH718" t="str">
        <v/>
      </c>
      <c r="AI718" t="str">
        <v/>
      </c>
      <c r="AJ718" t="str">
        <v/>
      </c>
      <c r="AK718" t="str">
        <v>01/10/2026 16:39:04</v>
      </c>
      <c r="AL718" t="str">
        <v>16:39:04</v>
      </c>
      <c r="AM718" t="str">
        <v/>
      </c>
    </row>
    <row r="719">
      <c r="A719">
        <v>718</v>
      </c>
      <c r="B719" t="str">
        <v>MASS BSF</v>
      </c>
      <c r="C719" t="str">
        <v>F8R-810</v>
      </c>
      <c r="D719" t="str">
        <v>F8R-810</v>
      </c>
      <c r="E719" t="str">
        <v/>
      </c>
      <c r="F719" t="str">
        <v>867806078868827</v>
      </c>
      <c r="G719" t="str">
        <v>TBD</v>
      </c>
      <c r="H719" t="str">
        <v/>
      </c>
      <c r="I719" t="str">
        <v/>
      </c>
      <c r="J719" t="str">
        <v>01/10/2026</v>
      </c>
      <c r="K719" t="str">
        <v>16:39:35</v>
      </c>
      <c r="L719">
        <v>-12.316575</v>
      </c>
      <c r="M719">
        <v>-76.828125</v>
      </c>
      <c r="N719">
        <f>HYPERLINK("https://www.google.com/maps/search/?api=1&amp;query=-12.316575,-76.828125","Punta Hermosa, Lima")</f>
      </c>
      <c r="O719" t="str">
        <v>Acelerado y giro brusco</v>
      </c>
      <c r="P719" t="str">
        <v/>
      </c>
      <c r="Q719">
        <v>2205.4</v>
      </c>
      <c r="R719" t="str">
        <v/>
      </c>
      <c r="S719">
        <v>9.8</v>
      </c>
      <c r="T719">
        <v>84.75</v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>
        <v>93</v>
      </c>
      <c r="AC719" t="str">
        <v>01/10/2026</v>
      </c>
      <c r="AD719" t="str">
        <v>16:39:31</v>
      </c>
      <c r="AE719">
        <f>IF("ONLINE"="NOGPS","GPS Antiguo","En línea")</f>
      </c>
      <c r="AF719">
        <f>IF(0=0,"Sin atender", IF(0=1,"Atendida","Atendida y Reportada"))</f>
      </c>
      <c r="AG719" t="str">
        <v/>
      </c>
      <c r="AH719" t="str">
        <v/>
      </c>
      <c r="AI719" t="str">
        <v/>
      </c>
      <c r="AJ719" t="str">
        <v/>
      </c>
      <c r="AK719" t="str">
        <v>01/10/2026 16:39:40</v>
      </c>
      <c r="AL719" t="str">
        <v>16:39:40</v>
      </c>
      <c r="AM719" t="str">
        <v/>
      </c>
    </row>
    <row r="720">
      <c r="A720">
        <v>719</v>
      </c>
      <c r="B720" t="str">
        <v>MASS BSF</v>
      </c>
      <c r="C720" t="str">
        <v>F8R-810</v>
      </c>
      <c r="D720" t="str">
        <v>F8R-810</v>
      </c>
      <c r="E720" t="str">
        <v/>
      </c>
      <c r="F720" t="str">
        <v>867806078868827</v>
      </c>
      <c r="G720" t="str">
        <v>TBD</v>
      </c>
      <c r="H720" t="str">
        <v/>
      </c>
      <c r="I720" t="str">
        <v/>
      </c>
      <c r="J720" t="str">
        <v>01/10/2026</v>
      </c>
      <c r="K720" t="str">
        <v>16:39:48</v>
      </c>
      <c r="L720">
        <v>-12.316771</v>
      </c>
      <c r="M720">
        <v>-76.828445</v>
      </c>
      <c r="N720">
        <f>HYPERLINK("https://www.google.com/maps/search/?api=1&amp;query=-12.316771,-76.828445","Punta Hermosa, Lima")</f>
      </c>
      <c r="O720" t="str">
        <v>Acelerado y giro brusco</v>
      </c>
      <c r="P720" t="str">
        <v/>
      </c>
      <c r="Q720">
        <v>2205.5</v>
      </c>
      <c r="R720" t="str">
        <v/>
      </c>
      <c r="S720">
        <v>10.5</v>
      </c>
      <c r="T720">
        <v>84.75</v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>
        <v>93</v>
      </c>
      <c r="AC720" t="str">
        <v>01/10/2026</v>
      </c>
      <c r="AD720" t="str">
        <v>16:39:44</v>
      </c>
      <c r="AE720">
        <f>IF("ONLINE"="NOGPS","GPS Antiguo","En línea")</f>
      </c>
      <c r="AF720">
        <f>IF(0=0,"Sin atender", IF(0=1,"Atendida","Atendida y Reportada"))</f>
      </c>
      <c r="AG720" t="str">
        <v/>
      </c>
      <c r="AH720" t="str">
        <v/>
      </c>
      <c r="AI720" t="str">
        <v/>
      </c>
      <c r="AJ720" t="str">
        <v/>
      </c>
      <c r="AK720" t="str">
        <v>01/10/2026 16:40:01</v>
      </c>
      <c r="AL720" t="str">
        <v>16:40:01</v>
      </c>
      <c r="AM720" t="str">
        <v/>
      </c>
    </row>
    <row r="721">
      <c r="A721">
        <v>720</v>
      </c>
      <c r="B721" t="str">
        <v>MASS BSF</v>
      </c>
      <c r="C721" t="str">
        <v>F8R-810</v>
      </c>
      <c r="D721" t="str">
        <v>F8R-810</v>
      </c>
      <c r="E721" t="str">
        <v/>
      </c>
      <c r="F721" t="str">
        <v>867806078868827</v>
      </c>
      <c r="G721" t="str">
        <v>TBD</v>
      </c>
      <c r="H721" t="str">
        <v/>
      </c>
      <c r="I721" t="str">
        <v/>
      </c>
      <c r="J721" t="str">
        <v>01/10/2026</v>
      </c>
      <c r="K721" t="str">
        <v>16:39:58</v>
      </c>
      <c r="L721">
        <v>-12.316908</v>
      </c>
      <c r="M721">
        <v>-76.82867</v>
      </c>
      <c r="N721">
        <f>HYPERLINK("https://www.google.com/maps/search/?api=1&amp;query=-12.316908,-76.82867","Punta Hermosa, Lima")</f>
      </c>
      <c r="O721" t="str">
        <v>Acelerado y giro brusco</v>
      </c>
      <c r="P721" t="str">
        <v/>
      </c>
      <c r="Q721">
        <v>2205.5</v>
      </c>
      <c r="R721" t="str">
        <v/>
      </c>
      <c r="S721">
        <v>10.7</v>
      </c>
      <c r="T721">
        <v>84.75</v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>
        <v>93</v>
      </c>
      <c r="AC721" t="str">
        <v>01/10/2026</v>
      </c>
      <c r="AD721" t="str">
        <v>16:39:54</v>
      </c>
      <c r="AE721">
        <f>IF("ONLINE"="NOGPS","GPS Antiguo","En línea")</f>
      </c>
      <c r="AF721">
        <f>IF(0=0,"Sin atender", IF(0=1,"Atendida","Atendida y Reportada"))</f>
      </c>
      <c r="AG721" t="str">
        <v/>
      </c>
      <c r="AH721" t="str">
        <v/>
      </c>
      <c r="AI721" t="str">
        <v/>
      </c>
      <c r="AJ721" t="str">
        <v/>
      </c>
      <c r="AK721" t="str">
        <v>01/10/2026 16:40:07</v>
      </c>
      <c r="AL721" t="str">
        <v>16:40:07</v>
      </c>
      <c r="AM721" t="str">
        <v/>
      </c>
    </row>
    <row r="722">
      <c r="A722">
        <v>721</v>
      </c>
      <c r="B722" t="str">
        <v>MASS BSF</v>
      </c>
      <c r="C722" t="str">
        <v>F8R-810</v>
      </c>
      <c r="D722" t="str">
        <v>F8R-810</v>
      </c>
      <c r="E722" t="str">
        <v/>
      </c>
      <c r="F722" t="str">
        <v>867806078868827</v>
      </c>
      <c r="G722" t="str">
        <v>TBD</v>
      </c>
      <c r="H722" t="str">
        <v/>
      </c>
      <c r="I722" t="str">
        <v/>
      </c>
      <c r="J722" t="str">
        <v>01/10/2026</v>
      </c>
      <c r="K722" t="str">
        <v>16:40:28</v>
      </c>
      <c r="L722">
        <v>-12.317322</v>
      </c>
      <c r="M722">
        <v>-76.82932</v>
      </c>
      <c r="N722">
        <f>HYPERLINK("https://www.google.com/maps/search/?api=1&amp;query=-12.317322,-76.82932","Punta Hermosa, Lima")</f>
      </c>
      <c r="O722" t="str">
        <v>Aceleración brusca</v>
      </c>
      <c r="P722" t="str">
        <v>CMT-910</v>
      </c>
      <c r="Q722">
        <v>2205.6</v>
      </c>
      <c r="R722" t="str">
        <v/>
      </c>
      <c r="S722">
        <v>8.7</v>
      </c>
      <c r="T722">
        <v>84.75</v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>
        <v>93</v>
      </c>
      <c r="AC722" t="str">
        <v>01/10/2026</v>
      </c>
      <c r="AD722" t="str">
        <v>16:40:24</v>
      </c>
      <c r="AE722">
        <f>IF("ONLINE"="NOGPS","GPS Antiguo","En línea")</f>
      </c>
      <c r="AF722">
        <f>IF(0=0,"Sin atender", IF(0=1,"Atendida","Atendida y Reportada"))</f>
      </c>
      <c r="AG722" t="str">
        <v/>
      </c>
      <c r="AH722" t="str">
        <v/>
      </c>
      <c r="AI722" t="str">
        <v/>
      </c>
      <c r="AJ722" t="str">
        <v/>
      </c>
      <c r="AK722" t="str">
        <v>01/10/2026 16:40:43</v>
      </c>
      <c r="AL722" t="str">
        <v>16:40:43</v>
      </c>
      <c r="AM722" t="str">
        <v/>
      </c>
    </row>
    <row r="723">
      <c r="A723">
        <v>722</v>
      </c>
      <c r="B723" t="str">
        <v>MASS BSF</v>
      </c>
      <c r="C723" t="str">
        <v>F8R-810</v>
      </c>
      <c r="D723" t="str">
        <v>F8R-810</v>
      </c>
      <c r="E723" t="str">
        <v/>
      </c>
      <c r="F723" t="str">
        <v>867806078868827</v>
      </c>
      <c r="G723" t="str">
        <v>TBD</v>
      </c>
      <c r="H723" t="str">
        <v/>
      </c>
      <c r="I723" t="str">
        <v xml:space="preserve"> </v>
      </c>
      <c r="J723" t="str">
        <v>01/10/2026</v>
      </c>
      <c r="K723" t="str">
        <v>16:41:08</v>
      </c>
      <c r="L723">
        <v>-12.317592</v>
      </c>
      <c r="M723">
        <v>-76.82992</v>
      </c>
      <c r="N723">
        <f>HYPERLINK("https://www.google.com/maps/search/?api=1&amp;query=-12.317592,-76.82992","Punta Hermosa, Lima")</f>
      </c>
      <c r="O723" t="str">
        <v>Salió de zona</v>
      </c>
      <c r="P723" t="str">
        <v/>
      </c>
      <c r="Q723">
        <v>2205.6</v>
      </c>
      <c r="R723" t="str">
        <v>MASS BSF 1</v>
      </c>
      <c r="S723">
        <v>18.5</v>
      </c>
      <c r="T723">
        <v>84.73</v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>
        <v>85</v>
      </c>
      <c r="AC723" t="str">
        <v>01/10/2026</v>
      </c>
      <c r="AD723" t="str">
        <v>16:41:05</v>
      </c>
      <c r="AE723">
        <f>IF("ONLINE"="NOGPS","GPS Antiguo","En línea")</f>
      </c>
      <c r="AF723">
        <f>IF(0=0,"Sin atender", IF(0=1,"Atendida","Atendida y Reportada"))</f>
      </c>
      <c r="AG723" t="str">
        <v/>
      </c>
      <c r="AH723" t="str">
        <v/>
      </c>
      <c r="AI723" t="str">
        <v/>
      </c>
      <c r="AJ723" t="str">
        <v/>
      </c>
      <c r="AK723" t="str">
        <v>01/10/2026 16:41:17</v>
      </c>
      <c r="AL723" t="str">
        <v>16:41:17</v>
      </c>
      <c r="AM723" t="str">
        <v/>
      </c>
    </row>
    <row r="724">
      <c r="A724">
        <v>723</v>
      </c>
      <c r="B724" t="str">
        <v>MASS BSF</v>
      </c>
      <c r="C724" t="str">
        <v>F8R-810</v>
      </c>
      <c r="D724" t="str">
        <v>F8R-810</v>
      </c>
      <c r="E724" t="str">
        <v/>
      </c>
      <c r="F724" t="str">
        <v>867806078868827</v>
      </c>
      <c r="G724" t="str">
        <v>TBD</v>
      </c>
      <c r="H724" t="str">
        <v/>
      </c>
      <c r="I724" t="str">
        <v/>
      </c>
      <c r="J724" t="str">
        <v>01/10/2026</v>
      </c>
      <c r="K724" t="str">
        <v>16:44:15</v>
      </c>
      <c r="L724">
        <v>-12.300707</v>
      </c>
      <c r="M724">
        <v>-76.84729</v>
      </c>
      <c r="N724">
        <f>HYPERLINK("https://www.google.com/maps/search/?api=1&amp;query=-12.300707,-76.84729","Carretera Panamericana Sur, Lurín, Lima")</f>
      </c>
      <c r="O724" t="str">
        <v>Aceleración brusca</v>
      </c>
      <c r="P724" t="str">
        <v>CMT-910</v>
      </c>
      <c r="Q724">
        <v>2208.4</v>
      </c>
      <c r="R724" t="str">
        <v/>
      </c>
      <c r="S724">
        <v>60.7</v>
      </c>
      <c r="T724">
        <v>84.75</v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>
        <v>93</v>
      </c>
      <c r="AC724" t="str">
        <v>01/10/2026</v>
      </c>
      <c r="AD724" t="str">
        <v>16:44:12</v>
      </c>
      <c r="AE724">
        <f>IF("ONLINE"="NOGPS","GPS Antiguo","En línea")</f>
      </c>
      <c r="AF724">
        <f>IF(0=0,"Sin atender", IF(0=1,"Atendida","Atendida y Reportada"))</f>
      </c>
      <c r="AG724" t="str">
        <v/>
      </c>
      <c r="AH724" t="str">
        <v/>
      </c>
      <c r="AI724" t="str">
        <v/>
      </c>
      <c r="AJ724" t="str">
        <v/>
      </c>
      <c r="AK724" t="str">
        <v>01/10/2026 16:44:26</v>
      </c>
      <c r="AL724" t="str">
        <v>16:44:26</v>
      </c>
      <c r="AM724" t="str">
        <v/>
      </c>
    </row>
    <row r="725">
      <c r="A725">
        <v>724</v>
      </c>
      <c r="B725" t="str">
        <v>MASS BSF</v>
      </c>
      <c r="C725" t="str">
        <v>F8R-810</v>
      </c>
      <c r="D725" t="str">
        <v>F8R-810</v>
      </c>
      <c r="E725" t="str">
        <v/>
      </c>
      <c r="F725" t="str">
        <v>867806078868827</v>
      </c>
      <c r="G725" t="str">
        <v>TBD</v>
      </c>
      <c r="H725" t="str">
        <v/>
      </c>
      <c r="I725" t="str">
        <v/>
      </c>
      <c r="J725" t="str">
        <v>01/10/2026</v>
      </c>
      <c r="K725" t="str">
        <v>16:46:32</v>
      </c>
      <c r="L725">
        <v>-12.29156</v>
      </c>
      <c r="M725">
        <v>-76.86504</v>
      </c>
      <c r="N725">
        <f>HYPERLINK("https://www.google.com/maps/search/?api=1&amp;query=-12.29156,-76.86504","Carretera Panamericana Sur, Lurín, Lima")</f>
      </c>
      <c r="O725" t="str">
        <v>Acelerado y giro brusco</v>
      </c>
      <c r="P725" t="str">
        <v/>
      </c>
      <c r="Q725">
        <v>2210.5</v>
      </c>
      <c r="R725" t="str">
        <v/>
      </c>
      <c r="S725">
        <v>62.2</v>
      </c>
      <c r="T725">
        <v>84.75</v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>
        <v>89</v>
      </c>
      <c r="AC725" t="str">
        <v>01/10/2026</v>
      </c>
      <c r="AD725" t="str">
        <v>16:46:29</v>
      </c>
      <c r="AE725">
        <f>IF("ONLINE"="NOGPS","GPS Antiguo","En línea")</f>
      </c>
      <c r="AF725">
        <f>IF(0=0,"Sin atender", IF(0=1,"Atendida","Atendida y Reportada"))</f>
      </c>
      <c r="AG725" t="str">
        <v/>
      </c>
      <c r="AH725" t="str">
        <v/>
      </c>
      <c r="AI725" t="str">
        <v/>
      </c>
      <c r="AJ725" t="str">
        <v/>
      </c>
      <c r="AK725" t="str">
        <v>01/10/2026 16:46:44</v>
      </c>
      <c r="AL725" t="str">
        <v>16:46:44</v>
      </c>
      <c r="AM725" t="str">
        <v/>
      </c>
    </row>
    <row r="726">
      <c r="A726">
        <v>725</v>
      </c>
      <c r="B726" t="str">
        <v>MASS BSF</v>
      </c>
      <c r="C726" t="str">
        <v>F8R-810</v>
      </c>
      <c r="D726" t="str">
        <v>F8R-810</v>
      </c>
      <c r="E726" t="str">
        <v/>
      </c>
      <c r="F726" t="str">
        <v>867806078868827</v>
      </c>
      <c r="G726" t="str">
        <v>TBD</v>
      </c>
      <c r="H726" t="str">
        <v/>
      </c>
      <c r="I726" t="str">
        <v/>
      </c>
      <c r="J726" t="str">
        <v>01/10/2026</v>
      </c>
      <c r="K726" t="str">
        <v>16:49:16</v>
      </c>
      <c r="L726">
        <v>-12.277845</v>
      </c>
      <c r="M726">
        <v>-76.88691</v>
      </c>
      <c r="N726">
        <f>HYPERLINK("https://www.google.com/maps/search/?api=1&amp;query=-12.277845,-76.88691","Carretera Panamericana Sur, Lurín, Lima")</f>
      </c>
      <c r="O726" t="str">
        <v>Acelerado y giro brusco</v>
      </c>
      <c r="P726" t="str">
        <v/>
      </c>
      <c r="Q726">
        <v>2213.3</v>
      </c>
      <c r="R726" t="str">
        <v/>
      </c>
      <c r="S726">
        <v>55.3</v>
      </c>
      <c r="T726">
        <v>84.75</v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>
        <v>89</v>
      </c>
      <c r="AC726" t="str">
        <v>01/10/2026</v>
      </c>
      <c r="AD726" t="str">
        <v>16:49:12</v>
      </c>
      <c r="AE726">
        <f>IF("ONLINE"="NOGPS","GPS Antiguo","En línea")</f>
      </c>
      <c r="AF726">
        <f>IF(0=0,"Sin atender", IF(0=1,"Atendida","Atendida y Reportada"))</f>
      </c>
      <c r="AG726" t="str">
        <v/>
      </c>
      <c r="AH726" t="str">
        <v/>
      </c>
      <c r="AI726" t="str">
        <v/>
      </c>
      <c r="AJ726" t="str">
        <v/>
      </c>
      <c r="AK726" t="str">
        <v>01/10/2026 16:49:24</v>
      </c>
      <c r="AL726" t="str">
        <v>16:49:24</v>
      </c>
      <c r="AM726" t="str">
        <v/>
      </c>
    </row>
    <row r="727">
      <c r="A727">
        <v>726</v>
      </c>
      <c r="B727" t="str">
        <v>MASS BSF</v>
      </c>
      <c r="C727" t="str">
        <v>F8R-810</v>
      </c>
      <c r="D727" t="str">
        <v>F8R-810</v>
      </c>
      <c r="E727" t="str">
        <v/>
      </c>
      <c r="F727" t="str">
        <v>867806078868827</v>
      </c>
      <c r="G727" t="str">
        <v>TBD</v>
      </c>
      <c r="H727" t="str">
        <v/>
      </c>
      <c r="I727" t="str">
        <v/>
      </c>
      <c r="J727" t="str">
        <v>01/10/2026</v>
      </c>
      <c r="K727" t="str">
        <v>16:52:17</v>
      </c>
      <c r="L727">
        <v>-12.261363</v>
      </c>
      <c r="M727">
        <v>-76.91312</v>
      </c>
      <c r="N727">
        <f>HYPERLINK("https://www.google.com/maps/search/?api=1&amp;query=-12.261363,-76.91312","Carretera Panamericana Sur, Lurín, Lima")</f>
      </c>
      <c r="O727" t="str">
        <v>Aceleración brusca</v>
      </c>
      <c r="P727" t="str">
        <v>CMT-910</v>
      </c>
      <c r="Q727">
        <v>2216.7</v>
      </c>
      <c r="R727" t="str">
        <v/>
      </c>
      <c r="S727">
        <v>69.4</v>
      </c>
      <c r="T727">
        <v>84.75</v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>
        <v>85</v>
      </c>
      <c r="AC727" t="str">
        <v>01/10/2026</v>
      </c>
      <c r="AD727" t="str">
        <v>16:52:14</v>
      </c>
      <c r="AE727">
        <f>IF("ONLINE"="NOGPS","GPS Antiguo","En línea")</f>
      </c>
      <c r="AF727">
        <f>IF(0=0,"Sin atender", IF(0=1,"Atendida","Atendida y Reportada"))</f>
      </c>
      <c r="AG727" t="str">
        <v/>
      </c>
      <c r="AH727" t="str">
        <v/>
      </c>
      <c r="AI727" t="str">
        <v/>
      </c>
      <c r="AJ727" t="str">
        <v/>
      </c>
      <c r="AK727" t="str">
        <v>01/10/2026 16:52:33</v>
      </c>
      <c r="AL727" t="str">
        <v>16:52:33</v>
      </c>
      <c r="AM727" t="str">
        <v/>
      </c>
    </row>
    <row r="728">
      <c r="A728">
        <v>727</v>
      </c>
      <c r="B728" t="str">
        <v>MASS BSF</v>
      </c>
      <c r="C728" t="str">
        <v>F8R-810</v>
      </c>
      <c r="D728" t="str">
        <v>F8R-810</v>
      </c>
      <c r="E728" t="str">
        <v/>
      </c>
      <c r="F728" t="str">
        <v>867806078868827</v>
      </c>
      <c r="G728" t="str">
        <v>TBD</v>
      </c>
      <c r="H728" t="str">
        <v/>
      </c>
      <c r="I728" t="str">
        <v/>
      </c>
      <c r="J728" t="str">
        <v>01/10/2026</v>
      </c>
      <c r="K728" t="str">
        <v>16:52:39</v>
      </c>
      <c r="L728">
        <v>-12.259545</v>
      </c>
      <c r="M728">
        <v>-76.91601</v>
      </c>
      <c r="N728">
        <f>HYPERLINK("https://www.google.com/maps/search/?api=1&amp;query=-12.259545,-76.91601","Carretera Panamericana Sur, Lurín, Lima")</f>
      </c>
      <c r="O728" t="str">
        <v>Aceleración brusca</v>
      </c>
      <c r="P728" t="str">
        <v>CMT-910</v>
      </c>
      <c r="Q728">
        <v>2217.1</v>
      </c>
      <c r="R728" t="str">
        <v/>
      </c>
      <c r="S728">
        <v>63.7</v>
      </c>
      <c r="T728">
        <v>84.75</v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>
        <v>85</v>
      </c>
      <c r="AC728" t="str">
        <v>01/10/2026</v>
      </c>
      <c r="AD728" t="str">
        <v>16:52:35</v>
      </c>
      <c r="AE728">
        <f>IF("ONLINE"="NOGPS","GPS Antiguo","En línea")</f>
      </c>
      <c r="AF728">
        <f>IF(0=0,"Sin atender", IF(0=1,"Atendida","Atendida y Reportada"))</f>
      </c>
      <c r="AG728" t="str">
        <v/>
      </c>
      <c r="AH728" t="str">
        <v/>
      </c>
      <c r="AI728" t="str">
        <v/>
      </c>
      <c r="AJ728" t="str">
        <v/>
      </c>
      <c r="AK728" t="str">
        <v>01/10/2026 16:52:58</v>
      </c>
      <c r="AL728" t="str">
        <v>16:52:58</v>
      </c>
      <c r="AM728" t="str">
        <v/>
      </c>
    </row>
    <row r="729">
      <c r="A729">
        <v>728</v>
      </c>
      <c r="B729" t="str">
        <v>MASS BSF</v>
      </c>
      <c r="C729" t="str">
        <v>F8R-810</v>
      </c>
      <c r="D729" t="str">
        <v>F8R-810</v>
      </c>
      <c r="E729" t="str">
        <v/>
      </c>
      <c r="F729" t="str">
        <v>867806078868827</v>
      </c>
      <c r="G729" t="str">
        <v>TBD</v>
      </c>
      <c r="H729" t="str">
        <v/>
      </c>
      <c r="I729" t="str">
        <v/>
      </c>
      <c r="J729" t="str">
        <v>01/10/2026</v>
      </c>
      <c r="K729" t="str">
        <v>16:52:44</v>
      </c>
      <c r="L729">
        <v>-12.259104</v>
      </c>
      <c r="M729">
        <v>-76.91672</v>
      </c>
      <c r="N729">
        <f>HYPERLINK("https://www.google.com/maps/search/?api=1&amp;query=-12.259104,-76.91672","Carretera Panamericana Sur, Lurín, Lima")</f>
      </c>
      <c r="O729" t="str">
        <v>Aceleración brusca</v>
      </c>
      <c r="P729" t="str">
        <v>CMT-910</v>
      </c>
      <c r="Q729">
        <v>2217.2</v>
      </c>
      <c r="R729" t="str">
        <v/>
      </c>
      <c r="S729">
        <v>65.7</v>
      </c>
      <c r="T729">
        <v>84.75</v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>
        <v>85</v>
      </c>
      <c r="AC729" t="str">
        <v>01/10/2026</v>
      </c>
      <c r="AD729" t="str">
        <v>16:52:40</v>
      </c>
      <c r="AE729">
        <f>IF("ONLINE"="NOGPS","GPS Antiguo","En línea")</f>
      </c>
      <c r="AF729">
        <f>IF(0=0,"Sin atender", IF(0=1,"Atendida","Atendida y Reportada"))</f>
      </c>
      <c r="AG729" t="str">
        <v/>
      </c>
      <c r="AH729" t="str">
        <v/>
      </c>
      <c r="AI729" t="str">
        <v/>
      </c>
      <c r="AJ729" t="str">
        <v/>
      </c>
      <c r="AK729" t="str">
        <v>01/10/2026 16:52:53</v>
      </c>
      <c r="AL729" t="str">
        <v>16:52:53</v>
      </c>
      <c r="AM729" t="str">
        <v/>
      </c>
    </row>
    <row r="730">
      <c r="A730">
        <v>729</v>
      </c>
      <c r="B730" t="str">
        <v>MASS BSF</v>
      </c>
      <c r="C730" t="str">
        <v>F8R-810</v>
      </c>
      <c r="D730" t="str">
        <v>F8R-810</v>
      </c>
      <c r="E730" t="str">
        <v/>
      </c>
      <c r="F730" t="str">
        <v>867806078868827</v>
      </c>
      <c r="G730" t="str">
        <v>TBD</v>
      </c>
      <c r="H730" t="str">
        <v/>
      </c>
      <c r="I730" t="str">
        <v/>
      </c>
      <c r="J730" t="str">
        <v>01/10/2026</v>
      </c>
      <c r="K730" t="str">
        <v>16:55:15</v>
      </c>
      <c r="L730">
        <v>-12.245775</v>
      </c>
      <c r="M730">
        <v>-76.93736</v>
      </c>
      <c r="N730">
        <f>HYPERLINK("https://www.google.com/maps/search/?api=1&amp;query=-12.245775,-76.93736","Carretera Panamericana Sur, Lurín, Lima")</f>
      </c>
      <c r="O730" t="str">
        <v>Aceleración brusca</v>
      </c>
      <c r="P730" t="str">
        <v>CMT-910</v>
      </c>
      <c r="Q730">
        <v>2219.8</v>
      </c>
      <c r="R730" t="str">
        <v/>
      </c>
      <c r="S730">
        <v>53.3</v>
      </c>
      <c r="T730">
        <v>84.75</v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>
        <v>93</v>
      </c>
      <c r="AC730" t="str">
        <v>01/10/2026</v>
      </c>
      <c r="AD730" t="str">
        <v>16:55:12</v>
      </c>
      <c r="AE730">
        <f>IF("ONLINE"="NOGPS","GPS Antiguo","En línea")</f>
      </c>
      <c r="AF730">
        <f>IF(0=0,"Sin atender", IF(0=1,"Atendida","Atendida y Reportada"))</f>
      </c>
      <c r="AG730" t="str">
        <v/>
      </c>
      <c r="AH730" t="str">
        <v/>
      </c>
      <c r="AI730" t="str">
        <v/>
      </c>
      <c r="AJ730" t="str">
        <v/>
      </c>
      <c r="AK730" t="str">
        <v>01/10/2026 16:55:19</v>
      </c>
      <c r="AL730" t="str">
        <v>16:55:19</v>
      </c>
      <c r="AM730" t="str">
        <v/>
      </c>
    </row>
    <row r="731">
      <c r="A731">
        <v>730</v>
      </c>
      <c r="B731" t="str">
        <v>MASS BSF</v>
      </c>
      <c r="C731" t="str">
        <v>F8R-810</v>
      </c>
      <c r="D731" t="str">
        <v>F8R-810</v>
      </c>
      <c r="E731" t="str">
        <v/>
      </c>
      <c r="F731" t="str">
        <v>867806078868827</v>
      </c>
      <c r="G731" t="str">
        <v>TBD</v>
      </c>
      <c r="H731" t="str">
        <v/>
      </c>
      <c r="I731" t="str">
        <v/>
      </c>
      <c r="J731" t="str">
        <v>01/10/2026</v>
      </c>
      <c r="K731" t="str">
        <v>16:55:30</v>
      </c>
      <c r="L731">
        <v>-12.244872</v>
      </c>
      <c r="M731">
        <v>-76.939095</v>
      </c>
      <c r="N731">
        <f>HYPERLINK("https://www.google.com/maps/search/?api=1&amp;query=-12.244872,-76.939095","Carretera Panamericana Sur, Villa El Salvador, Lima")</f>
      </c>
      <c r="O731" t="str">
        <v>Aceleración brusca</v>
      </c>
      <c r="P731" t="str">
        <v>CMT-910</v>
      </c>
      <c r="Q731">
        <v>2220</v>
      </c>
      <c r="R731" t="str">
        <v/>
      </c>
      <c r="S731">
        <v>54.6</v>
      </c>
      <c r="T731">
        <v>84.75</v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>
        <v>93</v>
      </c>
      <c r="AC731" t="str">
        <v>01/10/2026</v>
      </c>
      <c r="AD731" t="str">
        <v>16:55:26</v>
      </c>
      <c r="AE731">
        <f>IF("ONLINE"="NOGPS","GPS Antiguo","En línea")</f>
      </c>
      <c r="AF731">
        <f>IF(0=0,"Sin atender", IF(0=1,"Atendida","Atendida y Reportada"))</f>
      </c>
      <c r="AG731" t="str">
        <v/>
      </c>
      <c r="AH731" t="str">
        <v/>
      </c>
      <c r="AI731" t="str">
        <v/>
      </c>
      <c r="AJ731" t="str">
        <v/>
      </c>
      <c r="AK731" t="str">
        <v>01/10/2026 16:55:48</v>
      </c>
      <c r="AL731" t="str">
        <v>16:55:48</v>
      </c>
      <c r="AM731" t="str">
        <v/>
      </c>
    </row>
    <row r="732">
      <c r="A732">
        <v>731</v>
      </c>
      <c r="B732" t="str">
        <v>MASS BSF</v>
      </c>
      <c r="C732" t="str">
        <v>F8R-810</v>
      </c>
      <c r="D732" t="str">
        <v>F8R-810</v>
      </c>
      <c r="E732" t="str">
        <v/>
      </c>
      <c r="F732" t="str">
        <v>867806078868827</v>
      </c>
      <c r="G732" t="str">
        <v>TBD</v>
      </c>
      <c r="H732" t="str">
        <v/>
      </c>
      <c r="I732" t="str">
        <v/>
      </c>
      <c r="J732" t="str">
        <v>01/10/2026</v>
      </c>
      <c r="K732" t="str">
        <v>16:55:36</v>
      </c>
      <c r="L732">
        <v>-12.24451</v>
      </c>
      <c r="M732">
        <v>-76.93979</v>
      </c>
      <c r="N732">
        <f>HYPERLINK("https://www.google.com/maps/search/?api=1&amp;query=-12.24451,-76.93979","Carretera Panamericana Sur, Villa El Salvador, Lima")</f>
      </c>
      <c r="O732" t="str">
        <v>Acelerado y giro brusco</v>
      </c>
      <c r="P732" t="str">
        <v/>
      </c>
      <c r="Q732">
        <v>2220.1</v>
      </c>
      <c r="R732" t="str">
        <v/>
      </c>
      <c r="S732">
        <v>49.4</v>
      </c>
      <c r="T732">
        <v>84.75</v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>
        <v>93</v>
      </c>
      <c r="AC732" t="str">
        <v>01/10/2026</v>
      </c>
      <c r="AD732" t="str">
        <v>16:55:32</v>
      </c>
      <c r="AE732">
        <f>IF("ONLINE"="NOGPS","GPS Antiguo","En línea")</f>
      </c>
      <c r="AF732">
        <f>IF(0=0,"Sin atender", IF(0=1,"Atendida","Atendida y Reportada"))</f>
      </c>
      <c r="AG732" t="str">
        <v/>
      </c>
      <c r="AH732" t="str">
        <v/>
      </c>
      <c r="AI732" t="str">
        <v/>
      </c>
      <c r="AJ732" t="str">
        <v/>
      </c>
      <c r="AK732" t="str">
        <v>01/10/2026 16:55:57</v>
      </c>
      <c r="AL732" t="str">
        <v>16:55:57</v>
      </c>
      <c r="AM732" t="str">
        <v/>
      </c>
    </row>
    <row r="733">
      <c r="A733">
        <v>732</v>
      </c>
      <c r="B733" t="str">
        <v>MASS BSF</v>
      </c>
      <c r="C733" t="str">
        <v>F8R-810</v>
      </c>
      <c r="D733" t="str">
        <v>F8R-810</v>
      </c>
      <c r="E733" t="str">
        <v/>
      </c>
      <c r="F733" t="str">
        <v>867806078868827</v>
      </c>
      <c r="G733" t="str">
        <v>TBD</v>
      </c>
      <c r="H733" t="str">
        <v/>
      </c>
      <c r="I733" t="str">
        <v/>
      </c>
      <c r="J733" t="str">
        <v>01/10/2026</v>
      </c>
      <c r="K733" t="str">
        <v>16:55:48</v>
      </c>
      <c r="L733">
        <v>-12.243747</v>
      </c>
      <c r="M733">
        <v>-76.941185</v>
      </c>
      <c r="N733">
        <f>HYPERLINK("https://www.google.com/maps/search/?api=1&amp;query=-12.243747,-76.941185","Carretera Panamericana Sur, Villa El Salvador, Lima")</f>
      </c>
      <c r="O733" t="str">
        <v>Acelerado y giro brusco</v>
      </c>
      <c r="P733" t="str">
        <v/>
      </c>
      <c r="Q733">
        <v>2220.3</v>
      </c>
      <c r="R733" t="str">
        <v/>
      </c>
      <c r="S733">
        <v>59.8</v>
      </c>
      <c r="T733">
        <v>84.75</v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>
        <v>93</v>
      </c>
      <c r="AC733" t="str">
        <v>01/10/2026</v>
      </c>
      <c r="AD733" t="str">
        <v>16:55:44</v>
      </c>
      <c r="AE733">
        <f>IF("ONLINE"="NOGPS","GPS Antiguo","En línea")</f>
      </c>
      <c r="AF733">
        <f>IF(0=0,"Sin atender", IF(0=1,"Atendida","Atendida y Reportada"))</f>
      </c>
      <c r="AG733" t="str">
        <v/>
      </c>
      <c r="AH733" t="str">
        <v/>
      </c>
      <c r="AI733" t="str">
        <v/>
      </c>
      <c r="AJ733" t="str">
        <v/>
      </c>
      <c r="AK733" t="str">
        <v>01/10/2026 16:56:00</v>
      </c>
      <c r="AL733" t="str">
        <v>16:56:00</v>
      </c>
      <c r="AM733" t="str">
        <v/>
      </c>
    </row>
    <row r="734">
      <c r="A734">
        <v>733</v>
      </c>
      <c r="B734" t="str">
        <v>MASS BSF</v>
      </c>
      <c r="C734" t="str">
        <v>F8R-810</v>
      </c>
      <c r="D734" t="str">
        <v>F8R-810</v>
      </c>
      <c r="E734" t="str">
        <v/>
      </c>
      <c r="F734" t="str">
        <v>867806078868827</v>
      </c>
      <c r="G734" t="str">
        <v>TBD</v>
      </c>
      <c r="H734" t="str">
        <v/>
      </c>
      <c r="I734" t="str">
        <v/>
      </c>
      <c r="J734" t="str">
        <v>01/10/2026</v>
      </c>
      <c r="K734" t="str">
        <v>16:57:08</v>
      </c>
      <c r="L734">
        <v>-12.237463</v>
      </c>
      <c r="M734">
        <v>-76.95338</v>
      </c>
      <c r="N734">
        <f>HYPERLINK("https://www.google.com/maps/search/?api=1&amp;query=-12.237463,-76.95338","Carretera Panamericana Sur, Villa El Salvador, Lima")</f>
      </c>
      <c r="O734" t="str">
        <v>Aceleración brusca</v>
      </c>
      <c r="P734" t="str">
        <v>CMT-910</v>
      </c>
      <c r="Q734">
        <v>2221.8</v>
      </c>
      <c r="R734" t="str">
        <v/>
      </c>
      <c r="S734">
        <v>67.7</v>
      </c>
      <c r="T734">
        <v>84.75</v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>
        <v>85</v>
      </c>
      <c r="AC734" t="str">
        <v>01/10/2026</v>
      </c>
      <c r="AD734" t="str">
        <v>16:57:04</v>
      </c>
      <c r="AE734">
        <f>IF("ONLINE"="NOGPS","GPS Antiguo","En línea")</f>
      </c>
      <c r="AF734">
        <f>IF(0=0,"Sin atender", IF(0=1,"Atendida","Atendida y Reportada"))</f>
      </c>
      <c r="AG734" t="str">
        <v/>
      </c>
      <c r="AH734" t="str">
        <v/>
      </c>
      <c r="AI734" t="str">
        <v/>
      </c>
      <c r="AJ734" t="str">
        <v/>
      </c>
      <c r="AK734" t="str">
        <v>01/10/2026 16:57:16</v>
      </c>
      <c r="AL734" t="str">
        <v>16:57:16</v>
      </c>
      <c r="AM734" t="str">
        <v/>
      </c>
    </row>
    <row r="735">
      <c r="A735">
        <v>734</v>
      </c>
      <c r="B735" t="str">
        <v>MASS BSF</v>
      </c>
      <c r="C735" t="str">
        <v>F8R-810</v>
      </c>
      <c r="D735" t="str">
        <v>F8R-810</v>
      </c>
      <c r="E735" t="str">
        <v/>
      </c>
      <c r="F735" t="str">
        <v>867806078868827</v>
      </c>
      <c r="G735" t="str">
        <v>TBD</v>
      </c>
      <c r="H735" t="str">
        <v/>
      </c>
      <c r="I735" t="str">
        <v/>
      </c>
      <c r="J735" t="str">
        <v>01/10/2026</v>
      </c>
      <c r="K735" t="str">
        <v>16:57:13</v>
      </c>
      <c r="L735">
        <v>-12.237063</v>
      </c>
      <c r="M735">
        <v>-76.954155</v>
      </c>
      <c r="N735">
        <f>HYPERLINK("https://www.google.com/maps/search/?api=1&amp;query=-12.237063,-76.954155","Carretera Panamericana Sur, Villa El Salvador, Lima")</f>
      </c>
      <c r="O735" t="str">
        <v>Acelerado y giro brusco</v>
      </c>
      <c r="P735" t="str">
        <v/>
      </c>
      <c r="Q735">
        <v>2221.9</v>
      </c>
      <c r="R735" t="str">
        <v/>
      </c>
      <c r="S735">
        <v>69</v>
      </c>
      <c r="T735">
        <v>84.75</v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>
        <v>85</v>
      </c>
      <c r="AC735" t="str">
        <v>01/10/2026</v>
      </c>
      <c r="AD735" t="str">
        <v>16:57:09</v>
      </c>
      <c r="AE735">
        <f>IF("ONLINE"="NOGPS","GPS Antiguo","En línea")</f>
      </c>
      <c r="AF735">
        <f>IF(0=0,"Sin atender", IF(0=1,"Atendida","Atendida y Reportada"))</f>
      </c>
      <c r="AG735" t="str">
        <v/>
      </c>
      <c r="AH735" t="str">
        <v/>
      </c>
      <c r="AI735" t="str">
        <v/>
      </c>
      <c r="AJ735" t="str">
        <v/>
      </c>
      <c r="AK735" t="str">
        <v>01/10/2026 16:57:27</v>
      </c>
      <c r="AL735" t="str">
        <v>16:57:27</v>
      </c>
      <c r="AM735" t="str">
        <v/>
      </c>
    </row>
    <row r="736">
      <c r="A736">
        <v>735</v>
      </c>
      <c r="B736" t="str">
        <v>MASS BSF</v>
      </c>
      <c r="C736" t="str">
        <v>F8R-810</v>
      </c>
      <c r="D736" t="str">
        <v>F8R-810</v>
      </c>
      <c r="E736" t="str">
        <v/>
      </c>
      <c r="F736" t="str">
        <v>867806078868827</v>
      </c>
      <c r="G736" t="str">
        <v>TBD</v>
      </c>
      <c r="H736" t="str">
        <v/>
      </c>
      <c r="I736" t="str">
        <v/>
      </c>
      <c r="J736" t="str">
        <v>01/10/2026</v>
      </c>
      <c r="K736" t="str">
        <v>16:57:52</v>
      </c>
      <c r="L736">
        <v>-12.23388</v>
      </c>
      <c r="M736">
        <v>-76.96029</v>
      </c>
      <c r="N736">
        <f>HYPERLINK("https://www.google.com/maps/search/?api=1&amp;query=-12.23388,-76.96029","Carretera Panamericana Sur, Villa El Salvador, Lima")</f>
      </c>
      <c r="O736" t="str">
        <v>Aceleración brusca</v>
      </c>
      <c r="P736" t="str">
        <v>CMT-910</v>
      </c>
      <c r="Q736">
        <v>2222.6</v>
      </c>
      <c r="R736" t="str">
        <v/>
      </c>
      <c r="S736">
        <v>68.7</v>
      </c>
      <c r="T736">
        <v>84.75</v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>
        <v>85</v>
      </c>
      <c r="AC736" t="str">
        <v>01/10/2026</v>
      </c>
      <c r="AD736" t="str">
        <v>16:57:48</v>
      </c>
      <c r="AE736">
        <f>IF("ONLINE"="NOGPS","GPS Antiguo","En línea")</f>
      </c>
      <c r="AF736">
        <f>IF(0=0,"Sin atender", IF(0=1,"Atendida","Atendida y Reportada"))</f>
      </c>
      <c r="AG736" t="str">
        <v/>
      </c>
      <c r="AH736" t="str">
        <v/>
      </c>
      <c r="AI736" t="str">
        <v/>
      </c>
      <c r="AJ736" t="str">
        <v/>
      </c>
      <c r="AK736" t="str">
        <v>01/10/2026 16:57:54</v>
      </c>
      <c r="AL736" t="str">
        <v>16:57:54</v>
      </c>
      <c r="AM736" t="str">
        <v/>
      </c>
    </row>
    <row r="737">
      <c r="A737">
        <v>736</v>
      </c>
      <c r="B737" t="str">
        <v>MASS BSF</v>
      </c>
      <c r="C737" t="str">
        <v>F8R-810</v>
      </c>
      <c r="D737" t="str">
        <v>F8R-810</v>
      </c>
      <c r="E737" t="str">
        <v/>
      </c>
      <c r="F737" t="str">
        <v>867806078868827</v>
      </c>
      <c r="G737" t="str">
        <v>TBD</v>
      </c>
      <c r="H737" t="str">
        <v/>
      </c>
      <c r="I737" t="str">
        <v/>
      </c>
      <c r="J737" t="str">
        <v>01/10/2026</v>
      </c>
      <c r="K737" t="str">
        <v>16:58:36</v>
      </c>
      <c r="L737">
        <v>-12.229999</v>
      </c>
      <c r="M737">
        <v>-76.96705</v>
      </c>
      <c r="N737">
        <f>HYPERLINK("https://www.google.com/maps/search/?api=1&amp;query=-12.229999,-76.96705","Carretera Panamericana Sur, Villa El Salvador, Lima")</f>
      </c>
      <c r="O737" t="str">
        <v>Aceleración brusca</v>
      </c>
      <c r="P737" t="str">
        <v>CMT-910</v>
      </c>
      <c r="Q737">
        <v>2223.5</v>
      </c>
      <c r="R737" t="str">
        <v/>
      </c>
      <c r="S737">
        <v>66.4</v>
      </c>
      <c r="T737">
        <v>84.75</v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>
        <v>85</v>
      </c>
      <c r="AC737" t="str">
        <v>01/10/2026</v>
      </c>
      <c r="AD737" t="str">
        <v>16:58:32</v>
      </c>
      <c r="AE737">
        <f>IF("ONLINE"="NOGPS","GPS Antiguo","En línea")</f>
      </c>
      <c r="AF737">
        <f>IF(0=0,"Sin atender", IF(0=1,"Atendida","Atendida y Reportada"))</f>
      </c>
      <c r="AG737" t="str">
        <v/>
      </c>
      <c r="AH737" t="str">
        <v/>
      </c>
      <c r="AI737" t="str">
        <v/>
      </c>
      <c r="AJ737" t="str">
        <v/>
      </c>
      <c r="AK737" t="str">
        <v>01/10/2026 16:58:51</v>
      </c>
      <c r="AL737" t="str">
        <v>16:58:51</v>
      </c>
      <c r="AM737" t="str">
        <v/>
      </c>
    </row>
    <row r="738">
      <c r="A738">
        <v>737</v>
      </c>
      <c r="B738" t="str">
        <v>MASS BSF</v>
      </c>
      <c r="C738" t="str">
        <v>F8R-810</v>
      </c>
      <c r="D738" t="str">
        <v>F8R-810</v>
      </c>
      <c r="E738" t="str">
        <v/>
      </c>
      <c r="F738" t="str">
        <v>867806078868827</v>
      </c>
      <c r="G738" t="str">
        <v>TBD</v>
      </c>
      <c r="H738" t="str">
        <v/>
      </c>
      <c r="I738" t="str">
        <v/>
      </c>
      <c r="J738" t="str">
        <v>01/10/2026</v>
      </c>
      <c r="K738" t="str">
        <v>16:59:41</v>
      </c>
      <c r="L738">
        <v>-12.223112</v>
      </c>
      <c r="M738">
        <v>-76.97382</v>
      </c>
      <c r="N738">
        <f>HYPERLINK("https://www.google.com/maps/search/?api=1&amp;query=-12.223112,-76.97382","Carretera Panamericana Sur, Chorrillos, Lima")</f>
      </c>
      <c r="O738" t="str">
        <v>Aceleración brusca</v>
      </c>
      <c r="P738" t="str">
        <v>CMT-910</v>
      </c>
      <c r="Q738">
        <v>2224.5</v>
      </c>
      <c r="R738" t="str">
        <v/>
      </c>
      <c r="S738">
        <v>55.7</v>
      </c>
      <c r="T738">
        <v>84.75</v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>
        <v>85</v>
      </c>
      <c r="AC738" t="str">
        <v>01/10/2026</v>
      </c>
      <c r="AD738" t="str">
        <v>16:59:37</v>
      </c>
      <c r="AE738">
        <f>IF("ONLINE"="NOGPS","GPS Antiguo","En línea")</f>
      </c>
      <c r="AF738">
        <f>IF(0=0,"Sin atender", IF(0=1,"Atendida","Atendida y Reportada"))</f>
      </c>
      <c r="AG738" t="str">
        <v/>
      </c>
      <c r="AH738" t="str">
        <v/>
      </c>
      <c r="AI738" t="str">
        <v/>
      </c>
      <c r="AJ738" t="str">
        <v/>
      </c>
      <c r="AK738" t="str">
        <v>01/10/2026 16:59:52</v>
      </c>
      <c r="AL738" t="str">
        <v>16:59:52</v>
      </c>
      <c r="AM738" t="str">
        <v/>
      </c>
    </row>
    <row r="739">
      <c r="A739">
        <v>738</v>
      </c>
      <c r="B739" t="str">
        <v>MASS BSF</v>
      </c>
      <c r="C739" t="str">
        <v>F8R-810</v>
      </c>
      <c r="D739" t="str">
        <v>F8R-810</v>
      </c>
      <c r="E739" t="str">
        <v/>
      </c>
      <c r="F739" t="str">
        <v>867806078868827</v>
      </c>
      <c r="G739" t="str">
        <v>TBD</v>
      </c>
      <c r="H739" t="str">
        <v/>
      </c>
      <c r="I739" t="str">
        <v/>
      </c>
      <c r="J739" t="str">
        <v>01/10/2026</v>
      </c>
      <c r="K739" t="str">
        <v>16:59:52</v>
      </c>
      <c r="L739">
        <v>-12.22223</v>
      </c>
      <c r="M739">
        <v>-76.97469</v>
      </c>
      <c r="N739">
        <f>HYPERLINK("https://www.google.com/maps/search/?api=1&amp;query=-12.22223,-76.97469","Carretera Panamericana Sur, Chorrillos, Lima")</f>
      </c>
      <c r="O739" t="str">
        <v>Acelerado y giro brusco</v>
      </c>
      <c r="P739" t="str">
        <v/>
      </c>
      <c r="Q739">
        <v>2224.7</v>
      </c>
      <c r="R739" t="str">
        <v/>
      </c>
      <c r="S739">
        <v>39</v>
      </c>
      <c r="T739">
        <v>84.75</v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>
        <v>85</v>
      </c>
      <c r="AC739" t="str">
        <v>01/10/2026</v>
      </c>
      <c r="AD739" t="str">
        <v>16:59:48</v>
      </c>
      <c r="AE739">
        <f>IF("ONLINE"="NOGPS","GPS Antiguo","En línea")</f>
      </c>
      <c r="AF739">
        <f>IF(0=0,"Sin atender", IF(0=1,"Atendida","Atendida y Reportada"))</f>
      </c>
      <c r="AG739" t="str">
        <v/>
      </c>
      <c r="AH739" t="str">
        <v/>
      </c>
      <c r="AI739" t="str">
        <v/>
      </c>
      <c r="AJ739" t="str">
        <v/>
      </c>
      <c r="AK739" t="str">
        <v>01/10/2026 16:59:55</v>
      </c>
      <c r="AL739" t="str">
        <v>16:59:55</v>
      </c>
      <c r="AM739" t="str">
        <v/>
      </c>
    </row>
    <row r="740">
      <c r="A740">
        <v>739</v>
      </c>
      <c r="B740" t="str">
        <v>MASS BSF</v>
      </c>
      <c r="C740" t="str">
        <v>F8R-810</v>
      </c>
      <c r="D740" t="str">
        <v>F8R-810</v>
      </c>
      <c r="E740" t="str">
        <v/>
      </c>
      <c r="F740" t="str">
        <v>867806078868827</v>
      </c>
      <c r="G740" t="str">
        <v>TBD</v>
      </c>
      <c r="H740" t="str">
        <v/>
      </c>
      <c r="I740" t="str">
        <v/>
      </c>
      <c r="J740" t="str">
        <v>01/10/2026</v>
      </c>
      <c r="K740" t="str">
        <v>16:59:55</v>
      </c>
      <c r="L740">
        <v>-12.222012</v>
      </c>
      <c r="M740">
        <v>-76.97489</v>
      </c>
      <c r="N740">
        <f>HYPERLINK("https://www.google.com/maps/search/?api=1&amp;query=-12.222012,-76.97489","Carretera Panamericana Sur, Chorrillos, Lima")</f>
      </c>
      <c r="O740" t="str">
        <v>Acelerado y giro brusco</v>
      </c>
      <c r="P740" t="str">
        <v/>
      </c>
      <c r="Q740">
        <v>2224.7</v>
      </c>
      <c r="R740" t="str">
        <v/>
      </c>
      <c r="S740">
        <v>40</v>
      </c>
      <c r="T740">
        <v>84.75</v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>
        <v>85</v>
      </c>
      <c r="AC740" t="str">
        <v>01/10/2026</v>
      </c>
      <c r="AD740" t="str">
        <v>16:59:51</v>
      </c>
      <c r="AE740">
        <f>IF("ONLINE"="NOGPS","GPS Antiguo","En línea")</f>
      </c>
      <c r="AF740">
        <f>IF(0=0,"Sin atender", IF(0=1,"Atendida","Atendida y Reportada"))</f>
      </c>
      <c r="AG740" t="str">
        <v/>
      </c>
      <c r="AH740" t="str">
        <v/>
      </c>
      <c r="AI740" t="str">
        <v/>
      </c>
      <c r="AJ740" t="str">
        <v/>
      </c>
      <c r="AK740" t="str">
        <v>01/10/2026 17:00:14</v>
      </c>
      <c r="AL740" t="str">
        <v>17:00:14</v>
      </c>
      <c r="AM740" t="str">
        <v/>
      </c>
    </row>
    <row r="741">
      <c r="A741">
        <v>740</v>
      </c>
      <c r="B741" t="str">
        <v>MASS BSF</v>
      </c>
      <c r="C741" t="str">
        <v>F8R-810</v>
      </c>
      <c r="D741" t="str">
        <v>F8R-810</v>
      </c>
      <c r="E741" t="str">
        <v/>
      </c>
      <c r="F741" t="str">
        <v>867806078868827</v>
      </c>
      <c r="G741" t="str">
        <v>TBD</v>
      </c>
      <c r="H741" t="str">
        <v/>
      </c>
      <c r="I741" t="str">
        <v/>
      </c>
      <c r="J741" t="str">
        <v>01/10/2026</v>
      </c>
      <c r="K741" t="str">
        <v>17:00:28</v>
      </c>
      <c r="L741">
        <v>-12.220179</v>
      </c>
      <c r="M741">
        <v>-76.97597</v>
      </c>
      <c r="N741">
        <f>HYPERLINK("https://www.google.com/maps/search/?api=1&amp;query=-12.220179,-76.97597","Antigua Panamericana Sur, Villa El Salvador, Lima")</f>
      </c>
      <c r="O741" t="str">
        <v>Acelerado y giro brusco</v>
      </c>
      <c r="P741" t="str">
        <v/>
      </c>
      <c r="Q741">
        <v>2224.9</v>
      </c>
      <c r="R741" t="str">
        <v/>
      </c>
      <c r="S741">
        <v>6.2</v>
      </c>
      <c r="T741">
        <v>84.75</v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>
        <v>90</v>
      </c>
      <c r="AC741" t="str">
        <v>01/10/2026</v>
      </c>
      <c r="AD741" t="str">
        <v>17:00:24</v>
      </c>
      <c r="AE741">
        <f>IF("ONLINE"="NOGPS","GPS Antiguo","En línea")</f>
      </c>
      <c r="AF741">
        <f>IF(0=0,"Sin atender", IF(0=1,"Atendida","Atendida y Reportada"))</f>
      </c>
      <c r="AG741" t="str">
        <v/>
      </c>
      <c r="AH741" t="str">
        <v/>
      </c>
      <c r="AI741" t="str">
        <v/>
      </c>
      <c r="AJ741" t="str">
        <v/>
      </c>
      <c r="AK741" t="str">
        <v>01/10/2026 17:00:53</v>
      </c>
      <c r="AL741" t="str">
        <v>17:00:53</v>
      </c>
      <c r="AM741" t="str">
        <v/>
      </c>
    </row>
    <row r="742">
      <c r="A742">
        <v>741</v>
      </c>
      <c r="B742" t="str">
        <v>MASS BSF</v>
      </c>
      <c r="C742" t="str">
        <v>F8R-810</v>
      </c>
      <c r="D742" t="str">
        <v>F8R-810</v>
      </c>
      <c r="E742" t="str">
        <v/>
      </c>
      <c r="F742" t="str">
        <v>867806078868827</v>
      </c>
      <c r="G742" t="str">
        <v>TBD</v>
      </c>
      <c r="H742" t="str">
        <v/>
      </c>
      <c r="I742" t="str">
        <v/>
      </c>
      <c r="J742" t="str">
        <v>01/10/2026</v>
      </c>
      <c r="K742" t="str">
        <v>17:01:07</v>
      </c>
      <c r="L742">
        <v>-12.219615</v>
      </c>
      <c r="M742">
        <v>-76.97574</v>
      </c>
      <c r="N742">
        <f>HYPERLINK("https://www.google.com/maps/search/?api=1&amp;query=-12.219615,-76.97574","Antigua Panamericana Sur, Villa El Salvador, Lima")</f>
      </c>
      <c r="O742" t="str">
        <v>Acelerado y giro brusco</v>
      </c>
      <c r="P742" t="str">
        <v/>
      </c>
      <c r="Q742">
        <v>2225</v>
      </c>
      <c r="R742" t="str">
        <v/>
      </c>
      <c r="S742">
        <v>11.2</v>
      </c>
      <c r="T742">
        <v>84.75</v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>
        <v>90</v>
      </c>
      <c r="AC742" t="str">
        <v>01/10/2026</v>
      </c>
      <c r="AD742" t="str">
        <v>17:01:03</v>
      </c>
      <c r="AE742">
        <f>IF("ONLINE"="NOGPS","GPS Antiguo","En línea")</f>
      </c>
      <c r="AF742">
        <f>IF(0=0,"Sin atender", IF(0=1,"Atendida","Atendida y Reportada"))</f>
      </c>
      <c r="AG742" t="str">
        <v/>
      </c>
      <c r="AH742" t="str">
        <v/>
      </c>
      <c r="AI742" t="str">
        <v/>
      </c>
      <c r="AJ742" t="str">
        <v/>
      </c>
      <c r="AK742" t="str">
        <v>01/10/2026 17:01:18</v>
      </c>
      <c r="AL742" t="str">
        <v>17:01:18</v>
      </c>
      <c r="AM742" t="str">
        <v/>
      </c>
    </row>
    <row r="743">
      <c r="A743">
        <v>742</v>
      </c>
      <c r="B743" t="str">
        <v>MASS BSF</v>
      </c>
      <c r="C743" t="str">
        <v>F8R-810</v>
      </c>
      <c r="D743" t="str">
        <v>F8R-810</v>
      </c>
      <c r="E743" t="str">
        <v/>
      </c>
      <c r="F743" t="str">
        <v>867806078868827</v>
      </c>
      <c r="G743" t="str">
        <v>TBD</v>
      </c>
      <c r="H743" t="str">
        <v/>
      </c>
      <c r="I743" t="str">
        <v/>
      </c>
      <c r="J743" t="str">
        <v>01/10/2026</v>
      </c>
      <c r="K743" t="str">
        <v>17:01:19</v>
      </c>
      <c r="L743">
        <v>-12.219354</v>
      </c>
      <c r="M743">
        <v>-76.97549</v>
      </c>
      <c r="N743">
        <f>HYPERLINK("https://www.google.com/maps/search/?api=1&amp;query=-12.219354,-76.97549","Antigua Panamericana Sur, Villa El Salvador, Lima")</f>
      </c>
      <c r="O743" t="str">
        <v>Acelerado y giro brusco</v>
      </c>
      <c r="P743" t="str">
        <v/>
      </c>
      <c r="Q743">
        <v>2225.1</v>
      </c>
      <c r="R743" t="str">
        <v/>
      </c>
      <c r="S743">
        <v>22.4</v>
      </c>
      <c r="T743">
        <v>84.75</v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>
        <v>87</v>
      </c>
      <c r="AC743" t="str">
        <v>01/10/2026</v>
      </c>
      <c r="AD743" t="str">
        <v>17:01:15</v>
      </c>
      <c r="AE743">
        <f>IF("ONLINE"="NOGPS","GPS Antiguo","En línea")</f>
      </c>
      <c r="AF743">
        <f>IF(0=0,"Sin atender", IF(0=1,"Atendida","Atendida y Reportada"))</f>
      </c>
      <c r="AG743" t="str">
        <v/>
      </c>
      <c r="AH743" t="str">
        <v/>
      </c>
      <c r="AI743" t="str">
        <v/>
      </c>
      <c r="AJ743" t="str">
        <v/>
      </c>
      <c r="AK743" t="str">
        <v>01/10/2026 17:01:44</v>
      </c>
      <c r="AL743" t="str">
        <v>17:01:44</v>
      </c>
      <c r="AM743" t="str">
        <v/>
      </c>
    </row>
    <row r="744">
      <c r="A744">
        <v>743</v>
      </c>
      <c r="B744" t="str">
        <v>MASS BSF</v>
      </c>
      <c r="C744" t="str">
        <v>F8R-810</v>
      </c>
      <c r="D744" t="str">
        <v>F8R-810</v>
      </c>
      <c r="E744" t="str">
        <v/>
      </c>
      <c r="F744" t="str">
        <v>867806078868827</v>
      </c>
      <c r="G744" t="str">
        <v>TBD</v>
      </c>
      <c r="H744" t="str">
        <v/>
      </c>
      <c r="I744" t="str">
        <v/>
      </c>
      <c r="J744" t="str">
        <v>01/10/2026</v>
      </c>
      <c r="K744" t="str">
        <v>17:01:36</v>
      </c>
      <c r="L744">
        <v>-12.218168</v>
      </c>
      <c r="M744">
        <v>-76.97567</v>
      </c>
      <c r="N744">
        <f>HYPERLINK("https://www.google.com/maps/search/?api=1&amp;query=-12.218168,-76.97567","Antigua Panamericana Sur, Villa El Salvador, Lima")</f>
      </c>
      <c r="O744" t="str">
        <v>Acelerado y giro brusco</v>
      </c>
      <c r="P744" t="str">
        <v/>
      </c>
      <c r="Q744">
        <v>2225.2</v>
      </c>
      <c r="R744" t="str">
        <v/>
      </c>
      <c r="S744">
        <v>33.8</v>
      </c>
      <c r="T744">
        <v>84.75</v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>
        <v>87</v>
      </c>
      <c r="AC744" t="str">
        <v>01/10/2026</v>
      </c>
      <c r="AD744" t="str">
        <v>17:01:32</v>
      </c>
      <c r="AE744">
        <f>IF("ONLINE"="NOGPS","GPS Antiguo","En línea")</f>
      </c>
      <c r="AF744">
        <f>IF(0=0,"Sin atender", IF(0=1,"Atendida","Atendida y Reportada"))</f>
      </c>
      <c r="AG744" t="str">
        <v/>
      </c>
      <c r="AH744" t="str">
        <v/>
      </c>
      <c r="AI744" t="str">
        <v/>
      </c>
      <c r="AJ744" t="str">
        <v/>
      </c>
      <c r="AK744" t="str">
        <v>01/10/2026 17:01:56</v>
      </c>
      <c r="AL744" t="str">
        <v>17:01:56</v>
      </c>
      <c r="AM744" t="str">
        <v/>
      </c>
    </row>
    <row r="745">
      <c r="A745">
        <v>744</v>
      </c>
      <c r="B745" t="str">
        <v>MASS BSF</v>
      </c>
      <c r="C745" t="str">
        <v>F8R-810</v>
      </c>
      <c r="D745" t="str">
        <v>F8R-810</v>
      </c>
      <c r="E745" t="str">
        <v/>
      </c>
      <c r="F745" t="str">
        <v>867806078868827</v>
      </c>
      <c r="G745" t="str">
        <v>TBD</v>
      </c>
      <c r="H745" t="str">
        <v/>
      </c>
      <c r="I745" t="str">
        <v/>
      </c>
      <c r="J745" t="str">
        <v>01/10/2026</v>
      </c>
      <c r="K745" t="str">
        <v>17:01:48</v>
      </c>
      <c r="L745">
        <v>-12.217405</v>
      </c>
      <c r="M745">
        <v>-76.97634</v>
      </c>
      <c r="N745">
        <f>HYPERLINK("https://www.google.com/maps/search/?api=1&amp;query=-12.217405,-76.97634","Antigua Panamericana Sur, Villa El Salvador, Lima")</f>
      </c>
      <c r="O745" t="str">
        <v>Aceleración brusca</v>
      </c>
      <c r="P745" t="str">
        <v>CMT-910</v>
      </c>
      <c r="Q745">
        <v>2225.3</v>
      </c>
      <c r="R745" t="str">
        <v/>
      </c>
      <c r="S745">
        <v>29.8</v>
      </c>
      <c r="T745">
        <v>84.75</v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>
        <v>87</v>
      </c>
      <c r="AC745" t="str">
        <v>01/10/2026</v>
      </c>
      <c r="AD745" t="str">
        <v>17:01:44</v>
      </c>
      <c r="AE745">
        <f>IF("ONLINE"="NOGPS","GPS Antiguo","En línea")</f>
      </c>
      <c r="AF745">
        <f>IF(0=0,"Sin atender", IF(0=1,"Atendida","Atendida y Reportada"))</f>
      </c>
      <c r="AG745" t="str">
        <v/>
      </c>
      <c r="AH745" t="str">
        <v/>
      </c>
      <c r="AI745" t="str">
        <v/>
      </c>
      <c r="AJ745" t="str">
        <v/>
      </c>
      <c r="AK745" t="str">
        <v>01/10/2026 17:02:01</v>
      </c>
      <c r="AL745" t="str">
        <v>17:02:01</v>
      </c>
      <c r="AM745" t="str">
        <v/>
      </c>
    </row>
    <row r="746">
      <c r="A746">
        <v>745</v>
      </c>
      <c r="B746" t="str">
        <v>MASS BSF</v>
      </c>
      <c r="C746" t="str">
        <v>F8R-810</v>
      </c>
      <c r="D746" t="str">
        <v>F8R-810</v>
      </c>
      <c r="E746" t="str">
        <v/>
      </c>
      <c r="F746" t="str">
        <v>867806078868827</v>
      </c>
      <c r="G746" t="str">
        <v>TBD</v>
      </c>
      <c r="H746" t="str">
        <v/>
      </c>
      <c r="I746" t="str">
        <v/>
      </c>
      <c r="J746" t="str">
        <v>01/10/2026</v>
      </c>
      <c r="K746" t="str">
        <v>17:01:56</v>
      </c>
      <c r="L746">
        <v>-12.217243</v>
      </c>
      <c r="M746">
        <v>-76.97664</v>
      </c>
      <c r="N746">
        <f>HYPERLINK("https://www.google.com/maps/search/?api=1&amp;query=-12.217243,-76.97664","Antigua Panamericana Sur, Villa El Salvador, Lima")</f>
      </c>
      <c r="O746" t="str">
        <v>Acelerado y giro brusco</v>
      </c>
      <c r="P746" t="str">
        <v/>
      </c>
      <c r="Q746">
        <v>2225.4</v>
      </c>
      <c r="R746" t="str">
        <v/>
      </c>
      <c r="S746">
        <v>21.2</v>
      </c>
      <c r="T746">
        <v>84.75</v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>
        <v>85</v>
      </c>
      <c r="AC746" t="str">
        <v>01/10/2026</v>
      </c>
      <c r="AD746" t="str">
        <v>17:01:52</v>
      </c>
      <c r="AE746">
        <f>IF("ONLINE"="NOGPS","GPS Antiguo","En línea")</f>
      </c>
      <c r="AF746">
        <f>IF(0=0,"Sin atender", IF(0=1,"Atendida","Atendida y Reportada"))</f>
      </c>
      <c r="AG746" t="str">
        <v/>
      </c>
      <c r="AH746" t="str">
        <v/>
      </c>
      <c r="AI746" t="str">
        <v/>
      </c>
      <c r="AJ746" t="str">
        <v/>
      </c>
      <c r="AK746" t="str">
        <v>01/10/2026 17:02:06</v>
      </c>
      <c r="AL746" t="str">
        <v>17:02:06</v>
      </c>
      <c r="AM746" t="str">
        <v/>
      </c>
    </row>
    <row r="747">
      <c r="A747">
        <v>746</v>
      </c>
      <c r="B747" t="str">
        <v>MASS BSF</v>
      </c>
      <c r="C747" t="str">
        <v>F8R-810</v>
      </c>
      <c r="D747" t="str">
        <v>F8R-810</v>
      </c>
      <c r="E747" t="str">
        <v/>
      </c>
      <c r="F747" t="str">
        <v>867806078868827</v>
      </c>
      <c r="G747" t="str">
        <v>TBD</v>
      </c>
      <c r="H747" t="str">
        <v/>
      </c>
      <c r="I747" t="str">
        <v/>
      </c>
      <c r="J747" t="str">
        <v>01/10/2026</v>
      </c>
      <c r="K747" t="str">
        <v>17:02:02</v>
      </c>
      <c r="L747">
        <v>-12.21753</v>
      </c>
      <c r="M747">
        <v>-76.97662</v>
      </c>
      <c r="N747">
        <f>HYPERLINK("https://www.google.com/maps/search/?api=1&amp;query=-12.21753,-76.97662","Carretera Panamericana Sur, Villa El Salvador, Lima")</f>
      </c>
      <c r="O747" t="str">
        <v>Giro brusco</v>
      </c>
      <c r="P747" t="str">
        <v/>
      </c>
      <c r="Q747">
        <v>2225.4</v>
      </c>
      <c r="R747" t="str">
        <v/>
      </c>
      <c r="S747">
        <v>22.7</v>
      </c>
      <c r="T747">
        <v>84.75</v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>
        <v>85</v>
      </c>
      <c r="AC747" t="str">
        <v>01/10/2026</v>
      </c>
      <c r="AD747" t="str">
        <v>17:01:58</v>
      </c>
      <c r="AE747">
        <f>IF("ONLINE"="NOGPS","GPS Antiguo","En línea")</f>
      </c>
      <c r="AF747">
        <f>IF(0=0,"Sin atender", IF(0=1,"Atendida","Atendida y Reportada"))</f>
      </c>
      <c r="AG747" t="str">
        <v/>
      </c>
      <c r="AH747" t="str">
        <v/>
      </c>
      <c r="AI747" t="str">
        <v/>
      </c>
      <c r="AJ747" t="str">
        <v/>
      </c>
      <c r="AK747" t="str">
        <v>01/10/2026 17:02:17</v>
      </c>
      <c r="AL747" t="str">
        <v>17:02:17</v>
      </c>
      <c r="AM747" t="str">
        <v/>
      </c>
    </row>
    <row r="748">
      <c r="A748">
        <v>747</v>
      </c>
      <c r="B748" t="str">
        <v>MASS BSF</v>
      </c>
      <c r="C748" t="str">
        <v>F8R-810</v>
      </c>
      <c r="D748" t="str">
        <v>F8R-810</v>
      </c>
      <c r="E748" t="str">
        <v/>
      </c>
      <c r="F748" t="str">
        <v>867806078868827</v>
      </c>
      <c r="G748" t="str">
        <v>TBD</v>
      </c>
      <c r="H748" t="str">
        <v/>
      </c>
      <c r="I748" t="str">
        <v/>
      </c>
      <c r="J748" t="str">
        <v>01/10/2026</v>
      </c>
      <c r="K748" t="str">
        <v>17:02:56</v>
      </c>
      <c r="L748">
        <v>-12.221537</v>
      </c>
      <c r="M748">
        <v>-76.975075</v>
      </c>
      <c r="N748">
        <f>HYPERLINK("https://www.google.com/maps/search/?api=1&amp;query=-12.221537,-76.975075","Antigua Panamericana Sur, Villa El Salvador, Lima")</f>
      </c>
      <c r="O748" t="str">
        <v>Aceleración brusca</v>
      </c>
      <c r="P748" t="str">
        <v>CMT-910</v>
      </c>
      <c r="Q748">
        <v>2225.9</v>
      </c>
      <c r="R748" t="str">
        <v/>
      </c>
      <c r="S748">
        <v>32</v>
      </c>
      <c r="T748">
        <v>84.75</v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>
        <v>90</v>
      </c>
      <c r="AC748" t="str">
        <v>01/10/2026</v>
      </c>
      <c r="AD748" t="str">
        <v>17:02:52</v>
      </c>
      <c r="AE748">
        <f>IF("ONLINE"="NOGPS","GPS Antiguo","En línea")</f>
      </c>
      <c r="AF748">
        <f>IF(0=0,"Sin atender", IF(0=1,"Atendida","Atendida y Reportada"))</f>
      </c>
      <c r="AG748" t="str">
        <v/>
      </c>
      <c r="AH748" t="str">
        <v/>
      </c>
      <c r="AI748" t="str">
        <v/>
      </c>
      <c r="AJ748" t="str">
        <v/>
      </c>
      <c r="AK748" t="str">
        <v>01/10/2026 17:03:05</v>
      </c>
      <c r="AL748" t="str">
        <v>17:03:05</v>
      </c>
      <c r="AM748" t="str">
        <v/>
      </c>
    </row>
    <row r="749">
      <c r="A749">
        <v>748</v>
      </c>
      <c r="B749" t="str">
        <v>MASS BSF</v>
      </c>
      <c r="C749" t="str">
        <v>F8R-810</v>
      </c>
      <c r="D749" t="str">
        <v>F8R-810</v>
      </c>
      <c r="E749" t="str">
        <v/>
      </c>
      <c r="F749" t="str">
        <v>867806078868827</v>
      </c>
      <c r="G749" t="str">
        <v>TBD</v>
      </c>
      <c r="H749" t="str">
        <v/>
      </c>
      <c r="I749" t="str">
        <v/>
      </c>
      <c r="J749" t="str">
        <v>01/10/2026</v>
      </c>
      <c r="K749" t="str">
        <v>17:03:14</v>
      </c>
      <c r="L749">
        <v>-12.22217</v>
      </c>
      <c r="M749">
        <v>-76.97442</v>
      </c>
      <c r="N749">
        <f>HYPERLINK("https://www.google.com/maps/search/?api=1&amp;query=-12.22217,-76.97442","Avenida El Sol, Villa El Salvador, Lima")</f>
      </c>
      <c r="O749" t="str">
        <v>Acelerado y giro brusco</v>
      </c>
      <c r="P749" t="str">
        <v/>
      </c>
      <c r="Q749">
        <v>2226</v>
      </c>
      <c r="R749" t="str">
        <v/>
      </c>
      <c r="S749">
        <v>16.1</v>
      </c>
      <c r="T749">
        <v>84.75</v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>
        <v>90</v>
      </c>
      <c r="AC749" t="str">
        <v>01/10/2026</v>
      </c>
      <c r="AD749" t="str">
        <v>17:03:10</v>
      </c>
      <c r="AE749">
        <f>IF("ONLINE"="NOGPS","GPS Antiguo","En línea")</f>
      </c>
      <c r="AF749">
        <f>IF(0=0,"Sin atender", IF(0=1,"Atendida","Atendida y Reportada"))</f>
      </c>
      <c r="AG749" t="str">
        <v/>
      </c>
      <c r="AH749" t="str">
        <v/>
      </c>
      <c r="AI749" t="str">
        <v/>
      </c>
      <c r="AJ749" t="str">
        <v/>
      </c>
      <c r="AK749" t="str">
        <v>01/10/2026 17:03:24</v>
      </c>
      <c r="AL749" t="str">
        <v>17:03:24</v>
      </c>
      <c r="AM749" t="str">
        <v/>
      </c>
    </row>
    <row r="750">
      <c r="A750">
        <v>749</v>
      </c>
      <c r="B750" t="str">
        <v>MASS BSF</v>
      </c>
      <c r="C750" t="str">
        <v>F8R-810</v>
      </c>
      <c r="D750" t="str">
        <v>F8R-810</v>
      </c>
      <c r="E750" t="str">
        <v/>
      </c>
      <c r="F750" t="str">
        <v>867806078868827</v>
      </c>
      <c r="G750" t="str">
        <v>TBD</v>
      </c>
      <c r="H750" t="str">
        <v/>
      </c>
      <c r="I750" t="str">
        <v/>
      </c>
      <c r="J750" t="str">
        <v>01/10/2026</v>
      </c>
      <c r="K750" t="str">
        <v>17:03:40</v>
      </c>
      <c r="L750">
        <v>-12.220995</v>
      </c>
      <c r="M750">
        <v>-76.973145</v>
      </c>
      <c r="N750">
        <f>HYPERLINK("https://www.google.com/maps/search/?api=1&amp;query=-12.220995,-76.973145","Avenida El Sol, Villa El Salvador, Lima")</f>
      </c>
      <c r="O750" t="str">
        <v>Acelerado y giro brusco</v>
      </c>
      <c r="P750" t="str">
        <v/>
      </c>
      <c r="Q750">
        <v>2226.2</v>
      </c>
      <c r="R750" t="str">
        <v/>
      </c>
      <c r="S750">
        <v>36.2</v>
      </c>
      <c r="T750">
        <v>84.75</v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>
        <v>90</v>
      </c>
      <c r="AC750" t="str">
        <v>01/10/2026</v>
      </c>
      <c r="AD750" t="str">
        <v>17:03:36</v>
      </c>
      <c r="AE750">
        <f>IF("ONLINE"="NOGPS","GPS Antiguo","En línea")</f>
      </c>
      <c r="AF750">
        <f>IF(0=0,"Sin atender", IF(0=1,"Atendida","Atendida y Reportada"))</f>
      </c>
      <c r="AG750" t="str">
        <v/>
      </c>
      <c r="AH750" t="str">
        <v/>
      </c>
      <c r="AI750" t="str">
        <v/>
      </c>
      <c r="AJ750" t="str">
        <v/>
      </c>
      <c r="AK750" t="str">
        <v>01/10/2026 17:03:50</v>
      </c>
      <c r="AL750" t="str">
        <v>17:03:50</v>
      </c>
      <c r="AM750" t="str">
        <v/>
      </c>
    </row>
    <row r="751">
      <c r="A751">
        <v>750</v>
      </c>
      <c r="B751" t="str">
        <v>MASS BSF</v>
      </c>
      <c r="C751" t="str">
        <v>F8R-810</v>
      </c>
      <c r="D751" t="str">
        <v>F8R-810</v>
      </c>
      <c r="E751" t="str">
        <v/>
      </c>
      <c r="F751" t="str">
        <v>867806078868827</v>
      </c>
      <c r="G751" t="str">
        <v>TBD</v>
      </c>
      <c r="H751" t="str">
        <v/>
      </c>
      <c r="I751" t="str">
        <v/>
      </c>
      <c r="J751" t="str">
        <v>01/10/2026</v>
      </c>
      <c r="K751" t="str">
        <v>17:03:48</v>
      </c>
      <c r="L751">
        <v>-12.220489</v>
      </c>
      <c r="M751">
        <v>-76.97262</v>
      </c>
      <c r="N751">
        <f>HYPERLINK("https://www.google.com/maps/search/?api=1&amp;query=-12.220489,-76.97262","Avenida El Sol, Villa El Salvador, Lima")</f>
      </c>
      <c r="O751" t="str">
        <v>Acelerado y giro brusco</v>
      </c>
      <c r="P751" t="str">
        <v/>
      </c>
      <c r="Q751">
        <v>2226.3</v>
      </c>
      <c r="R751" t="str">
        <v/>
      </c>
      <c r="S751">
        <v>34.2</v>
      </c>
      <c r="T751">
        <v>84.75</v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>
        <v>90</v>
      </c>
      <c r="AC751" t="str">
        <v>01/10/2026</v>
      </c>
      <c r="AD751" t="str">
        <v>17:03:44</v>
      </c>
      <c r="AE751">
        <f>IF("ONLINE"="NOGPS","GPS Antiguo","En línea")</f>
      </c>
      <c r="AF751">
        <f>IF(0=0,"Sin atender", IF(0=1,"Atendida","Atendida y Reportada"))</f>
      </c>
      <c r="AG751" t="str">
        <v/>
      </c>
      <c r="AH751" t="str">
        <v/>
      </c>
      <c r="AI751" t="str">
        <v/>
      </c>
      <c r="AJ751" t="str">
        <v/>
      </c>
      <c r="AK751" t="str">
        <v>01/10/2026 17:03:58</v>
      </c>
      <c r="AL751" t="str">
        <v>17:03:58</v>
      </c>
      <c r="AM751" t="str">
        <v/>
      </c>
    </row>
    <row r="752">
      <c r="A752">
        <v>751</v>
      </c>
      <c r="B752" t="str">
        <v>MASS BSF</v>
      </c>
      <c r="C752" t="str">
        <v>F8R-810</v>
      </c>
      <c r="D752" t="str">
        <v>F8R-810</v>
      </c>
      <c r="E752" t="str">
        <v/>
      </c>
      <c r="F752" t="str">
        <v>867806078868827</v>
      </c>
      <c r="G752" t="str">
        <v>TBD</v>
      </c>
      <c r="H752" t="str">
        <v/>
      </c>
      <c r="I752" t="str">
        <v/>
      </c>
      <c r="J752" t="str">
        <v>01/10/2026</v>
      </c>
      <c r="K752" t="str">
        <v>17:03:50</v>
      </c>
      <c r="L752">
        <v>-12.220373</v>
      </c>
      <c r="M752">
        <v>-76.972496</v>
      </c>
      <c r="N752">
        <f>HYPERLINK("https://www.google.com/maps/search/?api=1&amp;query=-12.220373,-76.972496","Avenida El Sol, Villa El Salvador, Lima")</f>
      </c>
      <c r="O752" t="str">
        <v>Acelerado y giro brusco</v>
      </c>
      <c r="P752" t="str">
        <v/>
      </c>
      <c r="Q752">
        <v>2226.3</v>
      </c>
      <c r="R752" t="str">
        <v/>
      </c>
      <c r="S752">
        <v>32.5</v>
      </c>
      <c r="T752">
        <v>84.75</v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>
        <v>90</v>
      </c>
      <c r="AC752" t="str">
        <v>01/10/2026</v>
      </c>
      <c r="AD752" t="str">
        <v>17:03:46</v>
      </c>
      <c r="AE752">
        <f>IF("ONLINE"="NOGPS","GPS Antiguo","En línea")</f>
      </c>
      <c r="AF752">
        <f>IF(0=0,"Sin atender", IF(0=1,"Atendida","Atendida y Reportada"))</f>
      </c>
      <c r="AG752" t="str">
        <v/>
      </c>
      <c r="AH752" t="str">
        <v/>
      </c>
      <c r="AI752" t="str">
        <v/>
      </c>
      <c r="AJ752" t="str">
        <v/>
      </c>
      <c r="AK752" t="str">
        <v>01/10/2026 17:04:01</v>
      </c>
      <c r="AL752" t="str">
        <v>17:04:01</v>
      </c>
      <c r="AM752" t="str">
        <v/>
      </c>
    </row>
    <row r="753">
      <c r="A753">
        <v>752</v>
      </c>
      <c r="B753" t="str">
        <v>MASS BSF</v>
      </c>
      <c r="C753" t="str">
        <v>F8R-810</v>
      </c>
      <c r="D753" t="str">
        <v>F8R-810</v>
      </c>
      <c r="E753" t="str">
        <v/>
      </c>
      <c r="F753" t="str">
        <v>867806078868827</v>
      </c>
      <c r="G753" t="str">
        <v>TBD</v>
      </c>
      <c r="H753" t="str">
        <v/>
      </c>
      <c r="I753" t="str">
        <v/>
      </c>
      <c r="J753" t="str">
        <v>01/10/2026</v>
      </c>
      <c r="K753" t="str">
        <v>17:04:08</v>
      </c>
      <c r="L753">
        <v>-12.219543</v>
      </c>
      <c r="M753">
        <v>-76.97161</v>
      </c>
      <c r="N753">
        <f>HYPERLINK("https://www.google.com/maps/search/?api=1&amp;query=-12.219543,-76.97161","Avenida El Sol, Villa El Salvador, Lima")</f>
      </c>
      <c r="O753" t="str">
        <v>Acelerado y giro brusco</v>
      </c>
      <c r="P753" t="str">
        <v/>
      </c>
      <c r="Q753">
        <v>2226.4</v>
      </c>
      <c r="R753" t="str">
        <v/>
      </c>
      <c r="S753">
        <v>24.2</v>
      </c>
      <c r="T753">
        <v>84.75</v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>
        <v>90</v>
      </c>
      <c r="AC753" t="str">
        <v>01/10/2026</v>
      </c>
      <c r="AD753" t="str">
        <v>17:04:04</v>
      </c>
      <c r="AE753">
        <f>IF("ONLINE"="NOGPS","GPS Antiguo","En línea")</f>
      </c>
      <c r="AF753">
        <f>IF(0=0,"Sin atender", IF(0=1,"Atendida","Atendida y Reportada"))</f>
      </c>
      <c r="AG753" t="str">
        <v/>
      </c>
      <c r="AH753" t="str">
        <v/>
      </c>
      <c r="AI753" t="str">
        <v/>
      </c>
      <c r="AJ753" t="str">
        <v/>
      </c>
      <c r="AK753" t="str">
        <v>01/10/2026 17:04:21</v>
      </c>
      <c r="AL753" t="str">
        <v>17:04:21</v>
      </c>
      <c r="AM753" t="str">
        <v/>
      </c>
    </row>
    <row r="754">
      <c r="A754">
        <v>753</v>
      </c>
      <c r="B754" t="str">
        <v>MASS BSF</v>
      </c>
      <c r="C754" t="str">
        <v>F8R-810</v>
      </c>
      <c r="D754" t="str">
        <v>F8R-810</v>
      </c>
      <c r="E754" t="str">
        <v/>
      </c>
      <c r="F754" t="str">
        <v>867806078868827</v>
      </c>
      <c r="G754" t="str">
        <v>TBD</v>
      </c>
      <c r="H754" t="str">
        <v/>
      </c>
      <c r="I754" t="str">
        <v/>
      </c>
      <c r="J754" t="str">
        <v>01/10/2026</v>
      </c>
      <c r="K754" t="str">
        <v>17:04:12</v>
      </c>
      <c r="L754">
        <v>-12.219375</v>
      </c>
      <c r="M754">
        <v>-76.971436</v>
      </c>
      <c r="N754">
        <f>HYPERLINK("https://www.google.com/maps/search/?api=1&amp;query=-12.219375,-76.971436","Avenida El Sol, Villa El Salvador, Lima")</f>
      </c>
      <c r="O754" t="str">
        <v>Acelerado y giro brusco</v>
      </c>
      <c r="P754" t="str">
        <v/>
      </c>
      <c r="Q754">
        <v>2226.5</v>
      </c>
      <c r="R754" t="str">
        <v/>
      </c>
      <c r="S754">
        <v>24</v>
      </c>
      <c r="T754">
        <v>84.75</v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>
        <v>90</v>
      </c>
      <c r="AC754" t="str">
        <v>01/10/2026</v>
      </c>
      <c r="AD754" t="str">
        <v>17:04:08</v>
      </c>
      <c r="AE754">
        <f>IF("ONLINE"="NOGPS","GPS Antiguo","En línea")</f>
      </c>
      <c r="AF754">
        <f>IF(0=0,"Sin atender", IF(0=1,"Atendida","Atendida y Reportada"))</f>
      </c>
      <c r="AG754" t="str">
        <v/>
      </c>
      <c r="AH754" t="str">
        <v/>
      </c>
      <c r="AI754" t="str">
        <v/>
      </c>
      <c r="AJ754" t="str">
        <v/>
      </c>
      <c r="AK754" t="str">
        <v>01/10/2026 17:04:32</v>
      </c>
      <c r="AL754" t="str">
        <v>17:04:32</v>
      </c>
      <c r="AM754" t="str">
        <v/>
      </c>
    </row>
    <row r="755">
      <c r="A755">
        <v>754</v>
      </c>
      <c r="B755" t="str">
        <v>MASS BSF</v>
      </c>
      <c r="C755" t="str">
        <v>F8R-810</v>
      </c>
      <c r="D755" t="str">
        <v>F8R-810</v>
      </c>
      <c r="E755" t="str">
        <v/>
      </c>
      <c r="F755" t="str">
        <v>867806078868827</v>
      </c>
      <c r="G755" t="str">
        <v>TBD</v>
      </c>
      <c r="H755" t="str">
        <v/>
      </c>
      <c r="I755" t="str">
        <v/>
      </c>
      <c r="J755" t="str">
        <v>01/10/2026</v>
      </c>
      <c r="K755" t="str">
        <v>17:05:01</v>
      </c>
      <c r="L755">
        <v>-12.21733</v>
      </c>
      <c r="M755">
        <v>-76.96927</v>
      </c>
      <c r="N755">
        <f>HYPERLINK("https://www.google.com/maps/search/?api=1&amp;query=-12.21733,-76.96927","Avenida El Sol, Villa El Salvador, Lima")</f>
      </c>
      <c r="O755" t="str">
        <v>Acelerado y giro brusco</v>
      </c>
      <c r="P755" t="str">
        <v/>
      </c>
      <c r="Q755">
        <v>2226.8</v>
      </c>
      <c r="R755" t="str">
        <v/>
      </c>
      <c r="S755">
        <v>22.2</v>
      </c>
      <c r="T755">
        <v>84.75</v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>
        <v>90</v>
      </c>
      <c r="AC755" t="str">
        <v>01/10/2026</v>
      </c>
      <c r="AD755" t="str">
        <v>17:04:57</v>
      </c>
      <c r="AE755">
        <f>IF("ONLINE"="NOGPS","GPS Antiguo","En línea")</f>
      </c>
      <c r="AF755">
        <f>IF(0=0,"Sin atender", IF(0=1,"Atendida","Atendida y Reportada"))</f>
      </c>
      <c r="AG755" t="str">
        <v/>
      </c>
      <c r="AH755" t="str">
        <v/>
      </c>
      <c r="AI755" t="str">
        <v/>
      </c>
      <c r="AJ755" t="str">
        <v/>
      </c>
      <c r="AK755" t="str">
        <v>01/10/2026 17:05:04</v>
      </c>
      <c r="AL755" t="str">
        <v>17:05:04</v>
      </c>
      <c r="AM755" t="str">
        <v/>
      </c>
    </row>
    <row r="756">
      <c r="A756">
        <v>755</v>
      </c>
      <c r="B756" t="str">
        <v>MASS BSF</v>
      </c>
      <c r="C756" t="str">
        <v>F8R-810</v>
      </c>
      <c r="D756" t="str">
        <v>F8R-810</v>
      </c>
      <c r="E756" t="str">
        <v/>
      </c>
      <c r="F756" t="str">
        <v>867806078868827</v>
      </c>
      <c r="G756" t="str">
        <v>TBD</v>
      </c>
      <c r="H756" t="str">
        <v/>
      </c>
      <c r="I756" t="str">
        <v/>
      </c>
      <c r="J756" t="str">
        <v>01/10/2026</v>
      </c>
      <c r="K756" t="str">
        <v>17:05:06</v>
      </c>
      <c r="L756">
        <v>-12.21715</v>
      </c>
      <c r="M756">
        <v>-76.96903</v>
      </c>
      <c r="N756">
        <f>HYPERLINK("https://www.google.com/maps/search/?api=1&amp;query=-12.21715,-76.96903","Avenida El Sol, Villa El Salvador, Lima")</f>
      </c>
      <c r="O756" t="str">
        <v>Aceleración brusca</v>
      </c>
      <c r="P756" t="str">
        <v>CMT-910</v>
      </c>
      <c r="Q756">
        <v>2226.8</v>
      </c>
      <c r="R756" t="str">
        <v/>
      </c>
      <c r="S756">
        <v>25.3</v>
      </c>
      <c r="T756">
        <v>84.75</v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>
        <v>90</v>
      </c>
      <c r="AC756" t="str">
        <v>01/10/2026</v>
      </c>
      <c r="AD756" t="str">
        <v>17:05:02</v>
      </c>
      <c r="AE756">
        <f>IF("ONLINE"="NOGPS","GPS Antiguo","En línea")</f>
      </c>
      <c r="AF756">
        <f>IF(0=0,"Sin atender", IF(0=1,"Atendida","Atendida y Reportada"))</f>
      </c>
      <c r="AG756" t="str">
        <v/>
      </c>
      <c r="AH756" t="str">
        <v/>
      </c>
      <c r="AI756" t="str">
        <v/>
      </c>
      <c r="AJ756" t="str">
        <v/>
      </c>
      <c r="AK756" t="str">
        <v>01/10/2026 17:05:14</v>
      </c>
      <c r="AL756" t="str">
        <v>17:05:14</v>
      </c>
      <c r="AM756" t="str">
        <v/>
      </c>
    </row>
    <row r="757">
      <c r="A757">
        <v>756</v>
      </c>
      <c r="B757" t="str">
        <v>MASS BSF</v>
      </c>
      <c r="C757" t="str">
        <v>F8R-810</v>
      </c>
      <c r="D757" t="str">
        <v>F8R-810</v>
      </c>
      <c r="E757" t="str">
        <v/>
      </c>
      <c r="F757" t="str">
        <v>867806078868827</v>
      </c>
      <c r="G757" t="str">
        <v>TBD</v>
      </c>
      <c r="H757" t="str">
        <v/>
      </c>
      <c r="I757" t="str">
        <v/>
      </c>
      <c r="J757" t="str">
        <v>01/10/2026</v>
      </c>
      <c r="K757" t="str">
        <v>17:05:54</v>
      </c>
      <c r="L757">
        <v>-12.215257</v>
      </c>
      <c r="M757">
        <v>-76.96734</v>
      </c>
      <c r="N757">
        <f>HYPERLINK("https://www.google.com/maps/search/?api=1&amp;query=-12.215257,-76.96734","Avenida El Sol, Villa El Salvador, Lima")</f>
      </c>
      <c r="O757" t="str">
        <v>Acelerado y giro brusco</v>
      </c>
      <c r="P757" t="str">
        <v/>
      </c>
      <c r="Q757">
        <v>2227.1</v>
      </c>
      <c r="R757" t="str">
        <v/>
      </c>
      <c r="S757">
        <v>10</v>
      </c>
      <c r="T757">
        <v>84.75</v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>
        <v>93</v>
      </c>
      <c r="AC757" t="str">
        <v>01/10/2026</v>
      </c>
      <c r="AD757" t="str">
        <v>17:05:50</v>
      </c>
      <c r="AE757">
        <f>IF("ONLINE"="NOGPS","GPS Antiguo","En línea")</f>
      </c>
      <c r="AF757">
        <f>IF(0=0,"Sin atender", IF(0=1,"Atendida","Atendida y Reportada"))</f>
      </c>
      <c r="AG757" t="str">
        <v/>
      </c>
      <c r="AH757" t="str">
        <v/>
      </c>
      <c r="AI757" t="str">
        <v/>
      </c>
      <c r="AJ757" t="str">
        <v/>
      </c>
      <c r="AK757" t="str">
        <v>01/10/2026 17:06:11</v>
      </c>
      <c r="AL757" t="str">
        <v>17:06:11</v>
      </c>
      <c r="AM757" t="str">
        <v/>
      </c>
    </row>
    <row r="758">
      <c r="A758">
        <v>757</v>
      </c>
      <c r="B758" t="str">
        <v>MASS BSF</v>
      </c>
      <c r="C758" t="str">
        <v>F8R-810</v>
      </c>
      <c r="D758" t="str">
        <v>F8R-810</v>
      </c>
      <c r="E758" t="str">
        <v/>
      </c>
      <c r="F758" t="str">
        <v>867806078868827</v>
      </c>
      <c r="G758" t="str">
        <v>TBD</v>
      </c>
      <c r="H758" t="str">
        <v/>
      </c>
      <c r="I758" t="str">
        <v/>
      </c>
      <c r="J758" t="str">
        <v>01/10/2026</v>
      </c>
      <c r="K758" t="str">
        <v>17:05:59</v>
      </c>
      <c r="L758">
        <v>-12.215232</v>
      </c>
      <c r="M758">
        <v>-76.96734</v>
      </c>
      <c r="N758">
        <f>HYPERLINK("https://www.google.com/maps/search/?api=1&amp;query=-12.215232,-76.96734","Avenida El Sol, Villa El Salvador, Lima")</f>
      </c>
      <c r="O758" t="str">
        <v>Vehículo apagado</v>
      </c>
      <c r="P758" t="str">
        <v>Vehículo Apagado</v>
      </c>
      <c r="Q758">
        <v>2227.1</v>
      </c>
      <c r="R758" t="str">
        <v/>
      </c>
      <c r="S758">
        <v>0</v>
      </c>
      <c r="T758">
        <v>85.25</v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>
        <v>93</v>
      </c>
      <c r="AC758" t="str">
        <v>01/10/2026</v>
      </c>
      <c r="AD758" t="str">
        <v>17:05:55</v>
      </c>
      <c r="AE758">
        <f>IF("ONLINE"="NOGPS","GPS Antiguo","En línea")</f>
      </c>
      <c r="AF758">
        <f>IF(0=0,"Sin atender", IF(0=1,"Atendida","Atendida y Reportada"))</f>
      </c>
      <c r="AG758" t="str">
        <v/>
      </c>
      <c r="AH758" t="str">
        <v/>
      </c>
      <c r="AI758" t="str">
        <v/>
      </c>
      <c r="AJ758" t="str">
        <v/>
      </c>
      <c r="AK758" t="str">
        <v>01/10/2026 17:06:07</v>
      </c>
      <c r="AL758" t="str">
        <v>17:06:07</v>
      </c>
      <c r="AM758" t="str">
        <v/>
      </c>
    </row>
    <row r="759">
      <c r="A759">
        <v>758</v>
      </c>
      <c r="B759" t="str">
        <v>MASS BSF</v>
      </c>
      <c r="C759" t="str">
        <v>F8R-810</v>
      </c>
      <c r="D759" t="str">
        <v>F8R-810</v>
      </c>
      <c r="E759" t="str">
        <v/>
      </c>
      <c r="F759" t="str">
        <v>867806078868827</v>
      </c>
      <c r="G759" t="str">
        <v>TBD</v>
      </c>
      <c r="H759" t="str">
        <v/>
      </c>
      <c r="I759" t="str">
        <v/>
      </c>
      <c r="J759" t="str">
        <v>01/10/2026</v>
      </c>
      <c r="K759" t="str">
        <v>17:10:44</v>
      </c>
      <c r="L759">
        <v>-12.215232</v>
      </c>
      <c r="M759">
        <v>-76.96734</v>
      </c>
      <c r="N759">
        <f>HYPERLINK("https://www.google.com/maps/search/?api=1&amp;query=-12.215232,-76.96734","Avenida El Sol, Villa El Salvador, Lima")</f>
      </c>
      <c r="O759" t="str">
        <v>Vehículo encendido</v>
      </c>
      <c r="P759" t="str">
        <v/>
      </c>
      <c r="Q759">
        <v>2227.1</v>
      </c>
      <c r="R759" t="str">
        <v/>
      </c>
      <c r="S759">
        <v>0</v>
      </c>
      <c r="T759">
        <v>85.25</v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>
        <v>93</v>
      </c>
      <c r="AC759" t="str">
        <v>01/10/2026</v>
      </c>
      <c r="AD759" t="str">
        <v>17:10:40</v>
      </c>
      <c r="AE759">
        <f>IF("ONLINE"="NOGPS","GPS Antiguo","En línea")</f>
      </c>
      <c r="AF759">
        <f>IF(0=0,"Sin atender", IF(0=1,"Atendida","Atendida y Reportada"))</f>
      </c>
      <c r="AG759" t="str">
        <v/>
      </c>
      <c r="AH759" t="str">
        <v/>
      </c>
      <c r="AI759" t="str">
        <v/>
      </c>
      <c r="AJ759" t="str">
        <v/>
      </c>
      <c r="AK759" t="str">
        <v>01/10/2026 17:11:06</v>
      </c>
      <c r="AL759" t="str">
        <v>17:11:06</v>
      </c>
      <c r="AM759" t="str">
        <v/>
      </c>
    </row>
    <row r="760">
      <c r="A760">
        <v>759</v>
      </c>
      <c r="B760" t="str">
        <v>MASS BSF</v>
      </c>
      <c r="C760" t="str">
        <v>F8R-810</v>
      </c>
      <c r="D760" t="str">
        <v>F8R-810</v>
      </c>
      <c r="E760" t="str">
        <v/>
      </c>
      <c r="F760" t="str">
        <v>867806078868827</v>
      </c>
      <c r="G760" t="str">
        <v>TBD</v>
      </c>
      <c r="H760" t="str">
        <v/>
      </c>
      <c r="I760" t="str">
        <v/>
      </c>
      <c r="J760" t="str">
        <v>01/10/2026</v>
      </c>
      <c r="K760" t="str">
        <v>17:11:12</v>
      </c>
      <c r="L760">
        <v>-12.215232</v>
      </c>
      <c r="M760">
        <v>-76.96734</v>
      </c>
      <c r="N760">
        <f>HYPERLINK("https://www.google.com/maps/search/?api=1&amp;query=-12.215232,-76.96734","Avenida El Sol, Villa El Salvador, Lima")</f>
      </c>
      <c r="O760" t="str">
        <v>Vehículo apagado</v>
      </c>
      <c r="P760" t="str">
        <v>Vehículo Apagado</v>
      </c>
      <c r="Q760">
        <v>2227.1</v>
      </c>
      <c r="R760" t="str">
        <v/>
      </c>
      <c r="S760">
        <v>0</v>
      </c>
      <c r="T760">
        <v>85.25</v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>
        <v>93</v>
      </c>
      <c r="AC760" t="str">
        <v>01/10/2026</v>
      </c>
      <c r="AD760" t="str">
        <v>17:11:08</v>
      </c>
      <c r="AE760">
        <f>IF("ONLINE"="NOGPS","GPS Antiguo","En línea")</f>
      </c>
      <c r="AF760">
        <f>IF(0=0,"Sin atender", IF(0=1,"Atendida","Atendida y Reportada"))</f>
      </c>
      <c r="AG760" t="str">
        <v/>
      </c>
      <c r="AH760" t="str">
        <v/>
      </c>
      <c r="AI760" t="str">
        <v/>
      </c>
      <c r="AJ760" t="str">
        <v/>
      </c>
      <c r="AK760" t="str">
        <v>01/10/2026 17:11:29</v>
      </c>
      <c r="AL760" t="str">
        <v>17:11:29</v>
      </c>
      <c r="AM760" t="str">
        <v/>
      </c>
    </row>
    <row r="761">
      <c r="A761">
        <v>760</v>
      </c>
      <c r="B761" t="str">
        <v>MASS BSF</v>
      </c>
      <c r="C761" t="str">
        <v>F8R-810</v>
      </c>
      <c r="D761" t="str">
        <v>F8R-810</v>
      </c>
      <c r="E761" t="str">
        <v/>
      </c>
      <c r="F761" t="str">
        <v>867806078868827</v>
      </c>
      <c r="G761" t="str">
        <v>TBD</v>
      </c>
      <c r="H761" t="str">
        <v/>
      </c>
      <c r="I761" t="str">
        <v/>
      </c>
      <c r="J761" t="str">
        <v>01/10/2026</v>
      </c>
      <c r="K761" t="str">
        <v>17:11:45</v>
      </c>
      <c r="L761">
        <v>-12.215232</v>
      </c>
      <c r="M761">
        <v>-76.96734</v>
      </c>
      <c r="N761">
        <f>HYPERLINK("https://www.google.com/maps/search/?api=1&amp;query=-12.215232,-76.96734","Avenida El Sol, Villa El Salvador, Lima")</f>
      </c>
      <c r="O761" t="str">
        <v>Vehículo encendido</v>
      </c>
      <c r="P761" t="str">
        <v/>
      </c>
      <c r="Q761">
        <v>2227.1</v>
      </c>
      <c r="R761" t="str">
        <v/>
      </c>
      <c r="S761">
        <v>0</v>
      </c>
      <c r="T761">
        <v>85.25</v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>
        <v>93</v>
      </c>
      <c r="AC761" t="str">
        <v>01/10/2026</v>
      </c>
      <c r="AD761" t="str">
        <v>17:11:41</v>
      </c>
      <c r="AE761">
        <f>IF("ONLINE"="NOGPS","GPS Antiguo","En línea")</f>
      </c>
      <c r="AF761">
        <f>IF(0=0,"Sin atender", IF(0=1,"Atendida","Atendida y Reportada"))</f>
      </c>
      <c r="AG761" t="str">
        <v/>
      </c>
      <c r="AH761" t="str">
        <v/>
      </c>
      <c r="AI761" t="str">
        <v/>
      </c>
      <c r="AJ761" t="str">
        <v/>
      </c>
      <c r="AK761" t="str">
        <v>01/10/2026 17:11:48</v>
      </c>
      <c r="AL761" t="str">
        <v>17:11:48</v>
      </c>
      <c r="AM761" t="str">
        <v/>
      </c>
    </row>
    <row r="762">
      <c r="A762">
        <v>761</v>
      </c>
      <c r="B762" t="str">
        <v>MASS BSF</v>
      </c>
      <c r="C762" t="str">
        <v>F8R-810</v>
      </c>
      <c r="D762" t="str">
        <v>F8R-810</v>
      </c>
      <c r="E762" t="str">
        <v/>
      </c>
      <c r="F762" t="str">
        <v>867806078868827</v>
      </c>
      <c r="G762" t="str">
        <v>TBD</v>
      </c>
      <c r="H762" t="str">
        <v/>
      </c>
      <c r="I762" t="str">
        <v/>
      </c>
      <c r="J762" t="str">
        <v>01/10/2026</v>
      </c>
      <c r="K762" t="str">
        <v>17:11:58</v>
      </c>
      <c r="L762">
        <v>-12.215158</v>
      </c>
      <c r="M762">
        <v>-76.967354</v>
      </c>
      <c r="N762">
        <f>HYPERLINK("https://www.google.com/maps/search/?api=1&amp;query=-12.215158,-76.967354","Avenida El Sol, Villa El Salvador, Lima")</f>
      </c>
      <c r="O762" t="str">
        <v>Acelerado y giro brusco</v>
      </c>
      <c r="P762" t="str">
        <v/>
      </c>
      <c r="Q762">
        <v>2227.1</v>
      </c>
      <c r="R762" t="str">
        <v/>
      </c>
      <c r="S762">
        <v>10.1</v>
      </c>
      <c r="T762">
        <v>85.25</v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>
        <v>93</v>
      </c>
      <c r="AC762" t="str">
        <v>01/10/2026</v>
      </c>
      <c r="AD762" t="str">
        <v>17:11:54</v>
      </c>
      <c r="AE762">
        <f>IF("ONLINE"="NOGPS","GPS Antiguo","En línea")</f>
      </c>
      <c r="AF762">
        <f>IF(0=0,"Sin atender", IF(0=1,"Atendida","Atendida y Reportada"))</f>
      </c>
      <c r="AG762" t="str">
        <v/>
      </c>
      <c r="AH762" t="str">
        <v/>
      </c>
      <c r="AI762" t="str">
        <v/>
      </c>
      <c r="AJ762" t="str">
        <v/>
      </c>
      <c r="AK762" t="str">
        <v>01/10/2026 17:12:17</v>
      </c>
      <c r="AL762" t="str">
        <v>17:12:17</v>
      </c>
      <c r="AM762" t="str">
        <v/>
      </c>
    </row>
    <row r="763">
      <c r="A763">
        <v>762</v>
      </c>
      <c r="B763" t="str">
        <v>MASS BSF</v>
      </c>
      <c r="C763" t="str">
        <v>F8R-810</v>
      </c>
      <c r="D763" t="str">
        <v>F8R-810</v>
      </c>
      <c r="E763" t="str">
        <v/>
      </c>
      <c r="F763" t="str">
        <v>867806078868827</v>
      </c>
      <c r="G763" t="str">
        <v>TBD</v>
      </c>
      <c r="H763" t="str">
        <v/>
      </c>
      <c r="I763" t="str">
        <v/>
      </c>
      <c r="J763" t="str">
        <v>01/10/2026</v>
      </c>
      <c r="K763" t="str">
        <v>17:12:20</v>
      </c>
      <c r="L763">
        <v>-12.214031</v>
      </c>
      <c r="M763">
        <v>-76.9663</v>
      </c>
      <c r="N763">
        <f>HYPERLINK("https://www.google.com/maps/search/?api=1&amp;query=-12.214031,-76.9663","Avenida El Sol, Villa El Salvador, Lima")</f>
      </c>
      <c r="O763" t="str">
        <v>Acelerado y giro brusco</v>
      </c>
      <c r="P763" t="str">
        <v/>
      </c>
      <c r="Q763">
        <v>2227.3</v>
      </c>
      <c r="R763" t="str">
        <v/>
      </c>
      <c r="S763">
        <v>33.5</v>
      </c>
      <c r="T763">
        <v>85.25</v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>
        <v>93</v>
      </c>
      <c r="AC763" t="str">
        <v>01/10/2026</v>
      </c>
      <c r="AD763" t="str">
        <v>17:12:16</v>
      </c>
      <c r="AE763">
        <f>IF("ONLINE"="NOGPS","GPS Antiguo","En línea")</f>
      </c>
      <c r="AF763">
        <f>IF(0=0,"Sin atender", IF(0=1,"Atendida","Atendida y Reportada"))</f>
      </c>
      <c r="AG763" t="str">
        <v/>
      </c>
      <c r="AH763" t="str">
        <v/>
      </c>
      <c r="AI763" t="str">
        <v/>
      </c>
      <c r="AJ763" t="str">
        <v/>
      </c>
      <c r="AK763" t="str">
        <v>01/10/2026 17:12:42</v>
      </c>
      <c r="AL763" t="str">
        <v>17:12:42</v>
      </c>
      <c r="AM763" t="str">
        <v/>
      </c>
    </row>
    <row r="764">
      <c r="A764">
        <v>763</v>
      </c>
      <c r="B764" t="str">
        <v>MASS BSF</v>
      </c>
      <c r="C764" t="str">
        <v>F8R-810</v>
      </c>
      <c r="D764" t="str">
        <v>F8R-810</v>
      </c>
      <c r="E764" t="str">
        <v/>
      </c>
      <c r="F764" t="str">
        <v>867806078868827</v>
      </c>
      <c r="G764" t="str">
        <v>TBD</v>
      </c>
      <c r="H764" t="str">
        <v/>
      </c>
      <c r="I764" t="str">
        <v/>
      </c>
      <c r="J764" t="str">
        <v>01/10/2026</v>
      </c>
      <c r="K764" t="str">
        <v>17:12:52</v>
      </c>
      <c r="L764">
        <v>-12.212642</v>
      </c>
      <c r="M764">
        <v>-76.964615</v>
      </c>
      <c r="N764">
        <f>HYPERLINK("https://www.google.com/maps/search/?api=1&amp;query=-12.212642,-76.964615","Avenida El Sol, Villa El Salvador, Lima")</f>
      </c>
      <c r="O764" t="str">
        <v>Acelerado y giro brusco</v>
      </c>
      <c r="P764" t="str">
        <v/>
      </c>
      <c r="Q764">
        <v>2227.5</v>
      </c>
      <c r="R764" t="str">
        <v/>
      </c>
      <c r="S764">
        <v>26.8</v>
      </c>
      <c r="T764">
        <v>85.25</v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>
        <v>93</v>
      </c>
      <c r="AC764" t="str">
        <v>01/10/2026</v>
      </c>
      <c r="AD764" t="str">
        <v>17:12:48</v>
      </c>
      <c r="AE764">
        <f>IF("ONLINE"="NOGPS","GPS Antiguo","En línea")</f>
      </c>
      <c r="AF764">
        <f>IF(0=0,"Sin atender", IF(0=1,"Atendida","Atendida y Reportada"))</f>
      </c>
      <c r="AG764" t="str">
        <v/>
      </c>
      <c r="AH764" t="str">
        <v/>
      </c>
      <c r="AI764" t="str">
        <v/>
      </c>
      <c r="AJ764" t="str">
        <v/>
      </c>
      <c r="AK764" t="str">
        <v>01/10/2026 17:13:05</v>
      </c>
      <c r="AL764" t="str">
        <v>17:13:05</v>
      </c>
      <c r="AM764" t="str">
        <v/>
      </c>
    </row>
    <row r="765">
      <c r="A765">
        <v>764</v>
      </c>
      <c r="B765" t="str">
        <v>MASS BSF</v>
      </c>
      <c r="C765" t="str">
        <v>F8R-810</v>
      </c>
      <c r="D765" t="str">
        <v>F8R-810</v>
      </c>
      <c r="E765" t="str">
        <v/>
      </c>
      <c r="F765" t="str">
        <v>867806078868827</v>
      </c>
      <c r="G765" t="str">
        <v>TBD</v>
      </c>
      <c r="H765" t="str">
        <v/>
      </c>
      <c r="I765" t="str">
        <v/>
      </c>
      <c r="J765" t="str">
        <v>01/10/2026</v>
      </c>
      <c r="K765" t="str">
        <v>17:13:01</v>
      </c>
      <c r="L765">
        <v>-12.212357</v>
      </c>
      <c r="M765">
        <v>-76.964066</v>
      </c>
      <c r="N765">
        <f>HYPERLINK("https://www.google.com/maps/search/?api=1&amp;query=-12.212357,-76.964066","Avenida El Sol, Villa El Salvador, Lima")</f>
      </c>
      <c r="O765" t="str">
        <v>Aceleración brusca</v>
      </c>
      <c r="P765" t="str">
        <v>CMT-910</v>
      </c>
      <c r="Q765">
        <v>2227.6</v>
      </c>
      <c r="R765" t="str">
        <v/>
      </c>
      <c r="S765">
        <v>28.1</v>
      </c>
      <c r="T765">
        <v>85.25</v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>
        <v>93</v>
      </c>
      <c r="AC765" t="str">
        <v>01/10/2026</v>
      </c>
      <c r="AD765" t="str">
        <v>17:12:57</v>
      </c>
      <c r="AE765">
        <f>IF("ONLINE"="NOGPS","GPS Antiguo","En línea")</f>
      </c>
      <c r="AF765">
        <f>IF(0=0,"Sin atender", IF(0=1,"Atendida","Atendida y Reportada"))</f>
      </c>
      <c r="AG765" t="str">
        <v/>
      </c>
      <c r="AH765" t="str">
        <v/>
      </c>
      <c r="AI765" t="str">
        <v/>
      </c>
      <c r="AJ765" t="str">
        <v/>
      </c>
      <c r="AK765" t="str">
        <v>01/10/2026 17:13:18</v>
      </c>
      <c r="AL765" t="str">
        <v>17:13:18</v>
      </c>
      <c r="AM765" t="str">
        <v/>
      </c>
    </row>
    <row r="766">
      <c r="A766">
        <v>765</v>
      </c>
      <c r="B766" t="str">
        <v>MASS BSF</v>
      </c>
      <c r="C766" t="str">
        <v>F8R-810</v>
      </c>
      <c r="D766" t="str">
        <v>F8R-810</v>
      </c>
      <c r="E766" t="str">
        <v/>
      </c>
      <c r="F766" t="str">
        <v>867806078868827</v>
      </c>
      <c r="G766" t="str">
        <v>TBD</v>
      </c>
      <c r="H766" t="str">
        <v/>
      </c>
      <c r="I766" t="str">
        <v/>
      </c>
      <c r="J766" t="str">
        <v>01/10/2026</v>
      </c>
      <c r="K766" t="str">
        <v>17:13:54</v>
      </c>
      <c r="L766">
        <v>-12.211262</v>
      </c>
      <c r="M766">
        <v>-76.96199</v>
      </c>
      <c r="N766">
        <f>HYPERLINK("https://www.google.com/maps/search/?api=1&amp;query=-12.211262,-76.96199","Calle 1, Villa El Salvador, Lima")</f>
      </c>
      <c r="O766" t="str">
        <v>Acelerado y giro brusco</v>
      </c>
      <c r="P766" t="str">
        <v/>
      </c>
      <c r="Q766">
        <v>2227.8</v>
      </c>
      <c r="R766" t="str">
        <v/>
      </c>
      <c r="S766">
        <v>5.9</v>
      </c>
      <c r="T766">
        <v>85.25</v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>
        <v>93</v>
      </c>
      <c r="AC766" t="str">
        <v>01/10/2026</v>
      </c>
      <c r="AD766" t="str">
        <v>17:13:50</v>
      </c>
      <c r="AE766">
        <f>IF("ONLINE"="NOGPS","GPS Antiguo","En línea")</f>
      </c>
      <c r="AF766">
        <f>IF(0=0,"Sin atender", IF(0=1,"Atendida","Atendida y Reportada"))</f>
      </c>
      <c r="AG766" t="str">
        <v/>
      </c>
      <c r="AH766" t="str">
        <v/>
      </c>
      <c r="AI766" t="str">
        <v/>
      </c>
      <c r="AJ766" t="str">
        <v/>
      </c>
      <c r="AK766" t="str">
        <v>01/10/2026 17:14:06</v>
      </c>
      <c r="AL766" t="str">
        <v>17:14:06</v>
      </c>
      <c r="AM766" t="str">
        <v/>
      </c>
    </row>
    <row r="767">
      <c r="A767">
        <v>766</v>
      </c>
      <c r="B767" t="str">
        <v>MASS BSF</v>
      </c>
      <c r="C767" t="str">
        <v>F8R-810</v>
      </c>
      <c r="D767" t="str">
        <v>F8R-810</v>
      </c>
      <c r="E767" t="str">
        <v/>
      </c>
      <c r="F767" t="str">
        <v>867806078868827</v>
      </c>
      <c r="G767" t="str">
        <v>TBD</v>
      </c>
      <c r="H767" t="str">
        <v/>
      </c>
      <c r="I767" t="str">
        <v/>
      </c>
      <c r="J767" t="str">
        <v>01/10/2026</v>
      </c>
      <c r="K767" t="str">
        <v>17:14:09</v>
      </c>
      <c r="L767">
        <v>-12.211418</v>
      </c>
      <c r="M767">
        <v>-76.96187</v>
      </c>
      <c r="N767">
        <f>HYPERLINK("https://www.google.com/maps/search/?api=1&amp;query=-12.211418,-76.96187","Calle 1, Villa El Salvador, Lima")</f>
      </c>
      <c r="O767" t="str">
        <v>Aceleración brusca</v>
      </c>
      <c r="P767" t="str">
        <v>CMT-910</v>
      </c>
      <c r="Q767">
        <v>2227.8</v>
      </c>
      <c r="R767" t="str">
        <v/>
      </c>
      <c r="S767">
        <v>0.3</v>
      </c>
      <c r="T767">
        <v>85.25</v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>
        <v>93</v>
      </c>
      <c r="AC767" t="str">
        <v>01/10/2026</v>
      </c>
      <c r="AD767" t="str">
        <v>17:14:05</v>
      </c>
      <c r="AE767">
        <f>IF("ONLINE"="NOGPS","GPS Antiguo","En línea")</f>
      </c>
      <c r="AF767">
        <f>IF(0=0,"Sin atender", IF(0=1,"Atendida","Atendida y Reportada"))</f>
      </c>
      <c r="AG767" t="str">
        <v/>
      </c>
      <c r="AH767" t="str">
        <v/>
      </c>
      <c r="AI767" t="str">
        <v/>
      </c>
      <c r="AJ767" t="str">
        <v/>
      </c>
      <c r="AK767" t="str">
        <v>01/10/2026 17:14:11</v>
      </c>
      <c r="AL767" t="str">
        <v>17:14:11</v>
      </c>
      <c r="AM767" t="str">
        <v/>
      </c>
    </row>
    <row r="768">
      <c r="A768">
        <v>767</v>
      </c>
      <c r="B768" t="str">
        <v>MASS BSF</v>
      </c>
      <c r="C768" t="str">
        <v>F8R-810</v>
      </c>
      <c r="D768" t="str">
        <v>F8R-810</v>
      </c>
      <c r="E768" t="str">
        <v/>
      </c>
      <c r="F768" t="str">
        <v>867806078868827</v>
      </c>
      <c r="G768" t="str">
        <v>TBD</v>
      </c>
      <c r="H768" t="str">
        <v/>
      </c>
      <c r="I768" t="str">
        <v/>
      </c>
      <c r="J768" t="str">
        <v>01/10/2026</v>
      </c>
      <c r="K768" t="str">
        <v>17:14:17</v>
      </c>
      <c r="L768">
        <v>-12.21156</v>
      </c>
      <c r="M768">
        <v>-76.961754</v>
      </c>
      <c r="N768">
        <f>HYPERLINK("https://www.google.com/maps/search/?api=1&amp;query=-12.21156,-76.961754","Calle 1, Villa El Salvador, Lima")</f>
      </c>
      <c r="O768" t="str">
        <v>Acelerado y giro brusco</v>
      </c>
      <c r="P768" t="str">
        <v/>
      </c>
      <c r="Q768">
        <v>2227.9</v>
      </c>
      <c r="R768" t="str">
        <v/>
      </c>
      <c r="S768">
        <v>9.2</v>
      </c>
      <c r="T768">
        <v>85.25</v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>
        <v>93</v>
      </c>
      <c r="AC768" t="str">
        <v>01/10/2026</v>
      </c>
      <c r="AD768" t="str">
        <v>17:14:13</v>
      </c>
      <c r="AE768">
        <f>IF("ONLINE"="NOGPS","GPS Antiguo","En línea")</f>
      </c>
      <c r="AF768">
        <f>IF(0=0,"Sin atender", IF(0=1,"Atendida","Atendida y Reportada"))</f>
      </c>
      <c r="AG768" t="str">
        <v/>
      </c>
      <c r="AH768" t="str">
        <v/>
      </c>
      <c r="AI768" t="str">
        <v/>
      </c>
      <c r="AJ768" t="str">
        <v/>
      </c>
      <c r="AK768" t="str">
        <v>01/10/2026 17:14:32</v>
      </c>
      <c r="AL768" t="str">
        <v>17:14:32</v>
      </c>
      <c r="AM768" t="str">
        <v/>
      </c>
    </row>
    <row r="769">
      <c r="A769">
        <v>768</v>
      </c>
      <c r="B769" t="str">
        <v>MASS BSF</v>
      </c>
      <c r="C769" t="str">
        <v>F8R-810</v>
      </c>
      <c r="D769" t="str">
        <v>F8R-810</v>
      </c>
      <c r="E769" t="str">
        <v/>
      </c>
      <c r="F769" t="str">
        <v>867806078868827</v>
      </c>
      <c r="G769" t="str">
        <v>TBD</v>
      </c>
      <c r="H769" t="str">
        <v/>
      </c>
      <c r="I769" t="str">
        <v/>
      </c>
      <c r="J769" t="str">
        <v>01/10/2026</v>
      </c>
      <c r="K769" t="str">
        <v>17:14:26</v>
      </c>
      <c r="L769">
        <v>-12.211785</v>
      </c>
      <c r="M769">
        <v>-76.9616</v>
      </c>
      <c r="N769">
        <f>HYPERLINK("https://www.google.com/maps/search/?api=1&amp;query=-12.211785,-76.9616","Calle 1, Villa El Salvador, Lima")</f>
      </c>
      <c r="O769" t="str">
        <v>Acelerado y giro brusco</v>
      </c>
      <c r="P769" t="str">
        <v/>
      </c>
      <c r="Q769">
        <v>2227.9</v>
      </c>
      <c r="R769" t="str">
        <v/>
      </c>
      <c r="S769">
        <v>13.3</v>
      </c>
      <c r="T769">
        <v>85.25</v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>
        <v>93</v>
      </c>
      <c r="AC769" t="str">
        <v>01/10/2026</v>
      </c>
      <c r="AD769" t="str">
        <v>17:14:22</v>
      </c>
      <c r="AE769">
        <f>IF("ONLINE"="NOGPS","GPS Antiguo","En línea")</f>
      </c>
      <c r="AF769">
        <f>IF(0=0,"Sin atender", IF(0=1,"Atendida","Atendida y Reportada"))</f>
      </c>
      <c r="AG769" t="str">
        <v/>
      </c>
      <c r="AH769" t="str">
        <v/>
      </c>
      <c r="AI769" t="str">
        <v/>
      </c>
      <c r="AJ769" t="str">
        <v/>
      </c>
      <c r="AK769" t="str">
        <v>01/10/2026 17:14:33</v>
      </c>
      <c r="AL769" t="str">
        <v>17:14:33</v>
      </c>
      <c r="AM769" t="str">
        <v/>
      </c>
    </row>
    <row r="770">
      <c r="A770">
        <v>769</v>
      </c>
      <c r="B770" t="str">
        <v>MASS BSF</v>
      </c>
      <c r="C770" t="str">
        <v>F8R-810</v>
      </c>
      <c r="D770" t="str">
        <v>F8R-810</v>
      </c>
      <c r="E770" t="str">
        <v/>
      </c>
      <c r="F770" t="str">
        <v>867806078868827</v>
      </c>
      <c r="G770" t="str">
        <v>TBD</v>
      </c>
      <c r="H770" t="str">
        <v/>
      </c>
      <c r="I770" t="str">
        <v/>
      </c>
      <c r="J770" t="str">
        <v>01/10/2026</v>
      </c>
      <c r="K770" t="str">
        <v>17:14:40</v>
      </c>
      <c r="L770">
        <v>-12.21221</v>
      </c>
      <c r="M770">
        <v>-76.96134</v>
      </c>
      <c r="N770">
        <f>HYPERLINK("https://www.google.com/maps/search/?api=1&amp;query=-12.21221,-76.96134","Calle 1, Villa El Salvador, Lima")</f>
      </c>
      <c r="O770" t="str">
        <v>Acelerado y giro brusco</v>
      </c>
      <c r="P770" t="str">
        <v/>
      </c>
      <c r="Q770">
        <v>2227.9</v>
      </c>
      <c r="R770" t="str">
        <v/>
      </c>
      <c r="S770">
        <v>13.3</v>
      </c>
      <c r="T770">
        <v>85.25</v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>
        <v>93</v>
      </c>
      <c r="AC770" t="str">
        <v>01/10/2026</v>
      </c>
      <c r="AD770" t="str">
        <v>17:14:36</v>
      </c>
      <c r="AE770">
        <f>IF("ONLINE"="NOGPS","GPS Antiguo","En línea")</f>
      </c>
      <c r="AF770">
        <f>IF(0=0,"Sin atender", IF(0=1,"Atendida","Atendida y Reportada"))</f>
      </c>
      <c r="AG770" t="str">
        <v/>
      </c>
      <c r="AH770" t="str">
        <v/>
      </c>
      <c r="AI770" t="str">
        <v/>
      </c>
      <c r="AJ770" t="str">
        <v/>
      </c>
      <c r="AK770" t="str">
        <v>01/10/2026 17:14:47</v>
      </c>
      <c r="AL770" t="str">
        <v>17:14:47</v>
      </c>
      <c r="AM770" t="str">
        <v/>
      </c>
    </row>
    <row r="771">
      <c r="A771">
        <v>770</v>
      </c>
      <c r="B771" t="str">
        <v>MASS BSF</v>
      </c>
      <c r="C771" t="str">
        <v>F8R-810</v>
      </c>
      <c r="D771" t="str">
        <v>F8R-810</v>
      </c>
      <c r="E771" t="str">
        <v/>
      </c>
      <c r="F771" t="str">
        <v>867806078868827</v>
      </c>
      <c r="G771" t="str">
        <v>TBD</v>
      </c>
      <c r="H771" t="str">
        <v/>
      </c>
      <c r="I771" t="str">
        <v/>
      </c>
      <c r="J771" t="str">
        <v>01/10/2026</v>
      </c>
      <c r="K771" t="str">
        <v>17:14:56</v>
      </c>
      <c r="L771">
        <v>-12.212599</v>
      </c>
      <c r="M771">
        <v>-76.96109</v>
      </c>
      <c r="N771">
        <f>HYPERLINK("https://www.google.com/maps/search/?api=1&amp;query=-12.212599,-76.96109","Calle 1, Villa El Salvador, Lima")</f>
      </c>
      <c r="O771" t="str">
        <v>Acelerado y giro brusco</v>
      </c>
      <c r="P771" t="str">
        <v/>
      </c>
      <c r="Q771">
        <v>2228</v>
      </c>
      <c r="R771" t="str">
        <v/>
      </c>
      <c r="S771">
        <v>10.7</v>
      </c>
      <c r="T771">
        <v>85.25</v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>
        <v>93</v>
      </c>
      <c r="AC771" t="str">
        <v>01/10/2026</v>
      </c>
      <c r="AD771" t="str">
        <v>17:14:52</v>
      </c>
      <c r="AE771">
        <f>IF("ONLINE"="NOGPS","GPS Antiguo","En línea")</f>
      </c>
      <c r="AF771">
        <f>IF(0=0,"Sin atender", IF(0=1,"Atendida","Atendida y Reportada"))</f>
      </c>
      <c r="AG771" t="str">
        <v/>
      </c>
      <c r="AH771" t="str">
        <v/>
      </c>
      <c r="AI771" t="str">
        <v/>
      </c>
      <c r="AJ771" t="str">
        <v/>
      </c>
      <c r="AK771" t="str">
        <v>01/10/2026 17:15:09</v>
      </c>
      <c r="AL771" t="str">
        <v>17:15:09</v>
      </c>
      <c r="AM771" t="str">
        <v/>
      </c>
    </row>
    <row r="772">
      <c r="A772">
        <v>771</v>
      </c>
      <c r="B772" t="str">
        <v>MASS BSF</v>
      </c>
      <c r="C772" t="str">
        <v>F8R-810</v>
      </c>
      <c r="D772" t="str">
        <v>F8R-810</v>
      </c>
      <c r="E772" t="str">
        <v/>
      </c>
      <c r="F772" t="str">
        <v>867806078868827</v>
      </c>
      <c r="G772" t="str">
        <v>TBD</v>
      </c>
      <c r="H772" t="str">
        <v/>
      </c>
      <c r="I772" t="str">
        <v/>
      </c>
      <c r="J772" t="str">
        <v>01/10/2026</v>
      </c>
      <c r="K772" t="str">
        <v>17:14:56</v>
      </c>
      <c r="L772">
        <v>-12.212599</v>
      </c>
      <c r="M772">
        <v>-76.96109</v>
      </c>
      <c r="N772">
        <f>HYPERLINK("https://www.google.com/maps/search/?api=1&amp;query=-12.212599,-76.96109","Calle 1, Villa El Salvador, Lima")</f>
      </c>
      <c r="O772" t="str">
        <v>Bache</v>
      </c>
      <c r="P772" t="str">
        <v/>
      </c>
      <c r="Q772">
        <v>2228</v>
      </c>
      <c r="R772" t="str">
        <v/>
      </c>
      <c r="S772">
        <v>10.7</v>
      </c>
      <c r="T772">
        <v>85.25</v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>
        <v>93</v>
      </c>
      <c r="AC772" t="str">
        <v>01/10/2026</v>
      </c>
      <c r="AD772" t="str">
        <v>17:14:52</v>
      </c>
      <c r="AE772">
        <f>IF("ONLINE"="NOGPS","GPS Antiguo","En línea")</f>
      </c>
      <c r="AF772">
        <f>IF(0=0,"Sin atender", IF(0=1,"Atendida","Atendida y Reportada"))</f>
      </c>
      <c r="AG772" t="str">
        <v/>
      </c>
      <c r="AH772" t="str">
        <v/>
      </c>
      <c r="AI772" t="str">
        <v/>
      </c>
      <c r="AJ772" t="str">
        <v/>
      </c>
      <c r="AK772" t="str">
        <v>01/10/2026 17:15:09</v>
      </c>
      <c r="AL772" t="str">
        <v>17:15:09</v>
      </c>
      <c r="AM772" t="str">
        <v/>
      </c>
    </row>
    <row r="773">
      <c r="A773">
        <v>772</v>
      </c>
      <c r="B773" t="str">
        <v>MASS BSF</v>
      </c>
      <c r="C773" t="str">
        <v>F8R-810</v>
      </c>
      <c r="D773" t="str">
        <v>F8R-810</v>
      </c>
      <c r="E773" t="str">
        <v/>
      </c>
      <c r="F773" t="str">
        <v>867806078868827</v>
      </c>
      <c r="G773" t="str">
        <v>TBD</v>
      </c>
      <c r="H773" t="str">
        <v/>
      </c>
      <c r="I773" t="str">
        <v/>
      </c>
      <c r="J773" t="str">
        <v>01/10/2026</v>
      </c>
      <c r="K773" t="str">
        <v>17:15:03</v>
      </c>
      <c r="L773">
        <v>-12.212757</v>
      </c>
      <c r="M773">
        <v>-76.96099</v>
      </c>
      <c r="N773">
        <f>HYPERLINK("https://www.google.com/maps/search/?api=1&amp;query=-12.212757,-76.96099","Calle 1, Villa El Salvador, Lima")</f>
      </c>
      <c r="O773" t="str">
        <v>Acelerado y giro brusco</v>
      </c>
      <c r="P773" t="str">
        <v/>
      </c>
      <c r="Q773">
        <v>2228</v>
      </c>
      <c r="R773" t="str">
        <v/>
      </c>
      <c r="S773">
        <v>11.8</v>
      </c>
      <c r="T773">
        <v>85.25</v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>
        <v>93</v>
      </c>
      <c r="AC773" t="str">
        <v>01/10/2026</v>
      </c>
      <c r="AD773" t="str">
        <v>17:14:59</v>
      </c>
      <c r="AE773">
        <f>IF("ONLINE"="NOGPS","GPS Antiguo","En línea")</f>
      </c>
      <c r="AF773">
        <f>IF(0=0,"Sin atender", IF(0=1,"Atendida","Atendida y Reportada"))</f>
      </c>
      <c r="AG773" t="str">
        <v/>
      </c>
      <c r="AH773" t="str">
        <v/>
      </c>
      <c r="AI773" t="str">
        <v/>
      </c>
      <c r="AJ773" t="str">
        <v/>
      </c>
      <c r="AK773" t="str">
        <v>01/10/2026 17:15:23</v>
      </c>
      <c r="AL773" t="str">
        <v>17:15:23</v>
      </c>
      <c r="AM773" t="str">
        <v/>
      </c>
    </row>
    <row r="774">
      <c r="A774">
        <v>773</v>
      </c>
      <c r="B774" t="str">
        <v>MASS BSF</v>
      </c>
      <c r="C774" t="str">
        <v>F8R-810</v>
      </c>
      <c r="D774" t="str">
        <v>F8R-810</v>
      </c>
      <c r="E774" t="str">
        <v/>
      </c>
      <c r="F774" t="str">
        <v>867806078868827</v>
      </c>
      <c r="G774" t="str">
        <v>TBD</v>
      </c>
      <c r="H774" t="str">
        <v/>
      </c>
      <c r="I774" t="str">
        <v/>
      </c>
      <c r="J774" t="str">
        <v>01/10/2026</v>
      </c>
      <c r="K774" t="str">
        <v>17:15:19</v>
      </c>
      <c r="L774">
        <v>-12.213186</v>
      </c>
      <c r="M774">
        <v>-76.96076</v>
      </c>
      <c r="N774">
        <f>HYPERLINK("https://www.google.com/maps/search/?api=1&amp;query=-12.213186,-76.96076","Calle 1, Villa El Salvador, Lima")</f>
      </c>
      <c r="O774" t="str">
        <v>Acelerado y giro brusco</v>
      </c>
      <c r="P774" t="str">
        <v/>
      </c>
      <c r="Q774">
        <v>2228.1</v>
      </c>
      <c r="R774" t="str">
        <v/>
      </c>
      <c r="S774">
        <v>12.2</v>
      </c>
      <c r="T774">
        <v>85.25</v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>
        <v>85</v>
      </c>
      <c r="AC774" t="str">
        <v>01/10/2026</v>
      </c>
      <c r="AD774" t="str">
        <v>17:15:15</v>
      </c>
      <c r="AE774">
        <f>IF("ONLINE"="NOGPS","GPS Antiguo","En línea")</f>
      </c>
      <c r="AF774">
        <f>IF(0=0,"Sin atender", IF(0=1,"Atendida","Atendida y Reportada"))</f>
      </c>
      <c r="AG774" t="str">
        <v/>
      </c>
      <c r="AH774" t="str">
        <v/>
      </c>
      <c r="AI774" t="str">
        <v/>
      </c>
      <c r="AJ774" t="str">
        <v/>
      </c>
      <c r="AK774" t="str">
        <v>01/10/2026 17:15:36</v>
      </c>
      <c r="AL774" t="str">
        <v>17:15:36</v>
      </c>
      <c r="AM774" t="str">
        <v/>
      </c>
    </row>
    <row r="775">
      <c r="A775">
        <v>774</v>
      </c>
      <c r="B775" t="str">
        <v>MASS BSF</v>
      </c>
      <c r="C775" t="str">
        <v>F8R-810</v>
      </c>
      <c r="D775" t="str">
        <v>F8R-810</v>
      </c>
      <c r="E775" t="str">
        <v/>
      </c>
      <c r="F775" t="str">
        <v>867806078868827</v>
      </c>
      <c r="G775" t="str">
        <v>TBD</v>
      </c>
      <c r="H775" t="str">
        <v/>
      </c>
      <c r="I775" t="str">
        <v/>
      </c>
      <c r="J775" t="str">
        <v>01/10/2026</v>
      </c>
      <c r="K775" t="str">
        <v>17:15:25</v>
      </c>
      <c r="L775">
        <v>-12.213344</v>
      </c>
      <c r="M775">
        <v>-76.96067</v>
      </c>
      <c r="N775">
        <f>HYPERLINK("https://www.google.com/maps/search/?api=1&amp;query=-12.213344,-76.96067","Calle 1, Villa El Salvador, Lima")</f>
      </c>
      <c r="O775" t="str">
        <v>Acelerado y giro brusco</v>
      </c>
      <c r="P775" t="str">
        <v/>
      </c>
      <c r="Q775">
        <v>2228.1</v>
      </c>
      <c r="R775" t="str">
        <v/>
      </c>
      <c r="S775">
        <v>12.5</v>
      </c>
      <c r="T775">
        <v>85.25</v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>
        <v>85</v>
      </c>
      <c r="AC775" t="str">
        <v>01/10/2026</v>
      </c>
      <c r="AD775" t="str">
        <v>17:15:21</v>
      </c>
      <c r="AE775">
        <f>IF("ONLINE"="NOGPS","GPS Antiguo","En línea")</f>
      </c>
      <c r="AF775">
        <f>IF(0=0,"Sin atender", IF(0=1,"Atendida","Atendida y Reportada"))</f>
      </c>
      <c r="AG775" t="str">
        <v/>
      </c>
      <c r="AH775" t="str">
        <v/>
      </c>
      <c r="AI775" t="str">
        <v/>
      </c>
      <c r="AJ775" t="str">
        <v/>
      </c>
      <c r="AK775" t="str">
        <v>01/10/2026 17:15:44</v>
      </c>
      <c r="AL775" t="str">
        <v>17:15:44</v>
      </c>
      <c r="AM775" t="str">
        <v/>
      </c>
    </row>
    <row r="776">
      <c r="A776">
        <v>775</v>
      </c>
      <c r="B776" t="str">
        <v>MASS BSF</v>
      </c>
      <c r="C776" t="str">
        <v>F8R-810</v>
      </c>
      <c r="D776" t="str">
        <v>F8R-810</v>
      </c>
      <c r="E776" t="str">
        <v/>
      </c>
      <c r="F776" t="str">
        <v>867806078868827</v>
      </c>
      <c r="G776" t="str">
        <v>TBD</v>
      </c>
      <c r="H776" t="str">
        <v/>
      </c>
      <c r="I776" t="str">
        <v/>
      </c>
      <c r="J776" t="str">
        <v>01/10/2026</v>
      </c>
      <c r="K776" t="str">
        <v>17:15:33</v>
      </c>
      <c r="L776">
        <v>-12.213507</v>
      </c>
      <c r="M776">
        <v>-76.96054</v>
      </c>
      <c r="N776">
        <f>HYPERLINK("https://www.google.com/maps/search/?api=1&amp;query=-12.213507,-76.96054","Calle 1, Villa El Salvador, Lima")</f>
      </c>
      <c r="O776" t="str">
        <v>Acelerado y giro brusco</v>
      </c>
      <c r="P776" t="str">
        <v/>
      </c>
      <c r="Q776">
        <v>2228.1</v>
      </c>
      <c r="R776" t="str">
        <v/>
      </c>
      <c r="S776">
        <v>10.9</v>
      </c>
      <c r="T776">
        <v>85.25</v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>
        <v>85</v>
      </c>
      <c r="AC776" t="str">
        <v>01/10/2026</v>
      </c>
      <c r="AD776" t="str">
        <v>17:15:29</v>
      </c>
      <c r="AE776">
        <f>IF("ONLINE"="NOGPS","GPS Antiguo","En línea")</f>
      </c>
      <c r="AF776">
        <f>IF(0=0,"Sin atender", IF(0=1,"Atendida","Atendida y Reportada"))</f>
      </c>
      <c r="AG776" t="str">
        <v/>
      </c>
      <c r="AH776" t="str">
        <v/>
      </c>
      <c r="AI776" t="str">
        <v/>
      </c>
      <c r="AJ776" t="str">
        <v/>
      </c>
      <c r="AK776" t="str">
        <v>01/10/2026 17:15:38</v>
      </c>
      <c r="AL776" t="str">
        <v>17:15:38</v>
      </c>
      <c r="AM776" t="str">
        <v/>
      </c>
    </row>
    <row r="777">
      <c r="A777">
        <v>776</v>
      </c>
      <c r="B777" t="str">
        <v>MASS BSF</v>
      </c>
      <c r="C777" t="str">
        <v>F8R-810</v>
      </c>
      <c r="D777" t="str">
        <v>F8R-810</v>
      </c>
      <c r="E777" t="str">
        <v/>
      </c>
      <c r="F777" t="str">
        <v>867806078868827</v>
      </c>
      <c r="G777" t="str">
        <v>TBD</v>
      </c>
      <c r="H777" t="str">
        <v/>
      </c>
      <c r="I777" t="str">
        <v/>
      </c>
      <c r="J777" t="str">
        <v>01/10/2026</v>
      </c>
      <c r="K777" t="str">
        <v>17:15:38</v>
      </c>
      <c r="L777">
        <v>-12.213516</v>
      </c>
      <c r="M777">
        <v>-76.960434</v>
      </c>
      <c r="N777">
        <f>HYPERLINK("https://www.google.com/maps/search/?api=1&amp;query=-12.213516,-76.960434","Avenida Villa del Mar, Villa El Salvador, Lima")</f>
      </c>
      <c r="O777" t="str">
        <v>Acelerado y giro brusco</v>
      </c>
      <c r="P777" t="str">
        <v/>
      </c>
      <c r="Q777">
        <v>2228.1</v>
      </c>
      <c r="R777" t="str">
        <v/>
      </c>
      <c r="S777">
        <v>8.5</v>
      </c>
      <c r="T777">
        <v>85.25</v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>
        <v>85</v>
      </c>
      <c r="AC777" t="str">
        <v>01/10/2026</v>
      </c>
      <c r="AD777" t="str">
        <v>17:15:34</v>
      </c>
      <c r="AE777">
        <f>IF("ONLINE"="NOGPS","GPS Antiguo","En línea")</f>
      </c>
      <c r="AF777">
        <f>IF(0=0,"Sin atender", IF(0=1,"Atendida","Atendida y Reportada"))</f>
      </c>
      <c r="AG777" t="str">
        <v/>
      </c>
      <c r="AH777" t="str">
        <v/>
      </c>
      <c r="AI777" t="str">
        <v/>
      </c>
      <c r="AJ777" t="str">
        <v/>
      </c>
      <c r="AK777" t="str">
        <v>01/10/2026 17:15:57</v>
      </c>
      <c r="AL777" t="str">
        <v>17:15:57</v>
      </c>
      <c r="AM777" t="str">
        <v/>
      </c>
    </row>
    <row r="778">
      <c r="A778">
        <v>777</v>
      </c>
      <c r="B778" t="str">
        <v>MASS BSF</v>
      </c>
      <c r="C778" t="str">
        <v>F8R-810</v>
      </c>
      <c r="D778" t="str">
        <v>F8R-810</v>
      </c>
      <c r="E778" t="str">
        <v/>
      </c>
      <c r="F778" t="str">
        <v>867806078868827</v>
      </c>
      <c r="G778" t="str">
        <v>TBD</v>
      </c>
      <c r="H778" t="str">
        <v/>
      </c>
      <c r="I778" t="str">
        <v/>
      </c>
      <c r="J778" t="str">
        <v>01/10/2026</v>
      </c>
      <c r="K778" t="str">
        <v>17:15:47</v>
      </c>
      <c r="L778">
        <v>-12.21342</v>
      </c>
      <c r="M778">
        <v>-76.96023</v>
      </c>
      <c r="N778">
        <f>HYPERLINK("https://www.google.com/maps/search/?api=1&amp;query=-12.21342,-76.96023","Avenida Villa del Mar, Villa El Salvador, Lima")</f>
      </c>
      <c r="O778" t="str">
        <v>Acelerado y giro brusco</v>
      </c>
      <c r="P778" t="str">
        <v/>
      </c>
      <c r="Q778">
        <v>2228.1</v>
      </c>
      <c r="R778" t="str">
        <v/>
      </c>
      <c r="S778">
        <v>8.8</v>
      </c>
      <c r="T778">
        <v>85.25</v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>
        <v>85</v>
      </c>
      <c r="AC778" t="str">
        <v>01/10/2026</v>
      </c>
      <c r="AD778" t="str">
        <v>17:15:43</v>
      </c>
      <c r="AE778">
        <f>IF("ONLINE"="NOGPS","GPS Antiguo","En línea")</f>
      </c>
      <c r="AF778">
        <f>IF(0=0,"Sin atender", IF(0=1,"Atendida","Atendida y Reportada"))</f>
      </c>
      <c r="AG778" t="str">
        <v/>
      </c>
      <c r="AH778" t="str">
        <v/>
      </c>
      <c r="AI778" t="str">
        <v/>
      </c>
      <c r="AJ778" t="str">
        <v/>
      </c>
      <c r="AK778" t="str">
        <v>01/10/2026 17:16:00</v>
      </c>
      <c r="AL778" t="str">
        <v>17:16:00</v>
      </c>
      <c r="AM778" t="str">
        <v/>
      </c>
    </row>
    <row r="779">
      <c r="A779">
        <v>778</v>
      </c>
      <c r="B779" t="str">
        <v>MASS BSF</v>
      </c>
      <c r="C779" t="str">
        <v>F8R-810</v>
      </c>
      <c r="D779" t="str">
        <v>F8R-810</v>
      </c>
      <c r="E779" t="str">
        <v/>
      </c>
      <c r="F779" t="str">
        <v>867806078868827</v>
      </c>
      <c r="G779" t="str">
        <v>TBD</v>
      </c>
      <c r="H779" t="str">
        <v/>
      </c>
      <c r="I779" t="str">
        <v/>
      </c>
      <c r="J779" t="str">
        <v>01/10/2026</v>
      </c>
      <c r="K779" t="str">
        <v>17:15:55</v>
      </c>
      <c r="L779">
        <v>-12.213297</v>
      </c>
      <c r="M779">
        <v>-76.96007</v>
      </c>
      <c r="N779">
        <f>HYPERLINK("https://www.google.com/maps/search/?api=1&amp;query=-12.213297,-76.96007","Avenida Villa del Mar, Villa El Salvador, Lima")</f>
      </c>
      <c r="O779" t="str">
        <v>Acelerado y giro brusco</v>
      </c>
      <c r="P779" t="str">
        <v/>
      </c>
      <c r="Q779">
        <v>2228.2</v>
      </c>
      <c r="R779" t="str">
        <v/>
      </c>
      <c r="S779">
        <v>10.1</v>
      </c>
      <c r="T779">
        <v>85.25</v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>
        <v>90</v>
      </c>
      <c r="AC779" t="str">
        <v>01/10/2026</v>
      </c>
      <c r="AD779" t="str">
        <v>17:15:51</v>
      </c>
      <c r="AE779">
        <f>IF("ONLINE"="NOGPS","GPS Antiguo","En línea")</f>
      </c>
      <c r="AF779">
        <f>IF(0=0,"Sin atender", IF(0=1,"Atendida","Atendida y Reportada"))</f>
      </c>
      <c r="AG779" t="str">
        <v/>
      </c>
      <c r="AH779" t="str">
        <v/>
      </c>
      <c r="AI779" t="str">
        <v/>
      </c>
      <c r="AJ779" t="str">
        <v/>
      </c>
      <c r="AK779" t="str">
        <v>01/10/2026 17:16:08</v>
      </c>
      <c r="AL779" t="str">
        <v>17:16:08</v>
      </c>
      <c r="AM779" t="str">
        <v/>
      </c>
    </row>
    <row r="780">
      <c r="A780">
        <v>779</v>
      </c>
      <c r="B780" t="str">
        <v>MASS BSF</v>
      </c>
      <c r="C780" t="str">
        <v>F8R-810</v>
      </c>
      <c r="D780" t="str">
        <v>F8R-810</v>
      </c>
      <c r="E780" t="str">
        <v/>
      </c>
      <c r="F780" t="str">
        <v>867806078868827</v>
      </c>
      <c r="G780" t="str">
        <v>TBD</v>
      </c>
      <c r="H780" t="str">
        <v/>
      </c>
      <c r="I780" t="str">
        <v xml:space="preserve"> </v>
      </c>
      <c r="J780" t="str">
        <v>01/10/2026</v>
      </c>
      <c r="K780" t="str">
        <v>17:15:59</v>
      </c>
      <c r="L780">
        <v>-12.213242</v>
      </c>
      <c r="M780">
        <v>-76.95997</v>
      </c>
      <c r="N780">
        <f>HYPERLINK("https://www.google.com/maps/search/?api=1&amp;query=-12.213242,-76.95997","Avenida Villa del Mar, Villa El Salvador, Lima")</f>
      </c>
      <c r="O780" t="str">
        <v>Llegó a la zona</v>
      </c>
      <c r="P780" t="str">
        <v/>
      </c>
      <c r="Q780">
        <v>2228.2</v>
      </c>
      <c r="R780" t="str">
        <v>BASE-OSLOGISTICS</v>
      </c>
      <c r="S780">
        <v>11.4</v>
      </c>
      <c r="T780">
        <v>85.25</v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>
        <v>90</v>
      </c>
      <c r="AC780" t="str">
        <v>01/10/2026</v>
      </c>
      <c r="AD780" t="str">
        <v>17:15:55</v>
      </c>
      <c r="AE780">
        <f>IF("ONLINE"="NOGPS","GPS Antiguo","En línea")</f>
      </c>
      <c r="AF780">
        <f>IF(0=0,"Sin atender", IF(0=1,"Atendida","Atendida y Reportada"))</f>
      </c>
      <c r="AG780" t="str">
        <v/>
      </c>
      <c r="AH780" t="str">
        <v/>
      </c>
      <c r="AI780" t="str">
        <v/>
      </c>
      <c r="AJ780" t="str">
        <v/>
      </c>
      <c r="AK780" t="str">
        <v>01/10/2026 17:16:02</v>
      </c>
      <c r="AL780" t="str">
        <v>17:16:02</v>
      </c>
      <c r="AM780" t="str">
        <v/>
      </c>
    </row>
    <row r="781">
      <c r="A781">
        <v>780</v>
      </c>
      <c r="B781" t="str">
        <v>MASS BSF</v>
      </c>
      <c r="C781" t="str">
        <v>F8R-810</v>
      </c>
      <c r="D781" t="str">
        <v>F8R-810</v>
      </c>
      <c r="E781" t="str">
        <v/>
      </c>
      <c r="F781" t="str">
        <v>867806078868827</v>
      </c>
      <c r="G781" t="str">
        <v>TBD</v>
      </c>
      <c r="H781" t="str">
        <v/>
      </c>
      <c r="I781" t="str">
        <v/>
      </c>
      <c r="J781" t="str">
        <v>01/10/2026</v>
      </c>
      <c r="K781" t="str">
        <v>17:16:02</v>
      </c>
      <c r="L781">
        <v>-12.2132</v>
      </c>
      <c r="M781">
        <v>-76.95989</v>
      </c>
      <c r="N781">
        <f>HYPERLINK("https://www.google.com/maps/search/?api=1&amp;query=-12.2132,-76.95989","Avenida Villa del Mar, Villa El Salvador, Lima")</f>
      </c>
      <c r="O781" t="str">
        <v>Acelerado y giro brusco</v>
      </c>
      <c r="P781" t="str">
        <v/>
      </c>
      <c r="Q781">
        <v>2228.2</v>
      </c>
      <c r="R781" t="str">
        <v/>
      </c>
      <c r="S781">
        <v>10.9</v>
      </c>
      <c r="T781">
        <v>85.25</v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>
        <v>90</v>
      </c>
      <c r="AC781" t="str">
        <v>01/10/2026</v>
      </c>
      <c r="AD781" t="str">
        <v>17:15:58</v>
      </c>
      <c r="AE781">
        <f>IF("ONLINE"="NOGPS","GPS Antiguo","En línea")</f>
      </c>
      <c r="AF781">
        <f>IF(0=0,"Sin atender", IF(0=1,"Atendida","Atendida y Reportada"))</f>
      </c>
      <c r="AG781" t="str">
        <v/>
      </c>
      <c r="AH781" t="str">
        <v/>
      </c>
      <c r="AI781" t="str">
        <v/>
      </c>
      <c r="AJ781" t="str">
        <v/>
      </c>
      <c r="AK781" t="str">
        <v>01/10/2026 17:16:14</v>
      </c>
      <c r="AL781" t="str">
        <v>17:16:14</v>
      </c>
      <c r="AM781" t="str">
        <v/>
      </c>
    </row>
    <row r="782">
      <c r="A782">
        <v>781</v>
      </c>
      <c r="B782" t="str">
        <v>MASS BSF</v>
      </c>
      <c r="C782" t="str">
        <v>F8R-810</v>
      </c>
      <c r="D782" t="str">
        <v>F8R-810</v>
      </c>
      <c r="E782" t="str">
        <v/>
      </c>
      <c r="F782" t="str">
        <v>867806078868827</v>
      </c>
      <c r="G782" t="str">
        <v>TBD</v>
      </c>
      <c r="H782" t="str">
        <v/>
      </c>
      <c r="I782" t="str">
        <v/>
      </c>
      <c r="J782" t="str">
        <v>01/10/2026</v>
      </c>
      <c r="K782" t="str">
        <v>17:16:14</v>
      </c>
      <c r="L782">
        <v>-12.213032</v>
      </c>
      <c r="M782">
        <v>-76.95959</v>
      </c>
      <c r="N782">
        <f>HYPERLINK("https://www.google.com/maps/search/?api=1&amp;query=-12.213032,-76.95959","Avenida Villa del Mar, Villa El Salvador, Lima")</f>
      </c>
      <c r="O782" t="str">
        <v>Acelerado y giro brusco</v>
      </c>
      <c r="P782" t="str">
        <v/>
      </c>
      <c r="Q782">
        <v>2228.2</v>
      </c>
      <c r="R782" t="str">
        <v/>
      </c>
      <c r="S782">
        <v>10</v>
      </c>
      <c r="T782">
        <v>85.25</v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>
        <v>90</v>
      </c>
      <c r="AC782" t="str">
        <v>01/10/2026</v>
      </c>
      <c r="AD782" t="str">
        <v>17:16:10</v>
      </c>
      <c r="AE782">
        <f>IF("ONLINE"="NOGPS","GPS Antiguo","En línea")</f>
      </c>
      <c r="AF782">
        <f>IF(0=0,"Sin atender", IF(0=1,"Atendida","Atendida y Reportada"))</f>
      </c>
      <c r="AG782" t="str">
        <v/>
      </c>
      <c r="AH782" t="str">
        <v/>
      </c>
      <c r="AI782" t="str">
        <v/>
      </c>
      <c r="AJ782" t="str">
        <v/>
      </c>
      <c r="AK782" t="str">
        <v>01/10/2026 17:16:23</v>
      </c>
      <c r="AL782" t="str">
        <v>17:16:23</v>
      </c>
      <c r="AM782" t="str">
        <v/>
      </c>
    </row>
    <row r="783">
      <c r="A783">
        <v>782</v>
      </c>
      <c r="B783" t="str">
        <v>MASS BSF</v>
      </c>
      <c r="C783" t="str">
        <v>F8R-810</v>
      </c>
      <c r="D783" t="str">
        <v>F8R-810</v>
      </c>
      <c r="E783" t="str">
        <v/>
      </c>
      <c r="F783" t="str">
        <v>867806078868827</v>
      </c>
      <c r="G783" t="str">
        <v>TBD</v>
      </c>
      <c r="H783" t="str">
        <v/>
      </c>
      <c r="I783" t="str">
        <v/>
      </c>
      <c r="J783" t="str">
        <v>01/10/2026</v>
      </c>
      <c r="K783" t="str">
        <v>17:16:23</v>
      </c>
      <c r="L783">
        <v>-12.212938</v>
      </c>
      <c r="M783">
        <v>-76.95944</v>
      </c>
      <c r="N783">
        <f>HYPERLINK("https://www.google.com/maps/search/?api=1&amp;query=-12.212938,-76.95944","Avenida Villa del Mar, Villa El Salvador, Lima")</f>
      </c>
      <c r="O783" t="str">
        <v>Acelerado y giro brusco</v>
      </c>
      <c r="P783" t="str">
        <v/>
      </c>
      <c r="Q783">
        <v>2228.2</v>
      </c>
      <c r="R783" t="str">
        <v/>
      </c>
      <c r="S783">
        <v>5.1</v>
      </c>
      <c r="T783">
        <v>85.25</v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>
        <v>85</v>
      </c>
      <c r="AC783" t="str">
        <v>01/10/2026</v>
      </c>
      <c r="AD783" t="str">
        <v>17:16:19</v>
      </c>
      <c r="AE783">
        <f>IF("ONLINE"="NOGPS","GPS Antiguo","En línea")</f>
      </c>
      <c r="AF783">
        <f>IF(0=0,"Sin atender", IF(0=1,"Atendida","Atendida y Reportada"))</f>
      </c>
      <c r="AG783" t="str">
        <v/>
      </c>
      <c r="AH783" t="str">
        <v/>
      </c>
      <c r="AI783" t="str">
        <v/>
      </c>
      <c r="AJ783" t="str">
        <v/>
      </c>
      <c r="AK783" t="str">
        <v>01/10/2026 17:16:39</v>
      </c>
      <c r="AL783" t="str">
        <v>17:16:39</v>
      </c>
      <c r="AM783" t="str">
        <v/>
      </c>
    </row>
    <row r="784">
      <c r="A784">
        <v>783</v>
      </c>
      <c r="B784" t="str">
        <v>MASS BSF</v>
      </c>
      <c r="C784" t="str">
        <v>F8R-810</v>
      </c>
      <c r="D784" t="str">
        <v>F8R-810</v>
      </c>
      <c r="E784" t="str">
        <v/>
      </c>
      <c r="F784" t="str">
        <v>867806078868827</v>
      </c>
      <c r="G784" t="str">
        <v>TBD</v>
      </c>
      <c r="H784" t="str">
        <v/>
      </c>
      <c r="I784" t="str">
        <v/>
      </c>
      <c r="J784" t="str">
        <v>01/10/2026</v>
      </c>
      <c r="K784" t="str">
        <v>17:16:26</v>
      </c>
      <c r="L784">
        <v>-12.21291</v>
      </c>
      <c r="M784">
        <v>-76.959404</v>
      </c>
      <c r="N784">
        <f>HYPERLINK("https://www.google.com/maps/search/?api=1&amp;query=-12.21291,-76.959404","Avenida Villa del Mar, Villa El Salvador, Lima")</f>
      </c>
      <c r="O784" t="str">
        <v>Acelerado y giro brusco</v>
      </c>
      <c r="P784" t="str">
        <v/>
      </c>
      <c r="Q784">
        <v>2228.2</v>
      </c>
      <c r="R784" t="str">
        <v/>
      </c>
      <c r="S784">
        <v>5.5</v>
      </c>
      <c r="T784">
        <v>85.25</v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>
        <v>85</v>
      </c>
      <c r="AC784" t="str">
        <v>01/10/2026</v>
      </c>
      <c r="AD784" t="str">
        <v>17:16:22</v>
      </c>
      <c r="AE784">
        <f>IF("ONLINE"="NOGPS","GPS Antiguo","En línea")</f>
      </c>
      <c r="AF784">
        <f>IF(0=0,"Sin atender", IF(0=1,"Atendida","Atendida y Reportada"))</f>
      </c>
      <c r="AG784" t="str">
        <v/>
      </c>
      <c r="AH784" t="str">
        <v/>
      </c>
      <c r="AI784" t="str">
        <v/>
      </c>
      <c r="AJ784" t="str">
        <v/>
      </c>
      <c r="AK784" t="str">
        <v>01/10/2026 17:16:48</v>
      </c>
      <c r="AL784" t="str">
        <v>17:16:48</v>
      </c>
      <c r="AM784" t="str">
        <v/>
      </c>
    </row>
    <row r="785">
      <c r="A785">
        <v>784</v>
      </c>
      <c r="B785" t="str">
        <v>MASS BSF</v>
      </c>
      <c r="C785" t="str">
        <v>F8R-810</v>
      </c>
      <c r="D785" t="str">
        <v>F8R-810</v>
      </c>
      <c r="E785" t="str">
        <v/>
      </c>
      <c r="F785" t="str">
        <v>867806078868827</v>
      </c>
      <c r="G785" t="str">
        <v>TBD</v>
      </c>
      <c r="H785" t="str">
        <v/>
      </c>
      <c r="I785" t="str">
        <v/>
      </c>
      <c r="J785" t="str">
        <v>01/10/2026</v>
      </c>
      <c r="K785" t="str">
        <v>17:16:32</v>
      </c>
      <c r="L785">
        <v>-12.21285</v>
      </c>
      <c r="M785">
        <v>-76.95936</v>
      </c>
      <c r="N785">
        <f>HYPERLINK("https://www.google.com/maps/search/?api=1&amp;query=-12.21285,-76.95936","Avenida Villa del Mar, Villa El Salvador, Lima")</f>
      </c>
      <c r="O785" t="str">
        <v>Acelerado y giro brusco</v>
      </c>
      <c r="P785" t="str">
        <v/>
      </c>
      <c r="Q785">
        <v>2228.3</v>
      </c>
      <c r="R785" t="str">
        <v/>
      </c>
      <c r="S785">
        <v>6.1</v>
      </c>
      <c r="T785">
        <v>85.25</v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>
        <v>85</v>
      </c>
      <c r="AC785" t="str">
        <v>01/10/2026</v>
      </c>
      <c r="AD785" t="str">
        <v>17:16:27</v>
      </c>
      <c r="AE785">
        <f>IF("ONLINE"="NOGPS","GPS Antiguo","En línea")</f>
      </c>
      <c r="AF785">
        <f>IF(0=0,"Sin atender", IF(0=1,"Atendida","Atendida y Reportada"))</f>
      </c>
      <c r="AG785" t="str">
        <v/>
      </c>
      <c r="AH785" t="str">
        <v/>
      </c>
      <c r="AI785" t="str">
        <v/>
      </c>
      <c r="AJ785" t="str">
        <v/>
      </c>
      <c r="AK785" t="str">
        <v>01/10/2026 17:16:45</v>
      </c>
      <c r="AL785" t="str">
        <v>17:16:45</v>
      </c>
      <c r="AM785" t="str">
        <v/>
      </c>
    </row>
    <row r="786">
      <c r="A786">
        <v>785</v>
      </c>
      <c r="B786" t="str">
        <v>MASS BSF</v>
      </c>
      <c r="C786" t="str">
        <v>F8R-810</v>
      </c>
      <c r="D786" t="str">
        <v>F8R-810</v>
      </c>
      <c r="E786" t="str">
        <v/>
      </c>
      <c r="F786" t="str">
        <v>867806078868827</v>
      </c>
      <c r="G786" t="str">
        <v>TBD</v>
      </c>
      <c r="H786" t="str">
        <v/>
      </c>
      <c r="I786" t="str">
        <v/>
      </c>
      <c r="J786" t="str">
        <v>01/10/2026</v>
      </c>
      <c r="K786" t="str">
        <v>17:16:46</v>
      </c>
      <c r="L786">
        <v>-12.21281</v>
      </c>
      <c r="M786">
        <v>-76.9593</v>
      </c>
      <c r="N786">
        <f>HYPERLINK("https://www.google.com/maps/search/?api=1&amp;query=-12.21281,-76.9593","Avenida Villa del Mar, Villa El Salvador, Lima")</f>
      </c>
      <c r="O786" t="str">
        <v>Acelerado y giro brusco</v>
      </c>
      <c r="P786" t="str">
        <v/>
      </c>
      <c r="Q786">
        <v>2228.3</v>
      </c>
      <c r="R786" t="str">
        <v/>
      </c>
      <c r="S786">
        <v>0</v>
      </c>
      <c r="T786">
        <v>85.25</v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>
        <v>85</v>
      </c>
      <c r="AC786" t="str">
        <v>01/10/2026</v>
      </c>
      <c r="AD786" t="str">
        <v>17:16:42</v>
      </c>
      <c r="AE786">
        <f>IF("ONLINE"="NOGPS","GPS Antiguo","En línea")</f>
      </c>
      <c r="AF786">
        <f>IF(0=0,"Sin atender", IF(0=1,"Atendida","Atendida y Reportada"))</f>
      </c>
      <c r="AG786" t="str">
        <v/>
      </c>
      <c r="AH786" t="str">
        <v/>
      </c>
      <c r="AI786" t="str">
        <v/>
      </c>
      <c r="AJ786" t="str">
        <v/>
      </c>
      <c r="AK786" t="str">
        <v>01/10/2026 17:16:58</v>
      </c>
      <c r="AL786" t="str">
        <v>17:16:58</v>
      </c>
      <c r="AM786" t="str">
        <v/>
      </c>
    </row>
    <row r="787">
      <c r="A787">
        <v>786</v>
      </c>
      <c r="B787" t="str">
        <v>MASS BSF</v>
      </c>
      <c r="C787" t="str">
        <v>F8R-810</v>
      </c>
      <c r="D787" t="str">
        <v>F8R-810</v>
      </c>
      <c r="E787" t="str">
        <v/>
      </c>
      <c r="F787" t="str">
        <v>867806078868827</v>
      </c>
      <c r="G787" t="str">
        <v>TBD</v>
      </c>
      <c r="H787" t="str">
        <v/>
      </c>
      <c r="I787" t="str">
        <v/>
      </c>
      <c r="J787" t="str">
        <v>01/10/2026</v>
      </c>
      <c r="K787" t="str">
        <v>17:18:52</v>
      </c>
      <c r="L787">
        <v>-12.213087</v>
      </c>
      <c r="M787">
        <v>-76.95877</v>
      </c>
      <c r="N787">
        <f>HYPERLINK("https://www.google.com/maps/search/?api=1&amp;query=-12.213087,-76.95877","Villa El Salvador, Lima")</f>
      </c>
      <c r="O787" t="str">
        <v>Vehículo apagado</v>
      </c>
      <c r="P787" t="str">
        <v>Vehículo Apagado</v>
      </c>
      <c r="Q787">
        <v>2228.3</v>
      </c>
      <c r="R787" t="str">
        <v/>
      </c>
      <c r="S787">
        <v>0</v>
      </c>
      <c r="T787">
        <v>85.37</v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>
        <v>85</v>
      </c>
      <c r="AC787" t="str">
        <v>01/10/2026</v>
      </c>
      <c r="AD787" t="str">
        <v>17:18:48</v>
      </c>
      <c r="AE787">
        <f>IF("ONLINE"="NOGPS","GPS Antiguo","En línea")</f>
      </c>
      <c r="AF787">
        <f>IF(0=0,"Sin atender", IF(0=1,"Atendida","Atendida y Reportada"))</f>
      </c>
      <c r="AG787" t="str">
        <v/>
      </c>
      <c r="AH787" t="str">
        <v/>
      </c>
      <c r="AI787" t="str">
        <v/>
      </c>
      <c r="AJ787" t="str">
        <v/>
      </c>
      <c r="AK787" t="str">
        <v>01/10/2026 17:19:06</v>
      </c>
      <c r="AL787" t="str">
        <v>17:19:06</v>
      </c>
      <c r="AM787" t="str">
        <v/>
      </c>
    </row>
    <row r="788">
      <c r="A788">
        <v>787</v>
      </c>
      <c r="B788" t="str">
        <v>MASS BSF</v>
      </c>
      <c r="C788" t="str">
        <v>F8R-810</v>
      </c>
      <c r="D788" t="str">
        <v>F8R-810</v>
      </c>
      <c r="E788" t="str">
        <v/>
      </c>
      <c r="F788" t="str">
        <v>867806078868827</v>
      </c>
      <c r="G788" t="str">
        <v>TBD</v>
      </c>
      <c r="H788" t="str">
        <v/>
      </c>
      <c r="I788" t="str">
        <v/>
      </c>
      <c r="J788" t="str">
        <v>01/10/2026</v>
      </c>
      <c r="K788" t="str">
        <v>17:25:27</v>
      </c>
      <c r="L788">
        <v>-12.213087</v>
      </c>
      <c r="M788">
        <v>-76.95877</v>
      </c>
      <c r="N788">
        <f>HYPERLINK("https://www.google.com/maps/search/?api=1&amp;query=-12.213087,-76.95877","Villa El Salvador, Lima")</f>
      </c>
      <c r="O788" t="str">
        <v>Se detuvo</v>
      </c>
      <c r="P788" t="str">
        <v>Unidad se detuvo</v>
      </c>
      <c r="Q788">
        <v>2228.3</v>
      </c>
      <c r="R788" t="str">
        <v/>
      </c>
      <c r="S788">
        <v>0</v>
      </c>
      <c r="T788">
        <v>85.37</v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>
        <v>85</v>
      </c>
      <c r="AC788" t="str">
        <v>01/10/2026</v>
      </c>
      <c r="AD788" t="str">
        <v>17:25:22</v>
      </c>
      <c r="AE788">
        <f>IF("ONLINE"="NOGPS","GPS Antiguo","En línea")</f>
      </c>
      <c r="AF788">
        <f>IF(0=0,"Sin atender", IF(0=1,"Atendida","Atendida y Reportada"))</f>
      </c>
      <c r="AG788" t="str">
        <v/>
      </c>
      <c r="AH788" t="str">
        <v/>
      </c>
      <c r="AI788" t="str">
        <v/>
      </c>
      <c r="AJ788" t="str">
        <v/>
      </c>
      <c r="AK788" t="str">
        <v>01/10/2026 17:25:34</v>
      </c>
      <c r="AL788" t="str">
        <v>17:25:34</v>
      </c>
      <c r="AM788" t="str">
        <v/>
      </c>
    </row>
  </sheetData>
  <ignoredErrors>
    <ignoredError numberStoredAsText="1" sqref="A1:AM7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